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worksheets/sheet24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3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4850" yWindow="1550" windowWidth="30710" windowHeight="18250"/>
  </bookViews>
  <sheets>
    <sheet sheetId="6" name="국산차 견적" state="visible" r:id="rId4"/>
    <sheet sheetId="4" name="발주요청서" state="visible" r:id="rId5"/>
    <sheet sheetId="9" name="임직원보험가입신청서" state="hidden" r:id="rId6"/>
    <sheet sheetId="22" name="수입차 과세출고확인서" state="hidden" r:id="rId7"/>
    <sheet sheetId="30" name="전자약정신청서" state="visible" r:id="rId8"/>
    <sheet sheetId="21" name="위약금율표" state="visible" r:id="rId9"/>
    <sheet sheetId="27" name="정비상품" state="visible" r:id="rId10"/>
    <sheet sheetId="2" name="국산_DB" state="hidden" r:id="rId11"/>
    <sheet sheetId="12" name="정비비(입고)" state="visible" r:id="rId12"/>
    <sheet sheetId="24" name="스노우타이어" state="hidden" r:id="rId13"/>
    <sheet sheetId="8" name="잔가테이블" state="hidden" r:id="rId14"/>
    <sheet sheetId="10" name="보험료(공제)" state="hidden" r:id="rId15"/>
    <sheet sheetId="15" name="용품" state="hidden" r:id="rId16"/>
    <sheet sheetId="17" name="정비비(실속형)" state="visible" r:id="rId17"/>
    <sheet sheetId="18" name="탁송료" state="hidden" r:id="rId18"/>
    <sheet sheetId="23" name="Sheet7" state="hidden" r:id="rId19"/>
    <sheet sheetId="31" name="Sheet1" state="hidden" r:id="rId20"/>
  </sheets>
  <definedNames>
    <definedName name="_xlnm._FilterDatabase">'스노우타이어'!$A$1:$AA$694</definedName>
    <definedName name="GM">'국산_DB'!$B$141:$B$152</definedName>
    <definedName name="기아">'국산_DB'!$B$73:$B$128</definedName>
    <definedName name="르노">'국산_DB'!$B$131:$B$138</definedName>
    <definedName name="쌍용">'국산_DB'!$B$155:$B$165</definedName>
    <definedName name="현대">'국산_DB'!$B$4:$B$70</definedName>
    <definedName name="_xlnm.Print_Area" localSheetId="0">'국산차 견적'!$A1:$AR59</definedName>
    <definedName name="_xlnm.Print_Area" localSheetId="1">'발주요청서'!$A1:$AA37</definedName>
    <definedName name="_xlnm.Print_Area" localSheetId="3">'수입차 과세출고확인서'!$A1:$AA11</definedName>
    <definedName name="_xlnm.Print_Area" localSheetId="4">'전자약정신청서'!$A1:$AA22</definedName>
    <definedName name="_xlnm.Print_Area" localSheetId="6">'정비상품'!$A1:$I32</definedName>
  </definedNames>
  <calcPr calcId="171027"/>
</workbook>
</file>

<file path=xl/sharedStrings.xml><?xml version="1.0" encoding="utf-8"?>
<sst xmlns="http://schemas.openxmlformats.org/spreadsheetml/2006/main" count="13659" uniqueCount="1600">
  <si>
    <t>견적 Ⅰ</t>
  </si>
  <si>
    <t>견적 Ⅱ</t>
  </si>
  <si>
    <t>견적 Ⅲ</t>
  </si>
  <si>
    <t>K Car 렌트 장기렌트 견적서</t>
  </si>
  <si>
    <t>개별소비세</t>
  </si>
  <si>
    <t>차량가격</t>
  </si>
  <si>
    <t>소비자가격</t>
  </si>
  <si>
    <t>옵션금액</t>
  </si>
  <si>
    <t>면세 후 가격</t>
  </si>
  <si>
    <t>수신</t>
  </si>
  <si>
    <t>VVIP 고객님</t>
  </si>
  <si>
    <t>발신</t>
  </si>
  <si>
    <t>담당직원</t>
  </si>
  <si>
    <t>선택</t>
  </si>
  <si>
    <t>Y</t>
  </si>
  <si>
    <t>특판할인</t>
  </si>
  <si>
    <t>연락처</t>
  </si>
  <si>
    <t>제조사</t>
  </si>
  <si>
    <t>현대</t>
  </si>
  <si>
    <t>지점/대리점할인</t>
  </si>
  <si>
    <t>차종</t>
  </si>
  <si>
    <t>아반떼 1.6 가솔린</t>
  </si>
  <si>
    <t>할인 후 가격</t>
  </si>
  <si>
    <t>세부모델</t>
  </si>
  <si>
    <t>제조사탁송료1</t>
  </si>
  <si>
    <t>제조사탁송료</t>
  </si>
  <si>
    <t>▒ 차량정보</t>
  </si>
  <si>
    <t>[ 단위 : VAT 포함금액 ]</t>
  </si>
  <si>
    <t>옵션내역</t>
  </si>
  <si>
    <t>제조사탁송료2</t>
  </si>
  <si>
    <t>계약기간</t>
  </si>
  <si>
    <t>정비상품</t>
  </si>
  <si>
    <t>보증금/선납금</t>
  </si>
  <si>
    <t>인수금액</t>
  </si>
  <si>
    <t>월 렌트료</t>
  </si>
  <si>
    <t>외장</t>
  </si>
  <si>
    <t>내장</t>
  </si>
  <si>
    <t>세금 계산서 금액</t>
  </si>
  <si>
    <t>연료</t>
  </si>
  <si>
    <t>배기량</t>
  </si>
  <si>
    <t>JIS 차량원가(공급가)</t>
  </si>
  <si>
    <t>(부가세)</t>
  </si>
  <si>
    <t xml:space="preserve"> 옵션 내역</t>
  </si>
  <si>
    <t>기타비용</t>
  </si>
  <si>
    <t>용품비용</t>
  </si>
  <si>
    <t>외장/내장</t>
  </si>
  <si>
    <t>블랙박스</t>
  </si>
  <si>
    <t>썬팅(측후/전면)</t>
  </si>
  <si>
    <t>최종 차량가격</t>
  </si>
  <si>
    <t>측후면썬팅</t>
  </si>
  <si>
    <t>면세금액</t>
  </si>
  <si>
    <t>전면썬팅</t>
  </si>
  <si>
    <t>견적1</t>
  </si>
  <si>
    <t>견적2</t>
  </si>
  <si>
    <t>견적3</t>
  </si>
  <si>
    <t>할인금액</t>
  </si>
  <si>
    <t>특판</t>
  </si>
  <si>
    <t>월동장비</t>
  </si>
  <si>
    <t>순회정비</t>
  </si>
  <si>
    <t>입고정비</t>
  </si>
  <si>
    <t>실속형(정비제외)</t>
  </si>
  <si>
    <t>점검형1(엔진오일)</t>
  </si>
  <si>
    <t>점검형2(사고대차)</t>
  </si>
  <si>
    <t>세금계산서금액</t>
  </si>
  <si>
    <t>특장개조비용</t>
  </si>
  <si>
    <t>년 5천km</t>
  </si>
  <si>
    <t>년 1만km</t>
  </si>
  <si>
    <t>없음</t>
  </si>
  <si>
    <t>3천</t>
  </si>
  <si>
    <t>1억</t>
  </si>
  <si>
    <t>탁송비용</t>
  </si>
  <si>
    <t>년 1.5만km</t>
  </si>
  <si>
    <t>5천</t>
  </si>
  <si>
    <t>2억</t>
  </si>
  <si>
    <t>등록대행</t>
  </si>
  <si>
    <t>년 2만km</t>
  </si>
  <si>
    <t>기아</t>
  </si>
  <si>
    <t>취득세액</t>
  </si>
  <si>
    <t>년 2.5만km</t>
  </si>
  <si>
    <t>르노</t>
  </si>
  <si>
    <t>년 3만km</t>
  </si>
  <si>
    <t>GM</t>
  </si>
  <si>
    <t>약정 주행거리</t>
  </si>
  <si>
    <t>무제한</t>
  </si>
  <si>
    <t>추가비용</t>
  </si>
  <si>
    <t>년 3.5만km</t>
  </si>
  <si>
    <t>쌍용</t>
  </si>
  <si>
    <t>등록수수료</t>
  </si>
  <si>
    <t>년 4만km</t>
  </si>
  <si>
    <t>보증금</t>
  </si>
  <si>
    <t>증지/번호판대</t>
  </si>
  <si>
    <t>▒ 보험가입 내역</t>
  </si>
  <si>
    <t>※ 사고처리 지원 콜센터  :  1855-0052</t>
  </si>
  <si>
    <r>
      <t>보증금</t>
    </r>
    <r>
      <rPr>
        <charset val="129"/>
        <color theme="1"/>
        <family val="3"/>
        <scheme val="minor"/>
        <sz val="9"/>
        <rFont val="맑은 고딕"/>
      </rPr>
      <t>(숫자입력)</t>
    </r>
  </si>
  <si>
    <t>세차비용</t>
  </si>
  <si>
    <t>운전가능 연령</t>
  </si>
  <si>
    <t>대인 Ⅰ/Ⅱ</t>
  </si>
  <si>
    <t>대물</t>
  </si>
  <si>
    <t>사고면책금</t>
  </si>
  <si>
    <t>임직원특약</t>
  </si>
  <si>
    <t>무보험자상해</t>
  </si>
  <si>
    <t>긴급출동</t>
  </si>
  <si>
    <t>보증보험증권</t>
  </si>
  <si>
    <t>보조판대</t>
  </si>
  <si>
    <t>무한</t>
  </si>
  <si>
    <t>가입</t>
  </si>
  <si>
    <r>
      <t>증권</t>
    </r>
    <r>
      <rPr>
        <charset val="129"/>
        <color theme="1"/>
        <family val="3"/>
        <scheme val="minor"/>
        <sz val="9"/>
        <rFont val="맑은 고딕"/>
      </rPr>
      <t>(숫자입력)</t>
    </r>
  </si>
  <si>
    <t>쌍용 책임보험료</t>
  </si>
  <si>
    <t>표준형(순회정비)</t>
  </si>
  <si>
    <t>표준형 1</t>
  </si>
  <si>
    <t>※ 법인은 임직원 특약 가입 시 비용처리 가능. 단, 임직원 이외 운전 중 사고발생 시 보상 불가</t>
  </si>
  <si>
    <t>선납금</t>
  </si>
  <si>
    <t>기타2</t>
  </si>
  <si>
    <t>표준형(입고정비)</t>
  </si>
  <si>
    <t>표준형 2</t>
  </si>
  <si>
    <r>
      <t>선납금</t>
    </r>
    <r>
      <rPr>
        <charset val="129"/>
        <color theme="1"/>
        <family val="3"/>
        <scheme val="minor"/>
        <sz val="9"/>
        <rFont val="맑은 고딕"/>
      </rPr>
      <t>(숫자입력)</t>
    </r>
  </si>
  <si>
    <t>취득합계 (VAT 제외)</t>
  </si>
  <si>
    <t>실속형</t>
  </si>
  <si>
    <t>▒ 정비상품 안내</t>
  </si>
  <si>
    <t>선납렌트료</t>
  </si>
  <si>
    <t>점검형 1</t>
  </si>
  <si>
    <t>정비 상품</t>
  </si>
  <si>
    <t>정비 방식</t>
  </si>
  <si>
    <t>정비주기</t>
  </si>
  <si>
    <t>소모품교환</t>
  </si>
  <si>
    <t>사고처리</t>
  </si>
  <si>
    <t>검사대행</t>
  </si>
  <si>
    <t>사고대차</t>
  </si>
  <si>
    <t>고장대차</t>
  </si>
  <si>
    <t>만기인수금액</t>
  </si>
  <si>
    <t>점검형 2</t>
  </si>
  <si>
    <t>순회정비 (정비사 방문)</t>
  </si>
  <si>
    <t>2개월 1회</t>
  </si>
  <si>
    <t>전 품목</t>
  </si>
  <si>
    <t>지원</t>
  </si>
  <si>
    <t>O</t>
  </si>
  <si>
    <t>TUON/TUIX</t>
  </si>
  <si>
    <t>미장착</t>
  </si>
  <si>
    <t>입고정비 (고객 입고)</t>
  </si>
  <si>
    <t>소모품주기</t>
  </si>
  <si>
    <t>잔가</t>
  </si>
  <si>
    <t>보험</t>
  </si>
  <si>
    <t>면세</t>
  </si>
  <si>
    <t>정비코드</t>
  </si>
  <si>
    <t>기타1</t>
  </si>
  <si>
    <t xml:space="preserve">실속형 </t>
  </si>
  <si>
    <t>정비제외 (고객 자체정비)</t>
  </si>
  <si>
    <t>X</t>
  </si>
  <si>
    <t>임직원 미가입</t>
  </si>
  <si>
    <t>임직원가입</t>
  </si>
  <si>
    <t>※ GM쉐보레, 쌍용은 측후면 썬팅 쿠폰 선택 불가</t>
  </si>
  <si>
    <t>서울</t>
  </si>
  <si>
    <t>5만</t>
  </si>
  <si>
    <t>썬팅</t>
  </si>
  <si>
    <t>측후면</t>
  </si>
  <si>
    <t>전면</t>
  </si>
  <si>
    <t>잔가율</t>
  </si>
  <si>
    <t>기본</t>
  </si>
  <si>
    <t>가감1</t>
  </si>
  <si>
    <t>가감2</t>
  </si>
  <si>
    <t>가감3</t>
  </si>
  <si>
    <t>가감4</t>
  </si>
  <si>
    <t>합계</t>
  </si>
  <si>
    <t>가감</t>
  </si>
  <si>
    <t>경기</t>
  </si>
  <si>
    <t>10만</t>
  </si>
  <si>
    <t>자손가입</t>
  </si>
  <si>
    <t>자상가입</t>
  </si>
  <si>
    <t>탁송방법</t>
  </si>
  <si>
    <t>K Car(외주) 탁송</t>
  </si>
  <si>
    <t>탁송지역</t>
  </si>
  <si>
    <t>제조사 탁송료</t>
  </si>
  <si>
    <t>인천</t>
  </si>
  <si>
    <t>20만</t>
  </si>
  <si>
    <t>대인</t>
  </si>
  <si>
    <t>▒ 주요 계약사항</t>
  </si>
  <si>
    <t>스노우타이어</t>
  </si>
  <si>
    <t>스노우타이어금액</t>
  </si>
  <si>
    <t>강원영동</t>
  </si>
  <si>
    <t>30만</t>
  </si>
  <si>
    <t>1. 상기 견적은 당사 및 제조사 사정, 조세정책 등에 의해 변경될 수 있습니다.</t>
  </si>
  <si>
    <t>특장개조 내역</t>
  </si>
  <si>
    <t>개조 비용</t>
  </si>
  <si>
    <t>전결기준 초과. 별도 품의 요망</t>
  </si>
  <si>
    <t>강원영서</t>
  </si>
  <si>
    <t>40만</t>
  </si>
  <si>
    <t>자손/자상</t>
  </si>
  <si>
    <t>2. 당사 심사결과에 따라 신용 또는 보증계약(보증금/보증인)이 추가로 필요할 수 있습니다.</t>
  </si>
  <si>
    <t>충북</t>
  </si>
  <si>
    <t>50만</t>
  </si>
  <si>
    <t>무보험차상해</t>
  </si>
  <si>
    <t>3. 상기 금액은 자동차 보험료, 정비서비스/차량검사비, 자동차세가 포함된 금액입니다.</t>
  </si>
  <si>
    <t>기준 ROIC</t>
  </si>
  <si>
    <t>충남</t>
  </si>
  <si>
    <t>4. 중도해지 시 중도해지수수료가 발생되며, 기간별 상이합니다.(약정서 참고)</t>
  </si>
  <si>
    <t>경북</t>
  </si>
  <si>
    <t>분담금 할증</t>
  </si>
  <si>
    <r>
      <t xml:space="preserve">5. 입금 계좌번호  :  </t>
    </r>
    <r>
      <rPr>
        <b/>
        <u/>
        <charset val="129"/>
        <color rgb="FF0000FF"/>
        <family val="3"/>
        <scheme val="minor"/>
        <sz val="12"/>
        <rFont val="맑은 고딕"/>
      </rPr>
      <t xml:space="preserve">하나은행 </t>
    </r>
    <r>
      <rPr>
        <b/>
        <charset val="129"/>
        <color rgb="FF0000FF"/>
        <family val="3"/>
        <scheme val="minor"/>
        <sz val="12"/>
        <rFont val="맑은 고딕"/>
      </rPr>
      <t>201-910024-19204 [ 예금주 : 케이카 주식회사 ]</t>
    </r>
  </si>
  <si>
    <t>운전자 연령</t>
  </si>
  <si>
    <t>만 26세 이상</t>
  </si>
  <si>
    <t>자손</t>
  </si>
  <si>
    <t>ROIC</t>
  </si>
  <si>
    <t>경남</t>
  </si>
  <si>
    <t>임직원 특약</t>
  </si>
  <si>
    <t>미가입</t>
  </si>
  <si>
    <t>의무가입</t>
  </si>
  <si>
    <t>대인 ⅠⅡ, 무보험차 상해(2억), 긴급출동, 자차손해면책제도 가입</t>
  </si>
  <si>
    <t>전북</t>
  </si>
  <si>
    <t>월렌트료(선납전)</t>
  </si>
  <si>
    <t>VAT 포함</t>
  </si>
  <si>
    <t>전남</t>
  </si>
  <si>
    <t>▒ 구비서류</t>
  </si>
  <si>
    <t>월렌트료(선납후)</t>
  </si>
  <si>
    <t>제주</t>
  </si>
  <si>
    <t>개       인</t>
  </si>
  <si>
    <t xml:space="preserve">  ① 주민등록등본  ② 운전면허증 사본  ③ 인감증명서  ④ 재직증명서 or 소득/재산증빙 서류  ⑤ 자동이체통장 사본   </t>
  </si>
  <si>
    <t>연간 렌탈료</t>
  </si>
  <si>
    <t>수수료</t>
  </si>
  <si>
    <t>최대 지급기준</t>
  </si>
  <si>
    <t>AG, 딜러 합산 MAX 10%</t>
  </si>
  <si>
    <t>연간 직접비용</t>
  </si>
  <si>
    <t>개인사업자</t>
  </si>
  <si>
    <t xml:space="preserve">  ① 사업자등록증 사본 ② 주민등록등본 ③ 운전면허증 사본 ④ 인감증명서 ⑤ 소득/재산증빙 서류 ⑥ 자동이체통장 사본   </t>
  </si>
  <si>
    <t xml:space="preserve">AG </t>
  </si>
  <si>
    <t>딜러 등</t>
  </si>
  <si>
    <t>합계 수수료</t>
  </si>
  <si>
    <t>연간 감가상각비</t>
  </si>
  <si>
    <t>연간 공헌이익</t>
  </si>
  <si>
    <t>법인사업자</t>
  </si>
  <si>
    <t xml:space="preserve">  ① 사업자등록증 사본 ② 법인등기부등본 ③ 법인인감증명서 ④ 재무제표 ⑤ 자동이체통장 사본 ⑥ 주주명부   </t>
  </si>
  <si>
    <t>연간 고정비</t>
  </si>
  <si>
    <t>공동임차인</t>
  </si>
  <si>
    <t>변동비</t>
  </si>
  <si>
    <t>계산기준</t>
  </si>
  <si>
    <t>년 비용</t>
  </si>
  <si>
    <t>보험료</t>
  </si>
  <si>
    <t>정비비</t>
  </si>
  <si>
    <t>잔가율 조정</t>
  </si>
  <si>
    <t>자동차세</t>
  </si>
  <si>
    <t>기준 잔가</t>
  </si>
  <si>
    <t>AG수수료</t>
  </si>
  <si>
    <t>조정(▼)</t>
  </si>
  <si>
    <t>면책금 할증</t>
  </si>
  <si>
    <t>카드리워드수수료</t>
  </si>
  <si>
    <t>보증금 할인</t>
  </si>
  <si>
    <t>고정비</t>
  </si>
  <si>
    <t>반영 고정비</t>
  </si>
  <si>
    <t>경형</t>
  </si>
  <si>
    <t>경차 고정비</t>
  </si>
  <si>
    <t>소형</t>
  </si>
  <si>
    <t>중형</t>
  </si>
  <si>
    <t>즉출</t>
  </si>
  <si>
    <t>대형</t>
  </si>
  <si>
    <t>고급</t>
  </si>
  <si>
    <t>최고급</t>
  </si>
  <si>
    <t>SUV1</t>
  </si>
  <si>
    <t>SUV2</t>
  </si>
  <si>
    <t>SUV3</t>
  </si>
  <si>
    <t>승합</t>
  </si>
  <si>
    <t>K Car 렌트 특판 발주 요청서</t>
  </si>
  <si>
    <t>▒ 고객</t>
  </si>
  <si>
    <t>고객명</t>
  </si>
  <si>
    <t xml:space="preserve">판매
사원</t>
  </si>
  <si>
    <t>이름</t>
  </si>
  <si>
    <t>차 종</t>
  </si>
  <si>
    <t>옵션명</t>
  </si>
  <si>
    <t>유종</t>
  </si>
  <si>
    <t>외장색상</t>
  </si>
  <si>
    <t>내장색상</t>
  </si>
  <si>
    <t>옵션가격</t>
  </si>
  <si>
    <t>▒ 썬팅/용품</t>
  </si>
  <si>
    <t>용품</t>
  </si>
  <si>
    <t>특장개조</t>
  </si>
  <si>
    <t>기타</t>
  </si>
  <si>
    <t>▒ 탁송</t>
  </si>
  <si>
    <t>탁송주소</t>
  </si>
  <si>
    <t>서울시 중구 청계천로 100 시그니처타워 서관 6층</t>
  </si>
  <si>
    <t>인수자1</t>
  </si>
  <si>
    <t>인수자2</t>
  </si>
  <si>
    <t xml:space="preserve">탁송 SMS </t>
  </si>
  <si>
    <t>인수자</t>
  </si>
  <si>
    <t>AG</t>
  </si>
  <si>
    <t>▒ 비고</t>
  </si>
  <si>
    <t>특이사항</t>
  </si>
  <si>
    <t>위와 같이 렌터카 차량 발주 신청합니다.</t>
  </si>
  <si>
    <t>신청자</t>
  </si>
  <si>
    <t>렌터카 수입차 과세 출고 확인서</t>
  </si>
  <si>
    <t>K Car 렌트 전자약정 신청서</t>
  </si>
  <si>
    <t>휴대폰</t>
  </si>
  <si>
    <t xml:space="preserve">고객등본지상
주소</t>
  </si>
  <si>
    <t>E-mail</t>
  </si>
  <si>
    <t>자동이체계좌</t>
  </si>
  <si>
    <t>은행명</t>
  </si>
  <si>
    <t>결제일자</t>
  </si>
  <si>
    <t>계좌번호</t>
  </si>
  <si>
    <t>담당AG</t>
  </si>
  <si>
    <t>회사명</t>
  </si>
  <si>
    <t xml:space="preserve">전자약정
프로세스</t>
  </si>
  <si>
    <r>
      <t xml:space="preserve">심사승인 → 발주접수→ 차량 배정 → 
</t>
    </r>
    <r>
      <rPr>
        <b/>
        <u/>
        <charset val="129"/>
        <color rgb="FF0000FF"/>
        <family val="3"/>
        <scheme val="minor"/>
        <sz val="11"/>
        <rFont val="맑은 고딕"/>
      </rPr>
      <t>케이카 확정견적 및 전자약정 신청서 접수</t>
    </r>
    <r>
      <rPr>
        <charset val="129"/>
        <color theme="1"/>
        <family val="2"/>
        <scheme val="minor"/>
        <sz val="11"/>
        <rFont val="맑은 고딕"/>
      </rPr>
      <t xml:space="preserve"> → URL 발송(카카오톡) → 고객 인증 → 차량 출고</t>
    </r>
  </si>
  <si>
    <t>※ 전자약정은 차량 배정 후에 진행이 가능함</t>
  </si>
  <si>
    <t>위와 같이 전자약정을 신청합니다.</t>
  </si>
  <si>
    <t>▒  K Car 렌트 중도해지수수료율</t>
  </si>
  <si>
    <t xml:space="preserve">  ㅇ 계산시  :  월임대료(VAT 별도)  X  12  /  365  X  잔여기간  X  중도해지수수료율    </t>
  </si>
  <si>
    <t>구분</t>
  </si>
  <si>
    <t>~12개월</t>
  </si>
  <si>
    <t>24개월</t>
  </si>
  <si>
    <t>36개월</t>
  </si>
  <si>
    <t>48개월</t>
  </si>
  <si>
    <t>60개월</t>
  </si>
  <si>
    <t xml:space="preserve">경과
기간</t>
  </si>
  <si>
    <t>~ 12개월</t>
  </si>
  <si>
    <t>13 ~ 24개월</t>
  </si>
  <si>
    <t>25 ~ 36개월</t>
  </si>
  <si>
    <t>37 ~ 48개월</t>
  </si>
  <si>
    <t>49 ~ 60개월</t>
  </si>
  <si>
    <t>▒ 콜센터 운영 체계</t>
  </si>
  <si>
    <t>구   분</t>
  </si>
  <si>
    <t>대 표 번 호</t>
  </si>
  <si>
    <t>운 영 시 간</t>
  </si>
  <si>
    <t>참 고 사 항</t>
  </si>
  <si>
    <t>평 일</t>
  </si>
  <si>
    <t>토,일요일 / 공휴일</t>
  </si>
  <si>
    <t>K Car 렌트 (본사)</t>
  </si>
  <si>
    <t>1855-0052</t>
  </si>
  <si>
    <t>09시 ~ 18시</t>
  </si>
  <si>
    <t>휴 무</t>
  </si>
  <si>
    <t xml:space="preserve">사고,고장,정비접수 및 일반상담 </t>
  </si>
  <si>
    <t>제휴 콜센터</t>
  </si>
  <si>
    <t>본사 근무시간 外 제휴 콜센터에서 고객상담</t>
  </si>
  <si>
    <r>
      <t xml:space="preserve">▒ </t>
    </r>
    <r>
      <rPr>
        <b/>
        <charset val="129"/>
        <family val="3"/>
        <scheme val="minor"/>
        <sz val="13"/>
        <rFont val="맑은 고딕"/>
      </rPr>
      <t>정비서비스 상품</t>
    </r>
  </si>
  <si>
    <t>상 품 명</t>
  </si>
  <si>
    <t>순회 주기</t>
  </si>
  <si>
    <t>정비 서비스</t>
  </si>
  <si>
    <t>대차 서비스</t>
  </si>
  <si>
    <t>소모품 교환</t>
  </si>
  <si>
    <t>타이어</t>
  </si>
  <si>
    <t>고장</t>
  </si>
  <si>
    <t>사고</t>
  </si>
  <si>
    <t>표준형 (순회정비)</t>
  </si>
  <si>
    <t>2개월</t>
  </si>
  <si>
    <t>●</t>
  </si>
  <si>
    <t xml:space="preserve">소모품 + 일반정비 </t>
  </si>
  <si>
    <t>선택시 가능</t>
  </si>
  <si>
    <t>표준형 (입고정비)</t>
  </si>
  <si>
    <t>소모품 + 일반정비</t>
  </si>
  <si>
    <t>소모품 제공 없음 (고객자체 해결)</t>
  </si>
  <si>
    <t xml:space="preserve">▒ 소모품 교환주기표 </t>
  </si>
  <si>
    <t>소 모 품 항 목</t>
  </si>
  <si>
    <t>점 검(Km)</t>
  </si>
  <si>
    <t>교 환(Km)</t>
  </si>
  <si>
    <t>엔진오일 세트</t>
  </si>
  <si>
    <t>소형 긴급출동 5,000km 교환</t>
  </si>
  <si>
    <t>1만km (+/- 10%) or 6개월 경과시</t>
  </si>
  <si>
    <t>ⓘ 일반적인 교환 주기이며 제작사 차종에 따라</t>
  </si>
  <si>
    <t>와이퍼브러쉬</t>
  </si>
  <si>
    <t>2만km (+/- 10%) or 6개월 경과시</t>
  </si>
  <si>
    <t xml:space="preserve">   상이 할수 있음</t>
  </si>
  <si>
    <t>에어컨필터</t>
  </si>
  <si>
    <t>타 이 어</t>
  </si>
  <si>
    <t>교체 이력 없을 시</t>
  </si>
  <si>
    <t>② 항목에 없는 건은 담당자와 협의</t>
  </si>
  <si>
    <t>배 터 리</t>
  </si>
  <si>
    <t>-</t>
  </si>
  <si>
    <t>1개월 內 동일 증상 3회 이상 방전시</t>
  </si>
  <si>
    <t>브래이크 패드(전)</t>
  </si>
  <si>
    <t>이상 발생시</t>
  </si>
  <si>
    <t>③ 각 교환 항목 중 교환 주기와 관계없이</t>
  </si>
  <si>
    <t>브래이크 패드(후)</t>
  </si>
  <si>
    <t xml:space="preserve">   교환 사유가 발생한 경우, 사진촬영, 담당자와</t>
  </si>
  <si>
    <t>브레이크 디스크</t>
  </si>
  <si>
    <t>점검 후 불량시</t>
  </si>
  <si>
    <t xml:space="preserve">   협의 후 교환</t>
  </si>
  <si>
    <t>전구류, 휴즈</t>
  </si>
  <si>
    <t>수시 점검</t>
  </si>
  <si>
    <t xml:space="preserve">    </t>
  </si>
  <si>
    <t>탁송료</t>
  </si>
  <si>
    <t>종류</t>
  </si>
  <si>
    <t>잔가군</t>
  </si>
  <si>
    <t>할인율</t>
  </si>
  <si>
    <t>개소세</t>
  </si>
  <si>
    <t>출고지</t>
  </si>
  <si>
    <t>Tuon/tuix 탁송료</t>
  </si>
  <si>
    <t>관리등급</t>
  </si>
  <si>
    <t>추가탁송료</t>
  </si>
  <si>
    <t>베뉴 1.6 가솔린</t>
  </si>
  <si>
    <t>승용</t>
  </si>
  <si>
    <t>B</t>
  </si>
  <si>
    <t>가솔린</t>
  </si>
  <si>
    <t>울산</t>
  </si>
  <si>
    <t xml:space="preserve">코나 1.6 가솔린 </t>
  </si>
  <si>
    <t>S+</t>
  </si>
  <si>
    <t>코나 1.6 가솔린 N Line</t>
  </si>
  <si>
    <t xml:space="preserve">코나 2.0 가솔린 </t>
  </si>
  <si>
    <t>코나 2.0 가솔린 N Line</t>
  </si>
  <si>
    <t>코나 1.6 HEV</t>
  </si>
  <si>
    <t>A</t>
  </si>
  <si>
    <t>HEV</t>
  </si>
  <si>
    <t>캐스퍼 1.0 가솔린</t>
  </si>
  <si>
    <t>S</t>
  </si>
  <si>
    <t>완전</t>
  </si>
  <si>
    <t>아산</t>
  </si>
  <si>
    <t>캐스퍼 1.0 가솔린 밴</t>
  </si>
  <si>
    <t>V+</t>
  </si>
  <si>
    <t>아반떼 1.6 Lpi</t>
  </si>
  <si>
    <t>LPG</t>
  </si>
  <si>
    <t>조건부</t>
  </si>
  <si>
    <t>아반떼 N Line</t>
  </si>
  <si>
    <t>V</t>
  </si>
  <si>
    <t>아반떼 HEV</t>
  </si>
  <si>
    <t>벨로스터N 가솔린 2.0</t>
  </si>
  <si>
    <t>D</t>
  </si>
  <si>
    <t>장착불가</t>
  </si>
  <si>
    <t>스타리아 라운지 LPG 3.5(7인)</t>
  </si>
  <si>
    <t>다인승</t>
  </si>
  <si>
    <t>스타리아 라운지 LPG 3.5(9인)</t>
  </si>
  <si>
    <t>스타리아 라운지 디젤 2.2(7인)</t>
  </si>
  <si>
    <t>디젤</t>
  </si>
  <si>
    <t>스타리아 라운지 디젤 2.2(9인)</t>
  </si>
  <si>
    <t>스타리아 투어러 LPG 3.5(9인)</t>
  </si>
  <si>
    <t>스타리아 투어러 LPG 3.5(11인)</t>
  </si>
  <si>
    <t>스타리아 투어러 디젤 2.2(9인)</t>
  </si>
  <si>
    <t>스타리아 투어러 디젤 2.2(11인)</t>
  </si>
  <si>
    <t>쏘나타 HEV</t>
  </si>
  <si>
    <t>영남</t>
  </si>
  <si>
    <t>쏘나타 1.6 가솔린</t>
  </si>
  <si>
    <t>쏘나타 2.0 가솔린</t>
  </si>
  <si>
    <t>쏘나타 2.0 LPG</t>
  </si>
  <si>
    <t>그랜져 3.5 LPG</t>
  </si>
  <si>
    <t>그랜져 1.6 HEV</t>
  </si>
  <si>
    <t>그랜져 2.5 가솔린</t>
  </si>
  <si>
    <t>그랜져 3.5 가솔린</t>
  </si>
  <si>
    <t xml:space="preserve">G70 2.0 가솔린 </t>
  </si>
  <si>
    <t xml:space="preserve">G70 3.3 가솔린 </t>
  </si>
  <si>
    <t>G70 SHOOTING BRAKE</t>
  </si>
  <si>
    <t>G80 2.2 디젤</t>
  </si>
  <si>
    <t>G80 2.5 가솔린 터보</t>
  </si>
  <si>
    <t>G80 3.5 가솔린 터보</t>
  </si>
  <si>
    <t>G90 3.5 가솔린</t>
  </si>
  <si>
    <t>G90 3.5 LONG WHEEL BASE</t>
  </si>
  <si>
    <t>G</t>
  </si>
  <si>
    <t xml:space="preserve">투싼 1.6 가솔린 </t>
  </si>
  <si>
    <t>투싼 2.0 디젤</t>
  </si>
  <si>
    <t>투싼 1.6 가솔린 HEV</t>
  </si>
  <si>
    <t>싼타페 2.2 디젤(5인)</t>
  </si>
  <si>
    <t>싼타페 2.2 디젤(7인)</t>
  </si>
  <si>
    <t>싼타페 2.5 가솔린(5인)</t>
  </si>
  <si>
    <t>싼타페 2.5 가솔린(7인)</t>
  </si>
  <si>
    <t>싼타페 HEV(5인)</t>
  </si>
  <si>
    <t>싼타페 HEV(6인)</t>
  </si>
  <si>
    <t>싼타페 HEV(7인)</t>
  </si>
  <si>
    <t>싼타페 HEV HTRAC(5인)</t>
  </si>
  <si>
    <t>HEV_</t>
  </si>
  <si>
    <t>싼타페 HEV HTRAC(6인)</t>
  </si>
  <si>
    <t>싼타페 HEV HTRAC(7인)</t>
  </si>
  <si>
    <t>팰리세이드 2.2 디젤(7인)</t>
  </si>
  <si>
    <t>팰리세이드 2.2 디젤(8인)</t>
  </si>
  <si>
    <t>팰리세이드 3.8 가솔린(7인)</t>
  </si>
  <si>
    <t>팰리세이드 3.8 가솔린(8인)</t>
  </si>
  <si>
    <t>GV70 2.5 터보 가솔린</t>
  </si>
  <si>
    <t>GV70 3.5 터보 가솔린</t>
  </si>
  <si>
    <t>GV70 2.2 디젤</t>
  </si>
  <si>
    <t>GV80 3.0 디젤(5인)</t>
  </si>
  <si>
    <t>GV80 3.0 디젤(7인)</t>
  </si>
  <si>
    <t>GV80 2.5 터보 가솔린(5인)</t>
  </si>
  <si>
    <t>GV80 2.5 터보 가솔린(7인)</t>
  </si>
  <si>
    <t>GV80 3.5 터보 가솔린(5인)</t>
  </si>
  <si>
    <t>GV80 3.5 터보 가솔린(6인)</t>
  </si>
  <si>
    <t>GV80 3.5 터보 가솔린(7인)</t>
  </si>
  <si>
    <t>모닝 1.0 가솔린</t>
  </si>
  <si>
    <t>서산</t>
  </si>
  <si>
    <t>모닝 1.0 가솔린(밴)</t>
  </si>
  <si>
    <t>레이 1.0 가솔린</t>
  </si>
  <si>
    <t>레이 1.0 LPG</t>
  </si>
  <si>
    <t>C</t>
  </si>
  <si>
    <t>레이 1.0 밴</t>
  </si>
  <si>
    <t>레이 1.0 밴 (1인승)</t>
  </si>
  <si>
    <t>셀토스 1.6 가솔린</t>
  </si>
  <si>
    <t>광주</t>
  </si>
  <si>
    <t>셀토스 2.0 가솔린</t>
  </si>
  <si>
    <t>THE NEW K3 1.6 가솔린</t>
  </si>
  <si>
    <t>화성</t>
  </si>
  <si>
    <t>THE NEW K3 1.6 가솔린 터보</t>
  </si>
  <si>
    <t xml:space="preserve">K5 1.6 가솔린 </t>
  </si>
  <si>
    <t>K5 2.0 LPG</t>
  </si>
  <si>
    <t>K5 2.0 가솔린</t>
  </si>
  <si>
    <t>K5 HEV</t>
  </si>
  <si>
    <t xml:space="preserve">K9 3.3 가솔린 </t>
  </si>
  <si>
    <t>소하리</t>
  </si>
  <si>
    <t>K9 3.8 가솔린</t>
  </si>
  <si>
    <t>K9 5.0 가솔린</t>
  </si>
  <si>
    <t>E</t>
  </si>
  <si>
    <t>K8 2.5 가솔린</t>
  </si>
  <si>
    <t>K8 3.5 가솔린</t>
  </si>
  <si>
    <t>K8 3.5 LPG</t>
  </si>
  <si>
    <t>K8 터보 HEV</t>
  </si>
  <si>
    <t xml:space="preserve">스팅어 2.5 가솔린 </t>
  </si>
  <si>
    <t xml:space="preserve">스팅어 3.3 가솔린 </t>
  </si>
  <si>
    <t>니로 1.6 HEV</t>
  </si>
  <si>
    <t>스포티지 1.6 가솔린</t>
  </si>
  <si>
    <t>스포티지 2.0 디젤</t>
  </si>
  <si>
    <t>스포티지 HEV</t>
  </si>
  <si>
    <t>스포티지 LPG</t>
  </si>
  <si>
    <t>쏘렌토 가솔린(5인승) 신형</t>
  </si>
  <si>
    <t>쏘렌토 가솔린(6인승) 신형</t>
  </si>
  <si>
    <t>쏘렌토 가솔린(7인승) 신형</t>
  </si>
  <si>
    <t>쏘렌토 2.2 디젤(5인) 신형</t>
  </si>
  <si>
    <t>쏘렌토 2.2 디젤(6인) 신형</t>
  </si>
  <si>
    <t>쏘렌토 2.2 디젤(7인) 신형</t>
  </si>
  <si>
    <t>쏘렌토1.6 HEV(5인) 2WD</t>
  </si>
  <si>
    <t>쏘렌토1.6 HEV(6인) 2WD</t>
  </si>
  <si>
    <t>쏘렌토1.6 HEV(7인) 2WD</t>
  </si>
  <si>
    <t>쏘렌토1.6 HEV(5인) 4WD</t>
  </si>
  <si>
    <t>쏘렌토1.6 HEV(6인) 4WD</t>
  </si>
  <si>
    <t>쏘렌토1.6 HEV(7인) 4WD</t>
  </si>
  <si>
    <t>모하비 3.0 디젤(5인)</t>
  </si>
  <si>
    <t>모하비 3.0 디젤(6인)</t>
  </si>
  <si>
    <t>모하비 3.0 디젤(7인)</t>
  </si>
  <si>
    <t>카니발 2.2 디젤(7인)</t>
  </si>
  <si>
    <t>카니발 2.2 디젤(9인)</t>
  </si>
  <si>
    <t>카니발 2.2 디젤(11인)</t>
  </si>
  <si>
    <t>카니발 하이LIM 2.2 디젤(7인)</t>
  </si>
  <si>
    <t>덕평</t>
  </si>
  <si>
    <t>카니발 하이LIM 2.2 디젤(9인)</t>
  </si>
  <si>
    <t>카니발 하이LIM 3.5 가솔린(4인)</t>
  </si>
  <si>
    <t>카니발 하이LIM 3.5 가솔린(7인)</t>
  </si>
  <si>
    <t>카니발 하이LIM 3.5 가솔린(9인)</t>
  </si>
  <si>
    <t>카니발 3.5 가솔린(7인)</t>
  </si>
  <si>
    <t>카니발 3.5 가솔린(9인)</t>
  </si>
  <si>
    <t>카니발 3.5 가솔린(11인)</t>
  </si>
  <si>
    <t>SM6 TCE 260</t>
  </si>
  <si>
    <t>부산</t>
  </si>
  <si>
    <t>SM6 TCE 300</t>
  </si>
  <si>
    <t>SM6 2.0 Lpe</t>
  </si>
  <si>
    <t>QM6 2.0 Gde</t>
  </si>
  <si>
    <t xml:space="preserve">QM6 2.0 LPe </t>
  </si>
  <si>
    <t>QM6 2.0 dCi</t>
  </si>
  <si>
    <t>XM3 Tce 260</t>
  </si>
  <si>
    <t>XM3 1.6</t>
  </si>
  <si>
    <t>스파크 1.0 가솔린</t>
  </si>
  <si>
    <t>창원</t>
  </si>
  <si>
    <t xml:space="preserve">스파크 1.0 밴 </t>
  </si>
  <si>
    <t xml:space="preserve">트랙스 1.4 가솔린 </t>
  </si>
  <si>
    <t>트랙스 1.6 디젤</t>
  </si>
  <si>
    <t xml:space="preserve">트레일블레이저 1.2 가솔린 </t>
  </si>
  <si>
    <t xml:space="preserve">트레일블레이저 1.35 가솔린 </t>
  </si>
  <si>
    <t xml:space="preserve">말리부 1.3 가솔린 </t>
  </si>
  <si>
    <t>말리부 1.6 디젤</t>
  </si>
  <si>
    <t xml:space="preserve">말리부 2.0 가솔린 </t>
  </si>
  <si>
    <t>말리부 1.8 HEV</t>
  </si>
  <si>
    <t>트래버스 3.6 가솔린</t>
  </si>
  <si>
    <t>평택</t>
  </si>
  <si>
    <t>이쿼녹스 1.6 디젤</t>
  </si>
  <si>
    <t>올뉴렉스턴 2.2 디젤(5인)</t>
  </si>
  <si>
    <t>올뉴렉스턴 2.2 디젤(7인)</t>
  </si>
  <si>
    <t>토레스 가솔린 1.5</t>
  </si>
  <si>
    <t>티볼리 1.6 디젤</t>
  </si>
  <si>
    <t>티볼리 1.5 가솔린</t>
  </si>
  <si>
    <t>티볼리 1.6 가솔린</t>
  </si>
  <si>
    <t>티볼리 에어 가솔린</t>
  </si>
  <si>
    <t>코란도 1.6 디젤</t>
  </si>
  <si>
    <t>코란도 1.5 가솔린</t>
  </si>
  <si>
    <t>코란도 2.2 투리스모(9인)</t>
  </si>
  <si>
    <t>코란도 2.2 투리스모(11인)</t>
  </si>
  <si>
    <t>`</t>
  </si>
  <si>
    <t>▶ 정비비</t>
  </si>
  <si>
    <t xml:space="preserve">   - 현재 적용 테이블</t>
  </si>
  <si>
    <t>순회정비 : 아래 테이블</t>
  </si>
  <si>
    <t>① 2014년 MT팀장의견으로 적용비율 결정</t>
  </si>
  <si>
    <t>입고정비 : 테이블 80%</t>
  </si>
  <si>
    <t>② 과거 5년 정비비 실적으로 계산</t>
  </si>
  <si>
    <t>베이직 : 아래 테이블의 베이직 적용</t>
  </si>
  <si>
    <t>실속형 : 아래 테이블의 30%</t>
  </si>
  <si>
    <t>운전거리</t>
  </si>
  <si>
    <t>개월수</t>
  </si>
  <si>
    <t>비고</t>
  </si>
  <si>
    <t>1만Km</t>
  </si>
  <si>
    <t>1.5만Km</t>
  </si>
  <si>
    <t>2만Km</t>
  </si>
  <si>
    <t>2.5만Km</t>
  </si>
  <si>
    <t>3만Km</t>
  </si>
  <si>
    <t>3.5만Km</t>
  </si>
  <si>
    <t>4만Km</t>
  </si>
  <si>
    <t>차종코드</t>
  </si>
  <si>
    <t>차종그룹</t>
  </si>
  <si>
    <t>차종명</t>
  </si>
  <si>
    <t>차종등록일</t>
  </si>
  <si>
    <t>차량금액</t>
  </si>
  <si>
    <t>연료종류</t>
  </si>
  <si>
    <t>변속기</t>
  </si>
  <si>
    <t>에이전트</t>
  </si>
  <si>
    <t>판매여부</t>
  </si>
  <si>
    <t>제작사</t>
  </si>
  <si>
    <t>사용여부</t>
  </si>
  <si>
    <t>요금그룹</t>
  </si>
  <si>
    <t>유류1</t>
  </si>
  <si>
    <t>유류2</t>
  </si>
  <si>
    <t>탑승인원</t>
  </si>
  <si>
    <t>중고차잔가율</t>
  </si>
  <si>
    <t>출하장명</t>
  </si>
  <si>
    <t>앞타이어</t>
  </si>
  <si>
    <t>앞타이어금액</t>
  </si>
  <si>
    <t>뒤타이어</t>
  </si>
  <si>
    <t>뒤타이어금액</t>
  </si>
  <si>
    <t>최초등록자</t>
  </si>
  <si>
    <t>최초등록일시</t>
  </si>
  <si>
    <t>최종수정자</t>
  </si>
  <si>
    <t>최종수정일시</t>
  </si>
  <si>
    <t>탈부착비용</t>
  </si>
  <si>
    <t>CLIO</t>
  </si>
  <si>
    <t>CLIO 1.5dCi ICONIC - AT</t>
  </si>
  <si>
    <t>경유</t>
  </si>
  <si>
    <t>AT</t>
  </si>
  <si>
    <t>오픈함</t>
  </si>
  <si>
    <t>르노삼성</t>
  </si>
  <si>
    <t>E1</t>
  </si>
  <si>
    <t>E등급</t>
  </si>
  <si>
    <t>출하장미지정</t>
  </si>
  <si>
    <t>205/45R17</t>
  </si>
  <si>
    <t>anbh_안병홍</t>
  </si>
  <si>
    <t>CLIO 1.5dCi INTENS Panoramic - AT</t>
  </si>
  <si>
    <t>CLIO 1.5dCi ZEN - AT</t>
  </si>
  <si>
    <t>i30</t>
  </si>
  <si>
    <t>i30 가솔린1.6터보 N 라인 7단DCT - AT</t>
  </si>
  <si>
    <t>D2</t>
  </si>
  <si>
    <t>C등급</t>
  </si>
  <si>
    <t>현대_울산</t>
  </si>
  <si>
    <t>225/40R18</t>
  </si>
  <si>
    <t>i40</t>
  </si>
  <si>
    <t>i40 1.7 VGT Premium - AT</t>
  </si>
  <si>
    <t>오픈안함</t>
  </si>
  <si>
    <t>N</t>
  </si>
  <si>
    <t>E3</t>
  </si>
  <si>
    <t>F등급</t>
  </si>
  <si>
    <t>100_기본값</t>
  </si>
  <si>
    <t>안병홍_안병홍</t>
  </si>
  <si>
    <t>wonsil_남원실</t>
  </si>
  <si>
    <t>i40 1.7 VGT Smart - AT</t>
  </si>
  <si>
    <t>i40 2.0 GDi Premium - AT</t>
  </si>
  <si>
    <t>i40 2.0 GDi Smart - AT</t>
  </si>
  <si>
    <t>i40 Saloon 1.7 VGT Premium - AT</t>
  </si>
  <si>
    <t>i40 Saloon</t>
  </si>
  <si>
    <t>i40 Saloon 1.7 VGT Smart - AT</t>
  </si>
  <si>
    <t>i40 Saloon 2.0 GDi Premium - AT</t>
  </si>
  <si>
    <t>D등급</t>
  </si>
  <si>
    <t>i40 Saloon 2.0 GDi Smart - AT</t>
  </si>
  <si>
    <t>K3</t>
  </si>
  <si>
    <t>K3 1.6 가솔린 노블레스 - AT</t>
  </si>
  <si>
    <t>D1</t>
  </si>
  <si>
    <t>기아_화성</t>
  </si>
  <si>
    <t>205/55R16</t>
  </si>
  <si>
    <t>K3 1.6 가솔린 럭셔리 - AT</t>
  </si>
  <si>
    <t>195/65R15</t>
  </si>
  <si>
    <t>K3 1.6 가솔린 터보 GT Basic 4도어 DCT - AT</t>
  </si>
  <si>
    <t>K3 1.6 가솔린 터보 GT Basic 5도어 DCT - AT</t>
  </si>
  <si>
    <t>K3 1.6 가솔린 터보 GT Plus 4도어 DCT - AT</t>
  </si>
  <si>
    <t>K3 1.6 가솔린 터보 GT Plus 5도어 DCT - AT</t>
  </si>
  <si>
    <t>K3 1.6 가솔린 트렌디 - AT</t>
  </si>
  <si>
    <t>K3 1.6 가솔린 프레스티지 - AT</t>
  </si>
  <si>
    <t>K5</t>
  </si>
  <si>
    <t>2020 K5 1.6 가솔린 터보 노블레스 - AT</t>
  </si>
  <si>
    <t>2020 K5</t>
  </si>
  <si>
    <t>E2</t>
  </si>
  <si>
    <t>A등급</t>
  </si>
  <si>
    <t>235/45R18</t>
  </si>
  <si>
    <t>inni8888_김인규</t>
  </si>
  <si>
    <t>2020 K5 1.6 가솔린 터보 시그니처 - AT</t>
  </si>
  <si>
    <t>2020 K5 1.6 가솔린 터보 트렌디 - AT</t>
  </si>
  <si>
    <t>215/55R17</t>
  </si>
  <si>
    <t>2020 K5 1.6 가솔린 터보 프레스티지 - AT</t>
  </si>
  <si>
    <t>2020 K5 2.0 LPG 노블레스 - AT</t>
  </si>
  <si>
    <t>2020 K5 2.0 LPG 시그니처 - AT</t>
  </si>
  <si>
    <t>2020 K5 2.0 LPG 프레스티지 - AT</t>
  </si>
  <si>
    <t>2020 K5 2.0 가솔린 노블레스 - AT</t>
  </si>
  <si>
    <t>2020 K5 2.0 가솔린 시그니쳐 - AT</t>
  </si>
  <si>
    <t>mncat_홍새미나</t>
  </si>
  <si>
    <t>2020 K5 2.0 가솔린 트렌디 - AT</t>
  </si>
  <si>
    <t>2020 K5 2.0 가솔린 프레스티지 - AT</t>
  </si>
  <si>
    <t>2020 K5 렌트카 2.0 LPI 스탠다드 - AT</t>
  </si>
  <si>
    <t>205/65R16</t>
  </si>
  <si>
    <t>2020 K5 렌트카 2.0 LPI 트렌디 - AT</t>
  </si>
  <si>
    <t>2020 K5 하이브리드 노블레스 - AT</t>
  </si>
  <si>
    <t>하이브리드(가솔린)</t>
  </si>
  <si>
    <t>F</t>
  </si>
  <si>
    <t>2020 K5 하이브리드 시그니쳐 - AT</t>
  </si>
  <si>
    <t>2020 K5 하이브리드 트렌디 - AT</t>
  </si>
  <si>
    <t>2020 K5 하이브리드 프레스티지 - AT</t>
  </si>
  <si>
    <t>K7</t>
  </si>
  <si>
    <t>K7 Premier 2.2 디젤 노블레스 - AT</t>
  </si>
  <si>
    <t>K7 Premier</t>
  </si>
  <si>
    <t>I0</t>
  </si>
  <si>
    <t>S등급</t>
  </si>
  <si>
    <t>245/45R18</t>
  </si>
  <si>
    <t>K7 Premier 2.2 디젤 프레스티지 - AT</t>
  </si>
  <si>
    <t>I1</t>
  </si>
  <si>
    <t>225/55R17</t>
  </si>
  <si>
    <t>K7 Premier 2.2 디젤 프레스티지 19인치 휠 포함 - AT</t>
  </si>
  <si>
    <t>245/40R19</t>
  </si>
  <si>
    <t>K7 Premier 2.5 GDi X 에디션 - AT</t>
  </si>
  <si>
    <t>K7 Premier 2.5 GDi 노블레스 - AT</t>
  </si>
  <si>
    <t>K7 Premier 2.5 GDi 프레스티지 - AT</t>
  </si>
  <si>
    <t>K7 Premier 3.0 GDi 노블레스 - AT</t>
  </si>
  <si>
    <t>K7 Premier 3.0 GDi 시그니처 - AT</t>
  </si>
  <si>
    <t>K7 Premier 3.0 LPi 노블레스 - AT</t>
  </si>
  <si>
    <t>F1</t>
  </si>
  <si>
    <t>K7 Premier 3.0 LPi 프레스티지 - AT</t>
  </si>
  <si>
    <t>K7 Premier 3.0 LPi(렌터카) 스탠다드 - AT</t>
  </si>
  <si>
    <t>K7 Premier 3.0 LPi(렌터카) 트렌디 - AT</t>
  </si>
  <si>
    <t>K7 Premier 3.0 LPi(렌터카) 프레스티지 - AT</t>
  </si>
  <si>
    <t>K7 Premier 하이브리드 노블레스 - AT</t>
  </si>
  <si>
    <t>I2</t>
  </si>
  <si>
    <t>B등급</t>
  </si>
  <si>
    <t>K7 Premier 하이브리드 시그니처 - AT</t>
  </si>
  <si>
    <t>I3</t>
  </si>
  <si>
    <t>K7 Premier 하이브리드 프레스티지 - AT</t>
  </si>
  <si>
    <t>K9</t>
  </si>
  <si>
    <t>THE K9 3.3 GDI 법인전용 고급형 - AT</t>
  </si>
  <si>
    <t>THE K9</t>
  </si>
  <si>
    <t>I4</t>
  </si>
  <si>
    <t>기아_소하리</t>
  </si>
  <si>
    <t>245/45R19</t>
  </si>
  <si>
    <t>275/40R19</t>
  </si>
  <si>
    <t>jeonhy_전하영</t>
  </si>
  <si>
    <t>THE K9 3.3 GDI 법인전용 기본형 - AT</t>
  </si>
  <si>
    <t>245/50R18</t>
  </si>
  <si>
    <t>THE K9 3.3 가솔린 터보 그랜드마스터즈 - AT</t>
  </si>
  <si>
    <t>THE K9 3.3 가솔린 터보 마스터즈Ⅱ 2WD - AT</t>
  </si>
  <si>
    <t>THE K9 3.3 가솔린 터보 마스터즈Ⅱ AWD - AT</t>
  </si>
  <si>
    <t>THE K9 3.3 가솔린 터보 마스터즈Ⅲ AWD - AT</t>
  </si>
  <si>
    <t>THE K9 3.8 가솔린 그랜드플래티넘 AWD - AT</t>
  </si>
  <si>
    <t>THE K9 3.8 가솔린 플래티넘Ⅰ 2WD - AT</t>
  </si>
  <si>
    <t>THE K9 3.8 가솔린 플래티넘Ⅰ AWD - AT</t>
  </si>
  <si>
    <t>THE K9 3.8 가솔린 플래티넘Ⅱ 2WD - AT</t>
  </si>
  <si>
    <t>THE K9 3.8 가솔린 플래티넘Ⅱ AWD - AT</t>
  </si>
  <si>
    <t>THE K9 3.8 가솔린 플래티넘Ⅲ AWD - AT</t>
  </si>
  <si>
    <t>THE K9 5.0 가솔린 퀸덤 - AT</t>
  </si>
  <si>
    <t>QM6</t>
  </si>
  <si>
    <t>THE NEW QM6 1.7 dCi 2WD RE - AT</t>
  </si>
  <si>
    <t>THE NEW QM6</t>
  </si>
  <si>
    <t>H2</t>
  </si>
  <si>
    <t>삼성_부산</t>
  </si>
  <si>
    <t>225/60R18</t>
  </si>
  <si>
    <t>THE NEW QM6 1.7 dCi 2WD RE Signature - AT</t>
  </si>
  <si>
    <t>THE NEW QM6 1.7 dCi 2WD SE - AT</t>
  </si>
  <si>
    <t>225/65R17</t>
  </si>
  <si>
    <t>THE NEW QM6 2.0 dCi 4WD PREMIERE - AT</t>
  </si>
  <si>
    <t>225/55R19</t>
  </si>
  <si>
    <t>THE NEW QM6 2.0 dCi 4WD RE - AT</t>
  </si>
  <si>
    <t>THE NEW QM6 2.0 dCi 4WD RE Signature - AT</t>
  </si>
  <si>
    <t>THE NEW QM6 2.0 GDe 2WD LE - AT</t>
  </si>
  <si>
    <t>THE NEW QM6 2.0 GDe 2WD PREMIERE - AT</t>
  </si>
  <si>
    <t>THE NEW QM6 2.0 GDe 2WD RE - AT</t>
  </si>
  <si>
    <t>THE NEW QM6 2.0 GDe 2WD RE Signature - AT</t>
  </si>
  <si>
    <t>THE NEW QM6 2.0 GDe 2WD SE - AT</t>
  </si>
  <si>
    <t>THE NEW QM6 2.0 LPe 2ED LE - AT</t>
  </si>
  <si>
    <t>THE NEW QM6 2.0 LPe 2ED RE - AT</t>
  </si>
  <si>
    <t>THE NEW QM6 2.0 LPe 2ED RE Signature - AT</t>
  </si>
  <si>
    <t>THE NEW QM6 2.0 LPe 2ED SE - AT</t>
  </si>
  <si>
    <t>SM3</t>
  </si>
  <si>
    <t>SM3 Z.E. RE - AT</t>
  </si>
  <si>
    <t>전기</t>
  </si>
  <si>
    <t>SM3 Z.E. SE - AT</t>
  </si>
  <si>
    <t>SM5</t>
  </si>
  <si>
    <t>SM5 2.0 LPe 고급형 - AT</t>
  </si>
  <si>
    <t>205/60R16</t>
  </si>
  <si>
    <t>SM5 2.0 LPe 최고급형 - AT</t>
  </si>
  <si>
    <t>SM520L</t>
  </si>
  <si>
    <t>SM5 2.0 가솔린 Classic - AT</t>
  </si>
  <si>
    <t>gwlee_이국원</t>
  </si>
  <si>
    <t>SM5 Nova G(가솔린) Classic - AT</t>
  </si>
  <si>
    <t>SM5 Nova</t>
  </si>
  <si>
    <t>SM5 Nova TCE(Turbo Control Efficiency) TCE - AT</t>
  </si>
  <si>
    <t>215/50R17</t>
  </si>
  <si>
    <t>SM5 Platinum 장애인용 LE  - AT</t>
  </si>
  <si>
    <t>G등급</t>
  </si>
  <si>
    <t>capsh_배성현</t>
  </si>
  <si>
    <t>SM5 Platinum 장애인용 LE S/S 컬렉션 - AT</t>
  </si>
  <si>
    <t>john</t>
  </si>
  <si>
    <t>SM5 Platinum 장애인용 RE  - AT</t>
  </si>
  <si>
    <t>SM5 Platinum 장애인용 RE S/S 컬렉션 - AT</t>
  </si>
  <si>
    <t>SM5 Platinum 장애인용 SE Plus  - AT</t>
  </si>
  <si>
    <t>SM5JSE</t>
  </si>
  <si>
    <t>SM5 장애우용 RE  - AT</t>
  </si>
  <si>
    <t>황광규_황광규</t>
  </si>
  <si>
    <t>SM5 장애인용 LE  - AT</t>
  </si>
  <si>
    <t>SM5 택시/렌터카 고급형 - AT</t>
  </si>
  <si>
    <t>SM5 택시/렌트카 최고급형 - AT</t>
  </si>
  <si>
    <t>정성욱_정성욱</t>
  </si>
  <si>
    <t>SM6</t>
  </si>
  <si>
    <t>SM6 2.0 GDe LE - AT</t>
  </si>
  <si>
    <t>SM6 2.0 GDe LE Special - AT</t>
  </si>
  <si>
    <t>SM6 2.0 GDe PE - AT</t>
  </si>
  <si>
    <t>SM6 2.0 GDe RE - AT</t>
  </si>
  <si>
    <t>SM6 2.0 GDe SE - AT</t>
  </si>
  <si>
    <t>SM6 2.0 LPe LE - AT</t>
  </si>
  <si>
    <t>SM6 2.0 LPe RE - AT</t>
  </si>
  <si>
    <t>SM6 2.0 LPe SE - AT</t>
  </si>
  <si>
    <t>SM6 2.0 LPe 렌트카 PE - AT</t>
  </si>
  <si>
    <t>SM6 2.0 LPe 렌트카 SE - AT</t>
  </si>
  <si>
    <t>SM6 PREMIERE 2.0 GDe - AT</t>
  </si>
  <si>
    <t>E4</t>
  </si>
  <si>
    <t>SM7</t>
  </si>
  <si>
    <t>SM7 Nova V6 2.5 . - AT</t>
  </si>
  <si>
    <t>SM7 Nova</t>
  </si>
  <si>
    <t>225/50R17</t>
  </si>
  <si>
    <t>SM7 Nova V6 3.5 . - AT</t>
  </si>
  <si>
    <t>SM7 Nova 장애인용/렌터카 LPe - AT</t>
  </si>
  <si>
    <t>SM7 Nova 장애인용/렌터카 LPe(택시/렌터카) - AT</t>
  </si>
  <si>
    <t>XM3</t>
  </si>
  <si>
    <t>XM3 1.6 GTe LE - AT</t>
  </si>
  <si>
    <t>215/65R16</t>
  </si>
  <si>
    <t>XM3 1.6 GTe LE Plus - AT</t>
  </si>
  <si>
    <t>XM3 1.6 GTe SE - AT</t>
  </si>
  <si>
    <t>XM3 TCe 260 LE - AT</t>
  </si>
  <si>
    <t>215/55R18</t>
  </si>
  <si>
    <t>XM3 TCe 260 RE - AT</t>
  </si>
  <si>
    <t>215/60R17</t>
  </si>
  <si>
    <t>XM3 TCe 260 RE Signature - AT</t>
  </si>
  <si>
    <t>그랜저</t>
  </si>
  <si>
    <t>그랜저 렌터카 LPi 3.0 모던 - AT</t>
  </si>
  <si>
    <t>현대_아산</t>
  </si>
  <si>
    <t>그랜저 렌터카 LPi 3.0 익스클루시브 - AT</t>
  </si>
  <si>
    <t>그랜저 렌터카 LPi 3.0 프리미엄 - AT</t>
  </si>
  <si>
    <t>그랜저 스마트트림 가솔린 2.5 익스클루시브 - AT</t>
  </si>
  <si>
    <t>그랜저 스마트트림 가솔린 2.5 캘리그래피 - AT</t>
  </si>
  <si>
    <t>그랜저 스마트트림 가솔린 2.5 프리미엄 - AT</t>
  </si>
  <si>
    <t>그랜저 스마트트림 가솔린 2.5 프리미엄 초이스 - AT</t>
  </si>
  <si>
    <t>그랜저 스마트트림 가솔린 3.3 익스클루시브 - AT</t>
  </si>
  <si>
    <t>그랜저 스마트트림 가솔린 3.3 캘리그래피 - AT</t>
  </si>
  <si>
    <t>그랜저 스마트트림 가솔린 3.3 프리미엄 - AT</t>
  </si>
  <si>
    <t>그랜저 스마트트림 가솔린 3.3 프리미엄 초이스 - AT</t>
  </si>
  <si>
    <t>그랜저 하이브리드 익스클루시브 - AT</t>
  </si>
  <si>
    <t>그랜저 하이브리드 캘리그래피 - AT</t>
  </si>
  <si>
    <t>225/45R18</t>
  </si>
  <si>
    <t>그랜저 하이브리드 프리미엄 - AT</t>
  </si>
  <si>
    <t>그랜저 하이브리드 프리미엄 초이스 - AT</t>
  </si>
  <si>
    <t>니로</t>
  </si>
  <si>
    <t>니로 전기차 노블래스 - AT</t>
  </si>
  <si>
    <t>H1</t>
  </si>
  <si>
    <t>니로 전기차 프레스티지 - AT</t>
  </si>
  <si>
    <t>니로 플러그인 하이브리드 노블레스 - AT</t>
  </si>
  <si>
    <t>니로 플러그인 하이브리드 노블레스 스페셜 - AT</t>
  </si>
  <si>
    <t>니로 하이브리드 노블레스 - AT</t>
  </si>
  <si>
    <t>S+등급</t>
  </si>
  <si>
    <t>니로 하이브리드 노블레스 스페셜 - AT</t>
  </si>
  <si>
    <t>니로 하이브리드 럭셔리 - AT</t>
  </si>
  <si>
    <t>니로 하이브리드 프레스티지 - AT</t>
  </si>
  <si>
    <t>다마스 II</t>
  </si>
  <si>
    <t>뉴다마스 코치 5인승 Libig . - MT</t>
  </si>
  <si>
    <t>MT</t>
  </si>
  <si>
    <t>한국지엠</t>
  </si>
  <si>
    <t>뉴다마스</t>
  </si>
  <si>
    <t>H0</t>
  </si>
  <si>
    <t>지엠_창원</t>
  </si>
  <si>
    <t>155/80R12</t>
  </si>
  <si>
    <t>뉴다마스 코치5인승 SUPER . - MT</t>
  </si>
  <si>
    <t>다마스 2인승 판넬밴 DLX - MT</t>
  </si>
  <si>
    <t>다마스</t>
  </si>
  <si>
    <t>다마스 2인승 판넬밴 SUPER - MT</t>
  </si>
  <si>
    <t>레스타</t>
  </si>
  <si>
    <t>레스타 렌터카 리무진 - MT</t>
  </si>
  <si>
    <t>자일대우</t>
  </si>
  <si>
    <t>H9</t>
  </si>
  <si>
    <t>레스타 렌터카 프리미엄 - MT</t>
  </si>
  <si>
    <t>jykim</t>
  </si>
  <si>
    <t>레이</t>
  </si>
  <si>
    <t>레이 1.0 가솔린 럭셔리 - AT</t>
  </si>
  <si>
    <t>기아_서산</t>
  </si>
  <si>
    <t>165/60R14</t>
  </si>
  <si>
    <t>레이 1.0 가솔린 밴 럭셔리 - AT</t>
  </si>
  <si>
    <t>레이 1.0 가솔린 밴 럭셔리 스페셜 - AT</t>
  </si>
  <si>
    <t>레이 1.0 가솔린 밴 스탠다드 - AT</t>
  </si>
  <si>
    <t>레이 1.0 가솔린 스탠다드 - AT</t>
  </si>
  <si>
    <t>레이 1.0 가솔린 프레스티지 - AT</t>
  </si>
  <si>
    <t>175/50R15</t>
  </si>
  <si>
    <t>렉스턴</t>
  </si>
  <si>
    <t>2020 G4 렉스턴 디젤 2.2 5인승 럭셔리 - AT</t>
  </si>
  <si>
    <t>2020 G4 렉스턴</t>
  </si>
  <si>
    <t>쌍용_평택</t>
  </si>
  <si>
    <t>255/60R18</t>
  </si>
  <si>
    <t>2020 G4 렉스턴 디젤 2.2 5인승 럭셔리 4TRONIC - AT</t>
  </si>
  <si>
    <t>2020 G4 렉스턴 디젤 2.2 5인승 마제스티 - AT</t>
  </si>
  <si>
    <t>2020 G4 렉스턴 디젤 2.2 5인승 마제스티 4TRONIC - AT</t>
  </si>
  <si>
    <t>2020 G4 렉스턴 디젤 2.2 5인승 마제스티 스페셜 - AT</t>
  </si>
  <si>
    <t>255/50R20</t>
  </si>
  <si>
    <t>2020 G4 렉스턴 디젤 2.2 5인승 마제스티 스페셜 4TRONIC - AT</t>
  </si>
  <si>
    <t>2020 G4 렉스턴 디젤 2.2 5인승 헤리티지 - AT</t>
  </si>
  <si>
    <t>H3</t>
  </si>
  <si>
    <t>2020 G4 렉스턴 디젤 2.2 5인승 헤리티지 4TRONIC - AT</t>
  </si>
  <si>
    <t>2020 G4 렉스턴 디젤 2.2 5인승 헤리티지 스페셜 - AT</t>
  </si>
  <si>
    <t>2020 G4 렉스턴 디젤 2.2 5인승 헤리티지 스페셜 4TRONIC - AT</t>
  </si>
  <si>
    <t>2020 G4 렉스턴 디젤 2.2 7인승 럭셔리 - AT</t>
  </si>
  <si>
    <t>2020 G4 렉스턴 디젤 2.2 7인승 럭셔리 4TRONIC - AT</t>
  </si>
  <si>
    <t>2020 G4 렉스턴 디젤 2.2 7인승 마제스티 - AT</t>
  </si>
  <si>
    <t>2020 G4 렉스턴 디젤 2.2 7인승 마제스티 4TRONIC - AT</t>
  </si>
  <si>
    <t>2020 G4 렉스턴 디젤 2.2 7인승 마제스티 스페셜 - AT</t>
  </si>
  <si>
    <t>2020 G4 렉스턴 디젤 2.2 7인승 마제스티 스페셜 4TRONIC - AT</t>
  </si>
  <si>
    <t>2020 G4 렉스턴 디젤 2.2 7인승 헤리티지 - AT</t>
  </si>
  <si>
    <t>2020 G4 렉스턴 디젤 2.2 7인승 헤리티지 4TRONIC - AT</t>
  </si>
  <si>
    <t>2020 G4 렉스턴 디젤 2.2 7인승 헤리티지 스페셜 - AT</t>
  </si>
  <si>
    <t>2020 G4 렉스턴 디젤 2.2 7인승 헤리티지 스페셜 4TRONIC - AT</t>
  </si>
  <si>
    <t>르노 마스타</t>
  </si>
  <si>
    <t>르노 마스타 밴 L (Large) - MT</t>
  </si>
  <si>
    <t>H7</t>
  </si>
  <si>
    <t>225/65R16</t>
  </si>
  <si>
    <t>르노 마스타 밴 S (Standard) - MT</t>
  </si>
  <si>
    <t>르노 마스타 버스 13인승 - MT</t>
  </si>
  <si>
    <t>르노 마스타 버스 15인승 - MT</t>
  </si>
  <si>
    <t>말리부</t>
  </si>
  <si>
    <t>더 뉴 말리부 1.6 디젤 LT - AT</t>
  </si>
  <si>
    <t>더 뉴 말리부</t>
  </si>
  <si>
    <t>지엠_송도</t>
  </si>
  <si>
    <t>더 뉴 말리부 1.6 디젤 LT 프리미엄 - AT</t>
  </si>
  <si>
    <t>더 뉴 말리부 2.0 TURBO LT 스페셜 - AT</t>
  </si>
  <si>
    <t>더 뉴 말리부 2.0 TURBO Premier 스페셜 - AT</t>
  </si>
  <si>
    <t>더 뉴 말리부 2.0 TURBO 스페셜 에디션 퍼펙트 블랙 - AT</t>
  </si>
  <si>
    <t>더 뉴 말리부 E-TURBO LS - AT</t>
  </si>
  <si>
    <t>더 뉴 말리부 E-TURBO LS 디럭스 - AT</t>
  </si>
  <si>
    <t>더 뉴 말리부 E-TURBO LT - AT</t>
  </si>
  <si>
    <t>더 뉴 말리부 E-TURBO LT 디럭스 - AT</t>
  </si>
  <si>
    <t>더 뉴 말리부 E-TURBO Premier - AT</t>
  </si>
  <si>
    <t>더 뉴 말리부 E-TURBO Premier 프라임 세이프티 - AT</t>
  </si>
  <si>
    <t>더 뉴 말리부 E-TURBO 스페셜 에디션 퍼펙트 블랙 Premier - AT</t>
  </si>
  <si>
    <t>더 뉴 말리부 E-TURBO 스페셜 에디션 퍼펙트 블랙 Premier 프라임 세이프티 - AT</t>
  </si>
  <si>
    <t>모닝</t>
  </si>
  <si>
    <t>모닝 1.0 LPG 디럭스 - AT</t>
  </si>
  <si>
    <t>175/65R14</t>
  </si>
  <si>
    <t>모닝 1.0 LPG 럭셔리 - AT</t>
  </si>
  <si>
    <t>모닝 1.0 가솔린 디럭스 - AT</t>
  </si>
  <si>
    <t>모닝 1.0 가솔린 럭셔리 - AT</t>
  </si>
  <si>
    <t>모닝 1.0 가솔린 밴 고급형 - AT</t>
  </si>
  <si>
    <t>155/80R13</t>
  </si>
  <si>
    <t>모닝 1.0 가솔린 밴 밴 - AT</t>
  </si>
  <si>
    <t>모닝 1.0 가솔린 베이직플러스 - AT</t>
  </si>
  <si>
    <t>모닝 1.0 가솔린 트렌디 - AT</t>
  </si>
  <si>
    <t>모닝 1.0 가솔린 프레스티지 - AT</t>
  </si>
  <si>
    <t>모하비</t>
  </si>
  <si>
    <t>모하비 더 마스터 3.0 디젤 마스터즈 5인승 - AT</t>
  </si>
  <si>
    <t>모하비 더 마스터</t>
  </si>
  <si>
    <t>265/50R20</t>
  </si>
  <si>
    <t>모하비 더 마스터 3.0 디젤 마스터즈 6인승 - AT</t>
  </si>
  <si>
    <t>모하비 더 마스터 3.0 디젤 마스터즈 7인승 - AT</t>
  </si>
  <si>
    <t>모하비 더 마스터 3.0 디젤 플레티넘 5인승 - AT</t>
  </si>
  <si>
    <t>265/60R18</t>
  </si>
  <si>
    <t>모하비 더 마스터 3.0 디젤 플레티넘 6인승 - AT</t>
  </si>
  <si>
    <t>모하비 더 마스터 3.0 디젤 플레티넘 7인승 - AT</t>
  </si>
  <si>
    <t>베뉴</t>
  </si>
  <si>
    <t>베뉴 1.6 FLUX - AT</t>
  </si>
  <si>
    <t>205/55R17</t>
  </si>
  <si>
    <t>베뉴 1.6 모던 - AT</t>
  </si>
  <si>
    <t>185/65R15</t>
  </si>
  <si>
    <t>베뉴 1.6 스마트 - AT</t>
  </si>
  <si>
    <t>베라크루즈</t>
  </si>
  <si>
    <t>베라크루즈 디젤 2WD Exclusive - AT</t>
  </si>
  <si>
    <t>245/60R18</t>
  </si>
  <si>
    <t>베라크루즈 디젤 2WD Exclusive Special - AT</t>
  </si>
  <si>
    <t>베라크루즈 디젤 4WD Exclusive - AT</t>
  </si>
  <si>
    <t>베라크루즈 디젤 4WD Exclusive Special - AT</t>
  </si>
  <si>
    <t>벨로스터</t>
  </si>
  <si>
    <t>벨로스터 가솔린 1.4 터보 모던 - AT</t>
  </si>
  <si>
    <t>215/45R17</t>
  </si>
  <si>
    <t>벨로스터 가솔린 1.4 터보 모던 코어 - AT</t>
  </si>
  <si>
    <t>벨로스터 가솔린 1.6 터보 JBL익스트림사운드에디션 - MT</t>
  </si>
  <si>
    <t>215/40R18</t>
  </si>
  <si>
    <t>벨로스터 가솔린 1.6 터보 스포츠 - MT</t>
  </si>
  <si>
    <t>벨로스터 가솔린 1.6 터보 스포츠 코어 - MT</t>
  </si>
  <si>
    <t>벨로스터 가솔린 1.6 터보 익스트림드라이빙에디션 - MT</t>
  </si>
  <si>
    <t>벨로스터N 가솔린 2.0 터보 - MT</t>
  </si>
  <si>
    <t>벨로스터N</t>
  </si>
  <si>
    <t>볼트</t>
  </si>
  <si>
    <t>볼트 EV LT - AT</t>
  </si>
  <si>
    <t>볼트 EV LT 디럭스 - AT</t>
  </si>
  <si>
    <t>볼트 EV Premier - AT</t>
  </si>
  <si>
    <t>셀토스</t>
  </si>
  <si>
    <t>셀토스 1.6 가솔린 터보 노블레스 2WD - AT</t>
  </si>
  <si>
    <t>기아_광주</t>
  </si>
  <si>
    <t>셀토스 1.6 가솔린 터보 노블레스 4WD - AT</t>
  </si>
  <si>
    <t>셀토스 1.6 가솔린 터보 트렌디 2WD - AT</t>
  </si>
  <si>
    <t>셀토스 1.6 가솔린 터보 트렌디 4WD - AT</t>
  </si>
  <si>
    <t>셀토스 1.6 가솔린 터보 프레스티지 2WD - AT</t>
  </si>
  <si>
    <t>셀토스 1.6 가솔린 터보 프레스티지 4WD - AT</t>
  </si>
  <si>
    <t>셀토스 스마트트림 디젤 1.6 노블레스 2WD - AT</t>
  </si>
  <si>
    <t>셀토스 스마트트림 디젤 1.6 노블레스 4WD - AT</t>
  </si>
  <si>
    <t>셀토스 스마트트림 디젤 1.6 트렌디 2WD - AT</t>
  </si>
  <si>
    <t>셀토스 스마트트림 디젤 1.6 트렌디 4WD - AT</t>
  </si>
  <si>
    <t>셀토스 스마트트림 디젤 1.6 프레스티지 2WD - AT</t>
  </si>
  <si>
    <t>셀토스 스마트트림 디젤 1.6 프레스티지 4WD - AT</t>
  </si>
  <si>
    <t>스타렉스</t>
  </si>
  <si>
    <t>그랜드 스타렉스 LPi 왜건 12인승 스마트 - AT</t>
  </si>
  <si>
    <t>그랜드 스타렉스</t>
  </si>
  <si>
    <t>H5</t>
  </si>
  <si>
    <t>215/65R17</t>
  </si>
  <si>
    <t>그랜드 스타렉스 Urban 9인승 2WD 익스클루시브 - AT</t>
  </si>
  <si>
    <t>그랜드 스타렉스 Urban 9인승 2WD 프리미엄 - AT</t>
  </si>
  <si>
    <t>그랜드 스타렉스 Urban 9인승 2WD 프리미엄 스페셜 - AT</t>
  </si>
  <si>
    <t>그랜드 스타렉스 Urban 9인승 4WD 익스클루시브 - AT</t>
  </si>
  <si>
    <t>그랜드 스타렉스 Urban 9인승 4WD 프리미엄 - AT</t>
  </si>
  <si>
    <t>그랜드 스타렉스 Urban 9인승 4WD 프리미엄 스페셜 - AT</t>
  </si>
  <si>
    <t>그랜드 스타렉스 디젤 왜건 11인승 2WD 모던 - AT</t>
  </si>
  <si>
    <t>그랜드 스타렉스 디젤 왜건 11인승 2WD 스마트 - AT</t>
  </si>
  <si>
    <t>그랜드 스타렉스 디젤 왜건 11인승 2WD 스타일 - AT</t>
  </si>
  <si>
    <t>215/70R16</t>
  </si>
  <si>
    <t>그랜드 스타렉스 디젤 왜건 11인승 4WD 모던 - AT</t>
  </si>
  <si>
    <t>그랜드 스타렉스 디젤 왜건 11인승 4WD 스마트 - AT</t>
  </si>
  <si>
    <t>그랜드 스타렉스 디젤 왜건 12인승 2WD 모던 - AT</t>
  </si>
  <si>
    <t>그랜드 스타렉스 디젤 왜건 12인승 2WD 스마트 - AT</t>
  </si>
  <si>
    <t>그랜드 스타렉스 디젤 왜건 12인승 2WD 스타일 - AT</t>
  </si>
  <si>
    <t>그랜드 스타렉스 디젤 왜건 12인승 4WD 모던 - AT</t>
  </si>
  <si>
    <t>그랜드 스타렉스 디젤 왜건 12인승 4WD 스마트 - AT</t>
  </si>
  <si>
    <t>그랜드 스타렉스 리무진 Limousine 6인승 2WD 익스클루시브 - AT</t>
  </si>
  <si>
    <t>그랜드 스타렉스 리무진</t>
  </si>
  <si>
    <t>mwsong_송민우</t>
  </si>
  <si>
    <t>그랜드 스타렉스 리무진 Limousine 6인승 2WD 익스클루시브 듀얼선루프 - AT</t>
  </si>
  <si>
    <t>그랜드 스타렉스 리무진 Limousine 6인승 4WD 익스클루시브 - AT</t>
  </si>
  <si>
    <t>그랜드 스타렉스 리무진 Limousine 6인승 4WD 익스클루시브 듀얼선루프 - AT</t>
  </si>
  <si>
    <t>그랜드 스타렉스 리무진 Limousine 9인승 2WD 익스클루시브 - AT</t>
  </si>
  <si>
    <t>그랜드 스타렉스 리무진 Limousine 9인승 2WD 익스클루시브(듀얼선루프) - AT</t>
  </si>
  <si>
    <t>그랜드 스타렉스 리무진 Limousine 9인승 4WD 익스클루시브 - AT</t>
  </si>
  <si>
    <t>그랜드 스타렉스 리무진 Limousine 9인승 4WD 익스클루시브(듀얼선루프) - AT</t>
  </si>
  <si>
    <t>그랜드 스타렉스 특장차 캠핑카 4인승 2WD - AT</t>
  </si>
  <si>
    <t>그랜드 스타렉스 특장차</t>
  </si>
  <si>
    <t>그랜드 스타렉스 특장차 캠핑카 4인승 4WD - AT</t>
  </si>
  <si>
    <t>스토닉</t>
  </si>
  <si>
    <t>스토닉 카파 1.0 T-GDi 가솔린 트렌디 - AT</t>
  </si>
  <si>
    <t>스토닉 카파 1.0 T-GDi 가솔린 프레스티지 - AT</t>
  </si>
  <si>
    <t>스토닉 카파 1.4 MPI 가솔린 디럭스 - AT</t>
  </si>
  <si>
    <t>스토닉 카파 1.4 MPI 가솔린 트렌디 - AT</t>
  </si>
  <si>
    <t>스토닉 카파 1.4 MPI 가솔린 프레스티지 - AT</t>
  </si>
  <si>
    <t>스팅어</t>
  </si>
  <si>
    <t>2020 스팅어 2.0 가솔린 터보 2WD 프라임 - AT</t>
  </si>
  <si>
    <t>2020 스팅어</t>
  </si>
  <si>
    <t>2020 스팅어 2.0 가솔린 터보 2WD 플래티넘 - AT</t>
  </si>
  <si>
    <t>2020 스팅어 2.0 가솔린 터보 AWD 프라임 - AT</t>
  </si>
  <si>
    <t>2020 스팅어 2.0 가솔린 터보 AWD 플래티넘 - AT</t>
  </si>
  <si>
    <t>2020 스팅어 2.0 가솔린 터보 AWD 플래티넘 퍼포먼스(다크 레드팩) - AT</t>
  </si>
  <si>
    <t>2020 스팅어 2.2 디젤 2WD 프라임 - AT</t>
  </si>
  <si>
    <t>2020 스팅어 2.2 디젤 2WD 프라임라이트 - AT</t>
  </si>
  <si>
    <t>2020 스팅어 2.2 디젤 2WD 플래티넘 - AT</t>
  </si>
  <si>
    <t>2020 스팅어 2.2 디젤 AWD 프라임 - AT</t>
  </si>
  <si>
    <t>2020 스팅어 2.2 디젤 AWD 프라임라이트 - AT</t>
  </si>
  <si>
    <t>2020 스팅어 2.2 디젤 AWD 플래티넘 - AT</t>
  </si>
  <si>
    <t>2020 스팅어 2.2 디젤 AWD 플래티넘 퍼포먼스(다크레드팩) - AT</t>
  </si>
  <si>
    <t>2020 스팅어 3.3 가솔린 터보 2WD GT - AT</t>
  </si>
  <si>
    <t>225/40R19</t>
  </si>
  <si>
    <t>225/35R19</t>
  </si>
  <si>
    <t>2020 스팅어 3.3 가솔린 터보 AWD GT - AT</t>
  </si>
  <si>
    <t>스파크</t>
  </si>
  <si>
    <t>더뉴스파크 가솔린 LS Basic C-Tech - AT</t>
  </si>
  <si>
    <t>더뉴스파크</t>
  </si>
  <si>
    <t>더뉴스파크 가솔린 LS C-Tech - AT</t>
  </si>
  <si>
    <t>더뉴스파크 가솔린 LT C-Tech - AT</t>
  </si>
  <si>
    <t>더뉴스파크 가솔린 Premier C-Tech - AT</t>
  </si>
  <si>
    <t>더뉴스파크 마이핏 Premier(블랙루프) C-Tech - AT</t>
  </si>
  <si>
    <t>185/55R15</t>
  </si>
  <si>
    <t>더뉴스파크 마이핏 Premier(화이트루프) C-Tech - AT</t>
  </si>
  <si>
    <t>더뉴스파크 승용밴 Basic C-Tech - AT</t>
  </si>
  <si>
    <t>더뉴스파크 승용밴 C-Tech - AT</t>
  </si>
  <si>
    <t>스포티지</t>
  </si>
  <si>
    <t>2020 스포티지 R 2.0 디젤 시그니처 2WD - AT</t>
  </si>
  <si>
    <t>2020 스포티지</t>
  </si>
  <si>
    <t>225/55R18</t>
  </si>
  <si>
    <t>2020 스포티지 R 2.0 디젤 시그니처 4WD - AT</t>
  </si>
  <si>
    <t>2020 스포티지 R 2.0 디젤 트렌디 2WD - AT</t>
  </si>
  <si>
    <t>225/60R17</t>
  </si>
  <si>
    <t>2020 스포티지 R 2.0 디젤 트렌디 4WD - AT</t>
  </si>
  <si>
    <t>2020 스포티지 R 2.0 디젤 프레스티지 2WD - AT</t>
  </si>
  <si>
    <t>2020 스포티지 R 2.0 디젤 프레스티지 4WD - AT</t>
  </si>
  <si>
    <t>2020 스포티지 누우 가솔린 2.0 시그니처 2WD - AT</t>
  </si>
  <si>
    <t>2020 스포티지 누우 가솔린 2.0 프레스티지 2WD - AT</t>
  </si>
  <si>
    <t>2020 스포티지 스마트스트림 D 1.6 시그니처 2WD - AT</t>
  </si>
  <si>
    <t>2020 스포티지 스마트스트림 D 1.6 시그니처 4WD - AT</t>
  </si>
  <si>
    <t>2020 스포티지 스마트스트림 D 1.6 트렌디 2WD - AT</t>
  </si>
  <si>
    <t>2020 스포티지 스마트스트림 D 1.6 트렌디 4WD - AT</t>
  </si>
  <si>
    <t>2020 스포티지 스마트스트림 D 1.6 프레스티지 2WD - AT</t>
  </si>
  <si>
    <t>2020 스포티지 스마트스트림 D 1.6 프레스티지 4WD - AT</t>
  </si>
  <si>
    <t>싼타페</t>
  </si>
  <si>
    <t>싼타페 2.0 디젤 익스클루시브 5인승 2WD - AT</t>
  </si>
  <si>
    <t>235/60R18</t>
  </si>
  <si>
    <t>싼타페 2.0 디젤 익스클루시브 5인승 4WD - AT</t>
  </si>
  <si>
    <t>싼타페 2.0 디젤 익스클루시브 7인승 2WD - AT</t>
  </si>
  <si>
    <t>싼타페 2.0 디젤 익스클루시브 7인승 4WD - AT</t>
  </si>
  <si>
    <t>싼타페 2.0 디젤 인스퍼레이션 5인승 2WD - AT</t>
  </si>
  <si>
    <t>235/55R19</t>
  </si>
  <si>
    <t>싼타페 2.0 디젤 인스퍼레이션 7인승 2WD - AT</t>
  </si>
  <si>
    <t>싼타페 2.0 디젤 인스퍼레이션 7인승 4WD - AT</t>
  </si>
  <si>
    <t>싼타페 2.0 디젤 프레스티지 5인승 2WD - AT</t>
  </si>
  <si>
    <t>싼타페 2.0 디젤 프레스티지 5인승 4WD - AT</t>
  </si>
  <si>
    <t>싼타페 2.0 디젤 프레스티지 7인승 2WD - AT</t>
  </si>
  <si>
    <t>싼타페 2.0 디젤 프레스티지 7인승 4WD - AT</t>
  </si>
  <si>
    <t>싼타페 2.0 디젤 프리미엄 5인승 2WD - AT</t>
  </si>
  <si>
    <t>싼타페 2.0 디젤 프리미엄 5인승 4WD - AT</t>
  </si>
  <si>
    <t>싼타페 2.0 디젤 프리미엄 7인승 2WD - AT</t>
  </si>
  <si>
    <t>싼타페 2.0 디젤 프리미엄 7인승 4WD - AT</t>
  </si>
  <si>
    <t>싼타페 2.0T 가솔린 익스클루시브 5인승 2WD - AT</t>
  </si>
  <si>
    <t>싼타페 2.0T 가솔린 익스클루시브 5인승 4WD - AT</t>
  </si>
  <si>
    <t>싼타페 2.0T 가솔린 익스클루시브 7인승 2WD - AT</t>
  </si>
  <si>
    <t>싼타페 2.0T 가솔린 익스클루시브 7인승 4WD - AT</t>
  </si>
  <si>
    <t>싼타페 2.0T 가솔린 인스퍼레이션 5인승 2WD - AT</t>
  </si>
  <si>
    <t>싼타페 2.0T 가솔린 인스퍼레이션 5인승 4WD - AT</t>
  </si>
  <si>
    <t>싼타페 2.0T 가솔린 인스퍼레이션 7인승 2WD - AT</t>
  </si>
  <si>
    <t>싼타페 2.0T 가솔린 인스퍼레이션 7인승 4WD - AT</t>
  </si>
  <si>
    <t>싼타페 2.0T 가솔린 프레스티지 5인승 2WD - AT</t>
  </si>
  <si>
    <t>싼타페 2.0T 가솔린 프레스티지 5인승 4WD - AT</t>
  </si>
  <si>
    <t>싼타페 2.0T 가솔린 프레스티지 7인승 2WD - AT</t>
  </si>
  <si>
    <t>싼타페 2.0T 가솔린 프레스티지 7인승 4WD - AT</t>
  </si>
  <si>
    <t>싼타페 2.0T 가솔린 프리미엄 5인승 2WD - AT</t>
  </si>
  <si>
    <t>싼타페 2.0T 가솔린 프리미엄 5인승 4WD - AT</t>
  </si>
  <si>
    <t>싼타페 2.0T 가솔린 프리미엄 7인승 2WD - AT</t>
  </si>
  <si>
    <t>싼타페 2.0T 가솔린 프리미엄 7인승 4WD - AT</t>
  </si>
  <si>
    <t>싼타페 2.2 디젤 익스클루시브 5인승 2WD - AT</t>
  </si>
  <si>
    <t>싼타페 2.2 디젤 익스클루시브 5인승 4WD - AT</t>
  </si>
  <si>
    <t>싼타페 2.2 디젤 익스클루시브 7인승 2WD - AT</t>
  </si>
  <si>
    <t>싼타페 2.2 디젤 익스클루시브 7인승 4WD - AT</t>
  </si>
  <si>
    <t>싼타페 2.2 디젤 인스퍼레이션 5인승 2WD - AT</t>
  </si>
  <si>
    <t>싼타페 2.2 디젤 인스퍼레이션 5인승 4WD - AT</t>
  </si>
  <si>
    <t>싼타페 2.2 디젤 인스퍼레이션 7인승 2WD - AT</t>
  </si>
  <si>
    <t>싼타페 2.2 디젤 인스퍼레이션 7인승 4WD - AT</t>
  </si>
  <si>
    <t>싼타페 2.2 디젤 프레스티지 5인승 2WD - AT</t>
  </si>
  <si>
    <t>싼타페 2.2 디젤 프레스티지 5인승 4WD - AT</t>
  </si>
  <si>
    <t>싼타페 2.2 디젤 프레스티지 7인승 2WD - AT</t>
  </si>
  <si>
    <t>싼타페 2.2 디젤 프레스티지 7인승 4WD - AT</t>
  </si>
  <si>
    <t>싼타페 2.2 디젤 프리미엄 5인승 2WD - AT</t>
  </si>
  <si>
    <t>싼타페 2.2 디젤 프리미엄 5인승 4WD - AT</t>
  </si>
  <si>
    <t>싼타페 2.2 디젤 프리미엄 7인승 2WD - AT</t>
  </si>
  <si>
    <t>싼타페 2.2 디젤 프리미엄 7인승 4WD - AT</t>
  </si>
  <si>
    <t>쏘나타</t>
  </si>
  <si>
    <t>쏘나타 센슈어스 스마트스트림 가솔린 1.6 터보 스마트 - AT</t>
  </si>
  <si>
    <t>쏘나타 센슈어스</t>
  </si>
  <si>
    <t>쏘나타 센슈어스 스마트스트림 가솔린 1.6 터보 프리미엄 - AT</t>
  </si>
  <si>
    <t>쏘나타 센슈어스 스마트스트림 가솔린 1.6 터보 프리미엄 밀레니얼 - AT</t>
  </si>
  <si>
    <t>쏘나타 센슈어스 스마트스트림 가솔린 1.6 터보 프리미엄 인스퍼레이션 - AT</t>
  </si>
  <si>
    <t>쏘나타 센슈어스 스마트스트림 가솔린 1.6 터보 프리미엄 패밀리 - AT</t>
  </si>
  <si>
    <t>쏘나타 스마트스트림 LPi 2.0 렌터카 Smart - AT</t>
  </si>
  <si>
    <t>쏘나타 스마트스트림 LPi 2.0 렌터카 Style - AT</t>
  </si>
  <si>
    <t>쏘나타 스마트스트림 가솔린 2.0 Inspiration - AT</t>
  </si>
  <si>
    <t>쏘나타 스마트스트림 가솔린 2.0 Premium - AT</t>
  </si>
  <si>
    <t>쏘나타 스마트스트림 가솔린 2.0 Premium Family - AT</t>
  </si>
  <si>
    <t>쏘나타 스마트스트림 가솔린 2.0 Premium Millennial - AT</t>
  </si>
  <si>
    <t>쏘나타 스마트스트림 가솔린 2.0 Smart - AT</t>
  </si>
  <si>
    <t>쏘나타 스마트스트림 가솔린 2.0 하이브리드 스마트 - AT</t>
  </si>
  <si>
    <t>쏘나타 스마트스트림 가솔린 2.0 하이브리드 인스퍼레이션 - AT</t>
  </si>
  <si>
    <t>쏘나타 스마트스트림 가솔린 2.0 하이브리드 프리미엄 - AT</t>
  </si>
  <si>
    <t>쏘나타 스마트스트림 가솔린 2.0 하이브리드 프리미엄 밀레니얼 - AT</t>
  </si>
  <si>
    <t>쏘나타 스마트스트림 가솔린 2.0 하이브리드 프리미엄 패밀리 - AT</t>
  </si>
  <si>
    <t>쏘렌토</t>
  </si>
  <si>
    <t>2020 쏘렌토 스마트스트림 D2.2 노블레스 2WD 5인승 - AT</t>
  </si>
  <si>
    <t>2020 쏘렌토</t>
  </si>
  <si>
    <t>2020 쏘렌토 스마트스트림 D2.2 노블레스 2WD 6인승 - AT</t>
  </si>
  <si>
    <t>2020 쏘렌토 스마트스트림 D2.2 노블레스 2WD 7인승 - AT</t>
  </si>
  <si>
    <t>2020 쏘렌토 스마트스트림 D2.2 노블레스 4WD 5인승 - AT</t>
  </si>
  <si>
    <t>2020 쏘렌토 스마트스트림 D2.2 노블레스 4WD 6인승 - AT</t>
  </si>
  <si>
    <t>2020 쏘렌토 스마트스트림 D2.2 노블레스 4WD 7인승 - AT</t>
  </si>
  <si>
    <t>2020 쏘렌토 스마트스트림 D2.2 시그니처 2WD 5인승 - AT</t>
  </si>
  <si>
    <t>2020 쏘렌토 스마트스트림 D2.2 시그니처 2WD 6인승 - AT</t>
  </si>
  <si>
    <t>2020 쏘렌토 스마트스트림 D2.2 시그니처 2WD 7인승 - AT</t>
  </si>
  <si>
    <t>2020 쏘렌토 스마트스트림 D2.2 시그니처 4WD 5인승 - AT</t>
  </si>
  <si>
    <t>2020 쏘렌토 스마트스트림 D2.2 시그니처 4WD 6인승 - AT</t>
  </si>
  <si>
    <t>2020 쏘렌토 스마트스트림 D2.2 시그니처 4WD 7인승 - AT</t>
  </si>
  <si>
    <t>2020 쏘렌토 스마트스트림 D2.2 트렌디 2WD 5인승 - AT</t>
  </si>
  <si>
    <t>2020 쏘렌토 스마트스트림 D2.2 트렌디 2WD 6인승 - AT</t>
  </si>
  <si>
    <t>2020 쏘렌토 스마트스트림 D2.2 트렌디 2WD 7인승 - AT</t>
  </si>
  <si>
    <t>2020 쏘렌토 스마트스트림 D2.2 트렌디 4WD 5인승 - AT</t>
  </si>
  <si>
    <t>2020 쏘렌토 스마트스트림 D2.2 트렌디 4WD 6인승 - AT</t>
  </si>
  <si>
    <t>2020 쏘렌토 스마트스트림 D2.2 트렌디 4WD 7인승 - AT</t>
  </si>
  <si>
    <t>2020 쏘렌토 스마트스트림 D2.2 프레스티지 2WD 5인승 - AT</t>
  </si>
  <si>
    <t>2020 쏘렌토 스마트스트림 D2.2 프레스티지 2WD 6인승 - AT</t>
  </si>
  <si>
    <t>2020 쏘렌토 스마트스트림 D2.2 프레스티지 2WD 7인승 - AT</t>
  </si>
  <si>
    <t>2020 쏘렌토 스마트스트림 D2.2 프레스티지 4WD 5인승 - AT</t>
  </si>
  <si>
    <t>2020 쏘렌토 스마트스트림 D2.2 프레스티지 4WD 6인승 - AT</t>
  </si>
  <si>
    <t>2020 쏘렌토 스마트스트림 D2.2 프레스티지 4WD 7인승 - AT</t>
  </si>
  <si>
    <t>쏘울</t>
  </si>
  <si>
    <t>쏘울 1.6 가솔린 터보 노블레스 - AT</t>
  </si>
  <si>
    <t>쏘울 1.6 가솔린 터보 노블레스 스페셜 - AT</t>
  </si>
  <si>
    <t>쏘울 1.6 가솔린 터보 프레스티지 - AT</t>
  </si>
  <si>
    <t>쏘울 EV 노블레스 - AT</t>
  </si>
  <si>
    <t>쏘울 EV 프레스티지 - AT</t>
  </si>
  <si>
    <t>쏠라티</t>
  </si>
  <si>
    <t>쏠라티 디럭스 15인승 - AT</t>
  </si>
  <si>
    <t>235/65R16</t>
  </si>
  <si>
    <t>쏠라티 럭셔리 15인승 - AT</t>
  </si>
  <si>
    <t>245/45R20</t>
  </si>
  <si>
    <t>쏠라티 스탠다드 15인승 - AT</t>
  </si>
  <si>
    <t>쏠라티 특장차 럭셔리 리무진 11인승 - AT</t>
  </si>
  <si>
    <t>쏠라티 특장차</t>
  </si>
  <si>
    <t>쏠라티 특장차 럭셔리 투어 11인승 - AT</t>
  </si>
  <si>
    <t>아반떼</t>
  </si>
  <si>
    <t>아반떼 LPi 1.6 렌트카 스마트 - AT</t>
  </si>
  <si>
    <t>아반떼 LPi 1.6 렌트카 스타일 - AT</t>
  </si>
  <si>
    <t>아반떼 LPi 1.6 법인전용 스타일 - AT</t>
  </si>
  <si>
    <t>아반떼 LPi 1.6 일반 판매용 모던 - AT</t>
  </si>
  <si>
    <t>아반떼 LPi 1.6 일반 판매용 스마트 - AT</t>
  </si>
  <si>
    <t>아반떼 LPi 1.6 일반 판매용 스타일 - AT</t>
  </si>
  <si>
    <t>아반떼 스마트스트림 가솔린 1.6 T-GDi 스포츠 7단 DCT - AT</t>
  </si>
  <si>
    <t>아반떼 스마트스트림 가솔린 1.6 T-GDi 인스퍼레이션 - AT</t>
  </si>
  <si>
    <t>아반떼 스마트스트림 가솔린 1.6 모던 - AT</t>
  </si>
  <si>
    <t>아반떼 스마트스트림 가솔린 1.6 법인전용 - AT</t>
  </si>
  <si>
    <t>아반떼 스마트스트림 가솔린 1.6 스마트 - AT</t>
  </si>
  <si>
    <t>아반떼 스마트스트림 가솔린 1.6 인스퍼레이션 - AT</t>
  </si>
  <si>
    <t>아베오</t>
  </si>
  <si>
    <t>아베오 4도어 세단 1.4 Turbo L(STAR) - AT</t>
  </si>
  <si>
    <t>아베오 4도어 세단 1.4 Turbo LS(고급형) - AT</t>
  </si>
  <si>
    <t>아베오 4도어 세단 1.4 Turbo LT(최고급형) - AT</t>
  </si>
  <si>
    <t>아베오 5도어 해치백 1.4 Turbo LS(스탠다드) - AT</t>
  </si>
  <si>
    <t>아베오 5도어 해치백 1.4 Turbo LT(최고급형) - AT</t>
  </si>
  <si>
    <t>아이오닉</t>
  </si>
  <si>
    <t>아이오닉 일렉트릭 N - AT</t>
  </si>
  <si>
    <t>아이오닉 일렉트릭 Q - AT</t>
  </si>
  <si>
    <t>아이오닉 플러그인 N - AT</t>
  </si>
  <si>
    <t>아이오닉 플러그인 Q - AT</t>
  </si>
  <si>
    <t>아이오닉 하이브리드 I - AT</t>
  </si>
  <si>
    <t>아이오닉 하이브리드 N - AT</t>
  </si>
  <si>
    <t>아이오닉 하이브리드 Q - AT</t>
  </si>
  <si>
    <t>에쿠스</t>
  </si>
  <si>
    <t>에쿠스 VL380 프레스티지 - AT</t>
  </si>
  <si>
    <t>I7</t>
  </si>
  <si>
    <t>에쿠스 VL500 프레스티지 - AT</t>
  </si>
  <si>
    <t>I8</t>
  </si>
  <si>
    <t>에쿠스 리무진 VS500 프레스티지 - AT</t>
  </si>
  <si>
    <t>에쿠스 리무진</t>
  </si>
  <si>
    <t>엑센트</t>
  </si>
  <si>
    <t>엑센트 4 door 가솔린 모던 - AT</t>
  </si>
  <si>
    <t>185/60R15</t>
  </si>
  <si>
    <t>엑센트 4 door 가솔린 스마트 스페셜 - AT</t>
  </si>
  <si>
    <t>엑센트 4 door 가솔린 스타일 - AT</t>
  </si>
  <si>
    <t>175/70R14</t>
  </si>
  <si>
    <t>엑센트 4 door 가솔린 프리미엄 - AT</t>
  </si>
  <si>
    <t>195/50R16</t>
  </si>
  <si>
    <t>엑센트 5 door wit 가솔린 모던 - AT</t>
  </si>
  <si>
    <t>엑센트 5 door wit 가솔린 스마트 - AT</t>
  </si>
  <si>
    <t>엑센트 5 door wit 가솔린 프리미엄 - AT</t>
  </si>
  <si>
    <t>올란도</t>
  </si>
  <si>
    <t>올란도 LPGi LS 고급형 - AT</t>
  </si>
  <si>
    <t>지엠_군산</t>
  </si>
  <si>
    <t>215/60R16</t>
  </si>
  <si>
    <t>올란도 LPGi LT 세이프티 - AT</t>
  </si>
  <si>
    <t>올란도 LPGi LT 컨비니언스 - AT</t>
  </si>
  <si>
    <t>올란도 LPGi LT 프리미엄 - AT</t>
  </si>
  <si>
    <t>올란도 LPGi LTZ 세이프티 - AT</t>
  </si>
  <si>
    <t>올란도 LPGi LTZ 스페셜에디션 다이나믹 - AT</t>
  </si>
  <si>
    <t>hmkim_김현민</t>
  </si>
  <si>
    <t>올란도 LPGi LTZ 스페셜에디션 다이나믹 7인승 - AT</t>
  </si>
  <si>
    <t>올란도 LPGi LTZ 스페셜에디션 퍼팩트블랙 - AT</t>
  </si>
  <si>
    <t>올란도 LPGi LTZ 프리미엄 - AT</t>
  </si>
  <si>
    <t>올란도 디젤 1.6 LS LS 고급형 - AT</t>
  </si>
  <si>
    <t>215/45R18</t>
  </si>
  <si>
    <t>올란도 디젤 1.6 LT 다이나믹 - AT</t>
  </si>
  <si>
    <t>올란도 디젤 1.6 LT 프리미엄 - AT</t>
  </si>
  <si>
    <t>올란도 디젤 2.0 LS 고급형 - AT</t>
  </si>
  <si>
    <t>올란도 디젤 LT 세이프티 - AT</t>
  </si>
  <si>
    <t>올란도 디젤 LT 컨비니언스 - AT</t>
  </si>
  <si>
    <t>올란도 디젤 LT 프리미엄 - AT</t>
  </si>
  <si>
    <t>안승렬_안승렬</t>
  </si>
  <si>
    <t>올란도 디젤 LTZ 세이프티 - AT</t>
  </si>
  <si>
    <t>올란도 디젤 LTZ 스페셜에디션 다이나믹 - AT</t>
  </si>
  <si>
    <t>올란도 디젤 LTZ 스페셜에디션 퍼팩트블랙 - AT</t>
  </si>
  <si>
    <t>올란도 디젤 LTZ 프리미엄 - AT</t>
  </si>
  <si>
    <t>올란도 디젤 스페셜 패키지 캠퍼 패키지 - AT</t>
  </si>
  <si>
    <t>올란도 렌터카 LS (5인승)  - AT</t>
  </si>
  <si>
    <t>올란도 렌터카 디럭스팩 디럭스팩 - AT</t>
  </si>
  <si>
    <t>이쿼녹스</t>
  </si>
  <si>
    <t>이쿼녹스 1.6 디젤 LS - AT</t>
  </si>
  <si>
    <t>이쿼녹스 1.6 디젤 LT - AT</t>
  </si>
  <si>
    <t>이쿼녹스 1.6 디젤 LT Exclusive 2WD - AT</t>
  </si>
  <si>
    <t>235/50R19</t>
  </si>
  <si>
    <t>이쿼녹스 1.6 디젤 LT Exclusive AWD - AT</t>
  </si>
  <si>
    <t>이쿼녹스 1.6 디젤 Premier - AT</t>
  </si>
  <si>
    <t>이쿼녹스 1.6 디젤 Premier Exclusive 2WD - AT</t>
  </si>
  <si>
    <t>이쿼녹스 1.6 디젤 Premier Exclusive AWD - AT</t>
  </si>
  <si>
    <t>이쿼녹스 1.6 디젤 퍼펙트 블랙 2WD - AT</t>
  </si>
  <si>
    <t>이쿼녹스 1.6 디젤 퍼펙트 블랙 AWD - AT</t>
  </si>
  <si>
    <t>임팔라</t>
  </si>
  <si>
    <t>2019 임팔라 2.5 가솔린 LT - AT</t>
  </si>
  <si>
    <t>2019 임팔라</t>
  </si>
  <si>
    <t>235/50R18</t>
  </si>
  <si>
    <t>2019 임팔라 2.5 가솔린 Premier - AT</t>
  </si>
  <si>
    <t>2019 임팔라 2.5 가솔린 미드나이트 블랙 - AT</t>
  </si>
  <si>
    <t>2019 임팔라 3.6 가솔린 Premier - AT</t>
  </si>
  <si>
    <t>2019 임팔라 3.6 가솔린 미드나이트 블랙 - AT</t>
  </si>
  <si>
    <t>제네시스</t>
  </si>
  <si>
    <t>제네시스 G70 2.0T 스포츠 패키지 - AT</t>
  </si>
  <si>
    <t>255/35R19</t>
  </si>
  <si>
    <t>제네시스 G70 2.0T 스포츠 패키지 HTRAC - AT</t>
  </si>
  <si>
    <t>제네시스 G70 2.0T 스포츠 패키지 얼티밋 패키지 1 - AT</t>
  </si>
  <si>
    <t>제네시스 G70 2.0T 스포츠 패키지 얼티밋 패키지 1 HTRAC - AT</t>
  </si>
  <si>
    <t>제네시스 G70 2.0T 어드밴스드 - AT</t>
  </si>
  <si>
    <t>제네시스 G70 2.0T 어드밴스드 HTRAC - AT</t>
  </si>
  <si>
    <t>제네시스 G70 2.0T 엘리트 - AT</t>
  </si>
  <si>
    <t>제네시스 G70 2.0T 엘리트 HTRAC - AT</t>
  </si>
  <si>
    <t>제네시스 G70 2.2D 어드밴스드 - AT</t>
  </si>
  <si>
    <t>제네시스 G70 2.2D 어드밴스드 HTRAC - AT</t>
  </si>
  <si>
    <t>제네시스 G70 2.2D 엘리트 - AT</t>
  </si>
  <si>
    <t>제네시스 G70 2.2D 엘리트 HTRAC - AT</t>
  </si>
  <si>
    <t>제네시스 G70 3.3T 스포츠 엘리트 - AT</t>
  </si>
  <si>
    <t>제네시스 G70 3.3T 스포츠 엘리트 HTRAC - AT</t>
  </si>
  <si>
    <t>제네시스 G70 3.3T 스포츠 엘리트 얼티밋 패키지 2 - AT</t>
  </si>
  <si>
    <t>제네시스 G70 3.3T 스포츠 엘리트 얼티밋 패키지 2 HTRAC - AT</t>
  </si>
  <si>
    <t>제네시스 G70 3.3T 스포츠 프레스티지 - AT</t>
  </si>
  <si>
    <t>제네시스 G70 3.3T 스포츠 프레스티지 HTRAC - AT</t>
  </si>
  <si>
    <t>제네시스 G70 3.3T 스포츠 프레스티지 얼티밋패키지 3 - AT</t>
  </si>
  <si>
    <t>제네시스 G70 3.3T 스포츠 프레스티지 얼티밋패키지 3 HTRAC - AT</t>
  </si>
  <si>
    <t>제네시스 G80 가솔린 2.5 터보 기본모델 2WD - AT</t>
  </si>
  <si>
    <t>제네시스 G80 가솔린 2.5 터보 기본모델 AWD - AT</t>
  </si>
  <si>
    <t>제네시스 G80 가솔린 3.5 터보 기본모델 2WD - AT</t>
  </si>
  <si>
    <t>제네시스 G80 가솔린 3.5 터보 기본모델 AWD - AT</t>
  </si>
  <si>
    <t>제네시스 G80 디젤 2.2 기본모델 2WD - AT</t>
  </si>
  <si>
    <t>제네시스 G80 디젤 2.2 기본모델 AWD - AT</t>
  </si>
  <si>
    <t>제네시스 G90 3.3T 럭셔리 - AT</t>
  </si>
  <si>
    <t>I6</t>
  </si>
  <si>
    <t>제네시스 G90 3.3T 럭셔리 HTRAC - AT</t>
  </si>
  <si>
    <t>제네시스 G90 3.3T 프레스티지 - AT</t>
  </si>
  <si>
    <t>제네시스 G90 3.3T 프리미엄럭셔리 - AT</t>
  </si>
  <si>
    <t>제네시스 G90 3.8 럭셔리 - AT</t>
  </si>
  <si>
    <t>I5</t>
  </si>
  <si>
    <t>제네시스 G90 3.8 럭셔리 HTRAC - AT</t>
  </si>
  <si>
    <t>제네시스 G90 3.8 프레스티지 - AT</t>
  </si>
  <si>
    <t>제네시스 G90 3.8 프리미엄럭셔리 - AT</t>
  </si>
  <si>
    <t>제네시스 G90 5.0 프레스티지 - AT</t>
  </si>
  <si>
    <t>제네시스 G90 L 5.0 프레스티지 - AT</t>
  </si>
  <si>
    <t>제네시스 GV80 2.5 가솔린 2WD 5인승 - AT</t>
  </si>
  <si>
    <t>265/55R19</t>
  </si>
  <si>
    <t>제네시스 GV80 2.5 가솔린 2WD 7인승 - AT</t>
  </si>
  <si>
    <t>제네시스 GV80 2.5 가솔린 4WD 5인승 - AT</t>
  </si>
  <si>
    <t>제네시스 GV80 2.5 가솔린 4WD 7인승 - AT</t>
  </si>
  <si>
    <t>제네시스 GV80 3.0 디젤 2WD 5인승 - AT</t>
  </si>
  <si>
    <t>H8</t>
  </si>
  <si>
    <t>제네시스 GV80 3.0 디젤 2WD 7인승 - AT</t>
  </si>
  <si>
    <t>제네시스 GV80 3.0 디젤 4WD 5인승 - AT</t>
  </si>
  <si>
    <t>제네시스 GV80 3.0 디젤 4WD 7인승 - AT</t>
  </si>
  <si>
    <t>제네시스 GV80 3.5 터보 가솔린 2WD 5인승 - AT</t>
  </si>
  <si>
    <t>제네시스 GV80 3.5 터보 가솔린 2WD 7인승 - AT</t>
  </si>
  <si>
    <t>제네시스 GV80 3.5 터보 가솔린 4WD 5인승 - AT</t>
  </si>
  <si>
    <t>제네시스 GV80 3.5 터보 가솔린 4WD 7인승 - AT</t>
  </si>
  <si>
    <t>체어맨</t>
  </si>
  <si>
    <t>체어맨H 500S Brown Edition - AT</t>
  </si>
  <si>
    <t>체어맨H</t>
  </si>
  <si>
    <t>CH-H500S VIP</t>
  </si>
  <si>
    <t>체어맨H 500S VIP - AT</t>
  </si>
  <si>
    <t>체어맨H 500S 고급형 - AT</t>
  </si>
  <si>
    <t>체어맨H 500S 최고급형 - AT</t>
  </si>
  <si>
    <t>anbh</t>
  </si>
  <si>
    <t>체어맨H 600S Brown Edition - AT</t>
  </si>
  <si>
    <t>체어맨H 600S VIP - AT</t>
  </si>
  <si>
    <t>CHMANH600SCH</t>
  </si>
  <si>
    <t>체어맨H 600S 최고급형 - AT</t>
  </si>
  <si>
    <t>체어맨W CW600 Luxury - AT</t>
  </si>
  <si>
    <t>체어맨W</t>
  </si>
  <si>
    <t>CM-W CW600P</t>
  </si>
  <si>
    <t>체어맨W CW600 Prestige - AT</t>
  </si>
  <si>
    <t>체어맨W CW700 4TRONIC VVIP - AT</t>
  </si>
  <si>
    <t>체어맨W CW700 Executive - AT</t>
  </si>
  <si>
    <t>체어맨W CW700 Limousine - AT</t>
  </si>
  <si>
    <t>체어맨W CW700 VIP - AT</t>
  </si>
  <si>
    <t>체어맨W CW700 VVIP(4인승세단) - AT</t>
  </si>
  <si>
    <t>CM-W V8 5000</t>
  </si>
  <si>
    <t>체어맨W V8 5000  - AT</t>
  </si>
  <si>
    <t>체어맨W V8 5000 Summit - AT</t>
  </si>
  <si>
    <t>체어맨W V8 5000 V8 Special Edition - AT</t>
  </si>
  <si>
    <t>카니발</t>
  </si>
  <si>
    <t>카니발 11인승 하이리무진 R 2.2 디젤 프레스티지 - AT</t>
  </si>
  <si>
    <t>카니발 3.3 GDi 가솔린 11인승 프레스티지 - AT</t>
  </si>
  <si>
    <t>H6</t>
  </si>
  <si>
    <t>235/65R17</t>
  </si>
  <si>
    <t>카니발 3.3 GDi 가솔린 7인승 VIP - AT</t>
  </si>
  <si>
    <t>카니발 3.3 GDi 가솔린 7인승 프레지던트 - AT</t>
  </si>
  <si>
    <t>카니발 3.3 GDi 가솔린 9인승 노블레스 스페셜 - AT</t>
  </si>
  <si>
    <t>카니발 3.3 GDi 가솔린 9인승 프레스티지 - AT</t>
  </si>
  <si>
    <t>카니발 7인승 하이리무진 R 2.2 디젤 VIP - AT</t>
  </si>
  <si>
    <t>카니발 7인승 하이리무진 R 2.2 디젤 프레지던트 - AT</t>
  </si>
  <si>
    <t>카니발 7인승 하이리무진 람다 3.3 가솔린 프레지던트 - AT</t>
  </si>
  <si>
    <t>카니발 9인승 아웃도어 R 2.2 디젤 프레스티지 - AT</t>
  </si>
  <si>
    <t>카니발 9인승 하이루프 R 2.2 디젤 프레스티지 - AT</t>
  </si>
  <si>
    <t>카니발 9인승 하이루프 람다 3.3 가솔린 노블레스 스페셜 - AT</t>
  </si>
  <si>
    <t>카니발 9인승 하이리무진 R 2.2 디젤 노블레스스페셜 - AT</t>
  </si>
  <si>
    <t>카니발 9인승 하이리무진 R 2.2 디젤 럭셔리 - AT</t>
  </si>
  <si>
    <t>카니발 9인승 하이리무진 R 2.2 디젤 프레스티지 - AT</t>
  </si>
  <si>
    <t>카니발 9인승 하이리무진 람다 3.3 가솔린 노블레스 스페셜 - AT</t>
  </si>
  <si>
    <t>카니발 R2.2 E-VGT 디젤 11인승 디럭스 - AT</t>
  </si>
  <si>
    <t>카니발 R2.2 E-VGT 디젤 11인승 프레스티지 - AT</t>
  </si>
  <si>
    <t>카니발 R2.2 E-VGT 디젤 7인승 VIP - AT</t>
  </si>
  <si>
    <t>카니발 R2.2 E-VGT 디젤 7인승 프레지던트 - AT</t>
  </si>
  <si>
    <t>카니발 R2.2 E-VGT 디젤 9인승 노블레스 스페셜 - AT</t>
  </si>
  <si>
    <t>카니발 R2.2 E-VGT 디젤 9인승 럭셔리 - AT</t>
  </si>
  <si>
    <t>카니발 R2.2 E-VGT 디젤 9인승 프레스티지 - AT</t>
  </si>
  <si>
    <t>카렌스</t>
  </si>
  <si>
    <t>더 뉴 카렌스 2.0 LPI 7인승 럭셔리 - AT</t>
  </si>
  <si>
    <t>더 뉴 카렌스</t>
  </si>
  <si>
    <t>더 뉴 카렌스 2.0 LPI 7인승 프레스티지 - AT</t>
  </si>
  <si>
    <t>225/45R17</t>
  </si>
  <si>
    <t>카마로</t>
  </si>
  <si>
    <t>더 뉴 카마로 SS 가솔린 6.2 - AT</t>
  </si>
  <si>
    <t>더 뉴 카마로</t>
  </si>
  <si>
    <t>275/40R20</t>
  </si>
  <si>
    <t>더 뉴 카마로 SS 가솔린 6.2 볼케이노레드 - AT</t>
  </si>
  <si>
    <t>COUNTY</t>
  </si>
  <si>
    <t>카운티</t>
  </si>
  <si>
    <t>카운티 - AT</t>
  </si>
  <si>
    <t>COU15S(L)</t>
  </si>
  <si>
    <t>카운티 리무진 15인승 - AT</t>
  </si>
  <si>
    <t>카운티 리무진</t>
  </si>
  <si>
    <t>김성규_김성규</t>
  </si>
  <si>
    <t>COU15L2011L</t>
  </si>
  <si>
    <t>카운티 리무진 15인승 2011년식 - AT</t>
  </si>
  <si>
    <t>HA</t>
  </si>
  <si>
    <t>COU15S</t>
  </si>
  <si>
    <t>카운티 수퍼 15인승 - AT</t>
  </si>
  <si>
    <t>카운티 수퍼</t>
  </si>
  <si>
    <t>COU15S2011</t>
  </si>
  <si>
    <t>카운티 수퍼 15인승 2011년식 - AT</t>
  </si>
  <si>
    <t>2007034 황광규</t>
  </si>
  <si>
    <t>카운티 투어 렌터카 15인승 - MT</t>
  </si>
  <si>
    <t>카운티 투어 렌터카 15인승 단축 영업용 - MT</t>
  </si>
  <si>
    <t>캡티바</t>
  </si>
  <si>
    <t>캡티바 2.0 디젤 2WD LS  - AT</t>
  </si>
  <si>
    <t>235/60R17</t>
  </si>
  <si>
    <t>캡티바 2.0 디젤 2WD LS 디럭스팩 - AT</t>
  </si>
  <si>
    <t>캡티바 2.0 디젤 2WD LT  - AT</t>
  </si>
  <si>
    <t>235/55R18</t>
  </si>
  <si>
    <t>캡티바 2.0 디젤 2WD LT 디럭스팩 - AT</t>
  </si>
  <si>
    <t>코나</t>
  </si>
  <si>
    <t>코나 가솔린 1.6 모던 초이스 2WD - AT</t>
  </si>
  <si>
    <t>코나 가솔린 1.6 모던 초이스 4WD - AT</t>
  </si>
  <si>
    <t>코나 가솔린 1.6 스마트 2WD - AT</t>
  </si>
  <si>
    <t>코나 가솔린 1.6 스마트 4WD - AT</t>
  </si>
  <si>
    <t>코나 가솔린 1.6 프리미엄 2WD - AT</t>
  </si>
  <si>
    <t>코나 가솔린 1.6 프리미엄 4WD - AT</t>
  </si>
  <si>
    <t>코나 디젤 1.6 모던 초이스 2WD - AT</t>
  </si>
  <si>
    <t>코나 디젤 1.6 모던 초이스 4WD - AT</t>
  </si>
  <si>
    <t>코나 디젤 1.6 스마트 2WD - AT</t>
  </si>
  <si>
    <t>코나 디젤 1.6 스마트 4WD - AT</t>
  </si>
  <si>
    <t>코나 디젤 1.6 프리미엄 2WD - AT</t>
  </si>
  <si>
    <t>코나 디젤 1.6 프리미엄 4WD - AT</t>
  </si>
  <si>
    <t>코나 일렉트릭 모던 - AT</t>
  </si>
  <si>
    <t>코나 일렉트릭 프리미엄 - AT</t>
  </si>
  <si>
    <t>코나 하이브리드 모던 스페셜 2WD - AT</t>
  </si>
  <si>
    <t>khb_김홍범</t>
  </si>
  <si>
    <t>코나 하이브리드 스마트 스페셜 2WD - AT</t>
  </si>
  <si>
    <t>코나 하이브리드 프리미엄 스페셜 2WD - AT</t>
  </si>
  <si>
    <t>코란도</t>
  </si>
  <si>
    <t>코란도 가솔린 C3 - AT</t>
  </si>
  <si>
    <t>코란도 가솔린 C5 - AT</t>
  </si>
  <si>
    <t>코란도 가솔린 C5 4TRONIC - AT</t>
  </si>
  <si>
    <t>코란도 가솔린 C5 프라임 - AT</t>
  </si>
  <si>
    <t>코란도 가솔린 C5 프라임 4TRONIC - AT</t>
  </si>
  <si>
    <t>코란도 가솔린 C5 플러스 - AT</t>
  </si>
  <si>
    <t>코란도 가솔린 C5 플러스 4TRONIC - AT</t>
  </si>
  <si>
    <t>코란도 가솔린 C7 - AT</t>
  </si>
  <si>
    <t>코란도 가솔린 C7 4TRONIC - AT</t>
  </si>
  <si>
    <t>코란도 디젤 C3 - AT</t>
  </si>
  <si>
    <t>코란도 디젤 C5 - AT</t>
  </si>
  <si>
    <t>코란도 디젤 C5 4TRONIC - AT</t>
  </si>
  <si>
    <t>코란도 디젤 C5 플러스 - AT</t>
  </si>
  <si>
    <t>코란도 디젤 C5 플러스 4TRONIC - AT</t>
  </si>
  <si>
    <t>코란도 디젤 C7 - AT</t>
  </si>
  <si>
    <t>코란도 디젤 C7 4TRONIC - AT</t>
  </si>
  <si>
    <t>크루즈</t>
  </si>
  <si>
    <t>크루즈 1.4 터보 LS - AT</t>
  </si>
  <si>
    <t>크루즈 1.4 터보 LT - AT</t>
  </si>
  <si>
    <t>크루즈 1.4 터보 LT 디럭스 - AT</t>
  </si>
  <si>
    <t>크루즈 1.4 터보 LTZ - AT</t>
  </si>
  <si>
    <t>크루즈 1.4 터보 LTZ 디럭스 - AT</t>
  </si>
  <si>
    <t>크루즈 1.6 디젤 LT - AT</t>
  </si>
  <si>
    <t>크루즈 1.6 디젤 LT 디럭스 - AT</t>
  </si>
  <si>
    <t>크루즈 1.6 디젤 LTZ - AT</t>
  </si>
  <si>
    <t>투싼</t>
  </si>
  <si>
    <t>2020 투싼 가솔린 1.6 터보 2WD 모던 - AT</t>
  </si>
  <si>
    <t>2020 투싼</t>
  </si>
  <si>
    <t>2020 투싼 가솔린 1.6 터보 2WD 모던 베스트초이스 - AT</t>
  </si>
  <si>
    <t>2020 투싼 가솔린 1.6 터보 2WD 스마트 - AT</t>
  </si>
  <si>
    <t>2020 투싼 가솔린 1.6 터보 2WD 스마트 모던초이스 - AT</t>
  </si>
  <si>
    <t>2020 투싼 가솔린 1.6 터보 2WD 인스퍼레이션 - AT</t>
  </si>
  <si>
    <t>2020 투싼 가솔린 1.6 터보 HTRAC 모던 - AT</t>
  </si>
  <si>
    <t>2020 투싼 가솔린 1.6 터보 HTRAC 모던 베스트초이스 - AT</t>
  </si>
  <si>
    <t>2020 투싼 가솔린 1.6 터보 HTRAC 스마트 - AT</t>
  </si>
  <si>
    <t>2020 투싼 가솔린 1.6 터보 HTRAC 스마트 모던초이스 - AT</t>
  </si>
  <si>
    <t>2020 투싼 가솔린 1.6 터보 HTRAC 인스퍼레이션 - AT</t>
  </si>
  <si>
    <t>2020 투싼 디젤 2.0 2WD 모던 - AT</t>
  </si>
  <si>
    <t>2020 투싼 디젤 2.0 2WD 모던 베스트초이스 - AT</t>
  </si>
  <si>
    <t>2020 투싼 디젤 2.0 2WD 스마트 - AT</t>
  </si>
  <si>
    <t>2020 투싼 디젤 2.0 2WD 스마트 모던초이스 - AT</t>
  </si>
  <si>
    <t>2020 투싼 디젤 2.0 2WD 인스퍼레이션 - AT</t>
  </si>
  <si>
    <t>2020 투싼 디젤 2.0 HTRAC 모던 - AT</t>
  </si>
  <si>
    <t>2020 투싼 디젤 2.0 HTRAC 모던 베스트초이스 - AT</t>
  </si>
  <si>
    <t>2020 투싼 디젤 2.0 HTRAC 스마트 - AT</t>
  </si>
  <si>
    <t>2020 투싼 디젤 2.0 HTRAC 스마트 모던초이스 - AT</t>
  </si>
  <si>
    <t>2020 투싼 디젤 2.0 HTRAC 인스퍼레이션 - AT</t>
  </si>
  <si>
    <t>2020 투싼 스마트스트림 디젤 1.6 2WD 모던 - AT</t>
  </si>
  <si>
    <t>2020 투싼 스마트스트림 디젤 1.6 2WD 모던 베스트초이스 - AT</t>
  </si>
  <si>
    <t>2020 투싼 스마트스트림 디젤 1.6 2WD 스마트 - AT</t>
  </si>
  <si>
    <t>2020 투싼 스마트스트림 디젤 1.6 2WD 스마트 모던초이스 - AT</t>
  </si>
  <si>
    <t>2020 투싼 스마트스트림 디젤 1.6 2WD 인스퍼레이션 - AT</t>
  </si>
  <si>
    <t>2020 투싼 스마트스트림 디젤 1.6 HTRAC 모던 - AT</t>
  </si>
  <si>
    <t>2020 투싼 스마트스트림 디젤 1.6 HTRAC 모던 베스트초이스 - AT</t>
  </si>
  <si>
    <t>2020 투싼 스마트스트림 디젤 1.6 HTRAC 스마트 - AT</t>
  </si>
  <si>
    <t>2020 투싼 스마트스트림 디젤 1.6 HTRAC 스마트 모던초이스 - AT</t>
  </si>
  <si>
    <t>2020 투싼 스마트스트림 디젤 1.6 HTRAC 인스퍼레이션 - AT</t>
  </si>
  <si>
    <t>트랙스</t>
  </si>
  <si>
    <t>더뉴트랙스 1.4 가솔린 터보 LS - AT</t>
  </si>
  <si>
    <t>더뉴트랙스</t>
  </si>
  <si>
    <t>205/70R16</t>
  </si>
  <si>
    <t>더뉴트랙스 1.4 가솔린 터보 LS 디럭스 - AT</t>
  </si>
  <si>
    <t>더뉴트랙스 1.4 가솔린 터보 LT - AT</t>
  </si>
  <si>
    <t>더뉴트랙스 1.4 가솔린 터보 LT 코어 - AT</t>
  </si>
  <si>
    <t>더뉴트랙스 1.4 가솔린 터보 Premier - AT</t>
  </si>
  <si>
    <t>더뉴트랙스 1.4 가솔린 터보 레드라인 LT 코어 - AT</t>
  </si>
  <si>
    <t>더뉴트랙스 1.4 가솔린 터보 레드라인 Premier - AT</t>
  </si>
  <si>
    <t>더뉴트랙스 1.4 가솔린 터보 퍼펙트 블랙 - AT</t>
  </si>
  <si>
    <t>더뉴트랙스 1.6 디젤 LS - AT</t>
  </si>
  <si>
    <t>더뉴트랙스 1.6 디젤 LS 디럭스 - AT</t>
  </si>
  <si>
    <t>더뉴트랙스 1.6 디젤 LT - AT</t>
  </si>
  <si>
    <t>더뉴트랙스 1.6 디젤 LT 코어 - AT</t>
  </si>
  <si>
    <t>더뉴트랙스 1.6 디젤 Premier - AT</t>
  </si>
  <si>
    <t>더뉴트랙스 1.6 디젤 레드라인 LT 코어 - AT</t>
  </si>
  <si>
    <t>더뉴트랙스 1.6 디젤 레드라인 Premier - AT</t>
  </si>
  <si>
    <t>더뉴트랙스 1.6 디젤 퍼펙트 블랙 - AT</t>
  </si>
  <si>
    <t>티볼리</t>
  </si>
  <si>
    <t>티볼리 가솔린 V1 2WD - AT</t>
  </si>
  <si>
    <t>티볼리 가솔린 V3 2WD - AT</t>
  </si>
  <si>
    <t>티볼리 가솔린 V3 4WD - AT</t>
  </si>
  <si>
    <t>티볼리 가솔린 V5 2WD - AT</t>
  </si>
  <si>
    <t>215/50R18</t>
  </si>
  <si>
    <t>티볼리 가솔린 V5 4WD - AT</t>
  </si>
  <si>
    <t>티볼리 가솔린 V7 2WD - AT</t>
  </si>
  <si>
    <t>티볼리 가솔린 V7 4WD - AT</t>
  </si>
  <si>
    <t>티볼리 디젤 V1 2WD - AT</t>
  </si>
  <si>
    <t>205/65R15</t>
  </si>
  <si>
    <t>티볼리 디젤 V3 2WD - AT</t>
  </si>
  <si>
    <t>티볼리 디젤 V3 4WD - AT</t>
  </si>
  <si>
    <t>티볼리 디젤 V5 2WD - AT</t>
  </si>
  <si>
    <t>티볼리 디젤 V5 4WD - AT</t>
  </si>
  <si>
    <t>티볼리 디젤 V7 2WD - AT</t>
  </si>
  <si>
    <t>티볼리 디젤 V7 4WD - AT</t>
  </si>
  <si>
    <t>팰리세이드</t>
  </si>
  <si>
    <t>팰리세이드 가솔린 3.8 HTRAC 익스클루시브 7인승 - AT</t>
  </si>
  <si>
    <t>팰리세이드 가솔린 3.8 HTRAC 익스클루시브 8인승 - AT</t>
  </si>
  <si>
    <t>팰리세이드 가솔린 3.8 HTRAC 프레스티지 7인승 - AT</t>
  </si>
  <si>
    <t>245/50R20</t>
  </si>
  <si>
    <t>팰리세이드 가솔린 3.8 HTRAC 프레스티지 8인승 - AT</t>
  </si>
  <si>
    <t>팰리세이드 가솔린 3.8 익스클루시브 7인승 - AT</t>
  </si>
  <si>
    <t>팰리세이드 가솔린 3.8 익스클루시브 8인승 - AT</t>
  </si>
  <si>
    <t>팰리세이드 가솔린 3.8 프레스티지 7인승 - AT</t>
  </si>
  <si>
    <t>팰리세이드 가솔린 3.8 프레스티지 8인승 - AT</t>
  </si>
  <si>
    <t>팰리세이드 디젤 2.2 HTRAC 익스클루시브 7인승 - AT</t>
  </si>
  <si>
    <t>팰리세이드 디젤 2.2 HTRAC 익스클루시브 8인승 - AT</t>
  </si>
  <si>
    <t>팰리세이드 디젤 2.2 HTRAC 프레스티지 7인승 - AT</t>
  </si>
  <si>
    <t>팰리세이드 디젤 2.2 HTRAC 프레스티지 8인승 - AT</t>
  </si>
  <si>
    <t>팰리세이드 디젤 2.2 익스클루시브 7인승 - AT</t>
  </si>
  <si>
    <t>팰리세이드 디젤 2.2 익스클루시브 8인승 - AT</t>
  </si>
  <si>
    <t>팰리세이드 디젤 2.2 프레스티지 7인승 - AT</t>
  </si>
  <si>
    <t>팰리세이드 디젤 2.2 프레스티지 8인승 - AT</t>
  </si>
  <si>
    <t>임직원 가입</t>
  </si>
  <si>
    <t>만 26세이상</t>
  </si>
  <si>
    <t>만 21세이상</t>
  </si>
  <si>
    <t>26세 이상</t>
  </si>
  <si>
    <t>3억</t>
  </si>
  <si>
    <t>5억</t>
  </si>
  <si>
    <t>21세 이상</t>
  </si>
  <si>
    <t>분담금할증</t>
  </si>
  <si>
    <t>26세이상</t>
  </si>
  <si>
    <t>21세이상</t>
  </si>
  <si>
    <t>▶ 조이렌트카 보험료 테이블 요청(장기)</t>
  </si>
  <si>
    <t>① 일반</t>
  </si>
  <si>
    <t>(단위 : 원)</t>
  </si>
  <si>
    <t>자상</t>
  </si>
  <si>
    <t xml:space="preserve">무보험차상해
2억</t>
  </si>
  <si>
    <t>1억/1천</t>
  </si>
  <si>
    <t>2억/1천</t>
  </si>
  <si>
    <t>2억/3천</t>
  </si>
  <si>
    <t>주) 자손 부상가입금액 : 1500만원 기준</t>
  </si>
  <si>
    <t>② 임직원</t>
  </si>
  <si>
    <t>쿠폰 GG</t>
  </si>
  <si>
    <t>쿠폰 3M</t>
  </si>
  <si>
    <t>루마 슈퍼</t>
  </si>
  <si>
    <t>루마 버택스300</t>
  </si>
  <si>
    <t>루마 버택스500</t>
  </si>
  <si>
    <t>루마 버택스700</t>
  </si>
  <si>
    <t>루마 버택스900</t>
  </si>
  <si>
    <t>루마 GG</t>
  </si>
  <si>
    <t>쿨맥스</t>
  </si>
  <si>
    <t>차량 관리등급별, 운행거리 및 개월수에 따른 월정비비용</t>
  </si>
  <si>
    <t>월정비비(실속형_수정)</t>
  </si>
  <si>
    <t>연간정비비(실속형 수정+엔진오일)</t>
  </si>
  <si>
    <t>연간정비비(실속형 수정+대차)</t>
  </si>
  <si>
    <t>1,000 cc 이하</t>
  </si>
  <si>
    <t>1.0~1.6cc</t>
  </si>
  <si>
    <t>1.7~2.2cc</t>
  </si>
  <si>
    <t>2.3~3.3cc</t>
  </si>
  <si>
    <t>3.4~4.4cc</t>
  </si>
  <si>
    <t>4.5cc이상</t>
  </si>
  <si>
    <t>RV 2.5cc미만</t>
  </si>
  <si>
    <t>RV 2.5cc이상</t>
  </si>
  <si>
    <t>0.5만Km</t>
  </si>
  <si>
    <t>▶ 유림 탁송료</t>
  </si>
  <si>
    <t>단위: 원 부가세포함</t>
  </si>
  <si>
    <t>삼성</t>
  </si>
  <si>
    <t>인천송도</t>
  </si>
  <si>
    <t>평택항</t>
  </si>
  <si>
    <t>칠곡</t>
  </si>
  <si>
    <t>충주</t>
  </si>
  <si>
    <t>제주,도서지역</t>
  </si>
  <si>
    <t>1차 제조사</t>
  </si>
  <si>
    <t>2차 외주 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</si>
</sst>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164" formatCode="_-* #,##0_-;-* #,##0_-;_-* &quot;-&quot;_-;_-@_-"/>
    <numFmt numFmtId="165" formatCode="0.0%"/>
    <numFmt numFmtId="166" formatCode="0.000%"/>
    <numFmt numFmtId="167" formatCode="[&lt;=999999]####-####;(0##) ####-####"/>
    <numFmt numFmtId="168" formatCode="#,##0&quot;개월&quot;"/>
    <numFmt numFmtId="169" formatCode="(&quot;보&quot; #,##0)"/>
    <numFmt numFmtId="170" formatCode="_-&quot;₩&quot;* #,##0_-;-&quot;₩&quot;* #,##0_-;_-&quot;₩&quot;* &quot;-&quot;_-;_-@_-"/>
    <numFmt numFmtId="171" formatCode="(&quot;옵션가&quot; #,##0)"/>
    <numFmt numFmtId="172" formatCode="(&quot;옵션&quot; #,##0)"/>
    <numFmt numFmtId="173" formatCode="(&quot;선&quot; #,##0)"/>
    <numFmt numFmtId="174" formatCode="#,##0&quot;cc&quot;"/>
    <numFmt numFmtId="175" formatCode="#,##0&quot;  원    &quot;"/>
    <numFmt numFmtId="176" formatCode="_-* #,##0.00_-;-* #,##0.00_-;_-* &quot;-&quot;??_-;_-@_-"/>
    <numFmt numFmtId="177" formatCode="yyyy&quot;년&quot; m&quot;월&quot; d&quot;일&quot;;@"/>
    <numFmt numFmtId="178" formatCode="#,##0_);[Red](#,##0)"/>
    <numFmt numFmtId="179" formatCode="#,##0_ "/>
    <numFmt numFmtId="180" formatCode="#,###"/>
    <numFmt numFmtId="181" formatCode="_-* #,##0.0_-;-* #,##0.0_-;_-* &quot;-&quot;_-;_-@_-"/>
    <numFmt numFmtId="182" formatCode="_-* #,##0.00_-;-* #,##0.00_-;_-* &quot;-&quot;_-;_-@_-"/>
  </numFmts>
  <fonts count="65" x14ac:knownFonts="1">
    <font>
      <color theme="1"/>
      <family val="2"/>
      <scheme val="minor"/>
      <sz val="11"/>
      <name val="Calibri"/>
    </font>
    <font>
      <charset val="129"/>
      <color theme="1"/>
      <family val="2"/>
      <scheme val="minor"/>
      <sz val="11"/>
      <name val="맑은 고딕"/>
    </font>
    <font>
      <charset val="129"/>
      <color theme="1"/>
      <family val="3"/>
      <scheme val="minor"/>
      <sz val="11"/>
      <name val="맑은 고딕"/>
    </font>
    <font>
      <charset val="129"/>
      <color theme="0"/>
      <family val="2"/>
      <scheme val="minor"/>
      <sz val="11"/>
      <name val="맑은 고딕"/>
    </font>
    <font>
      <b/>
      <charset val="129"/>
      <color theme="0"/>
      <family val="3"/>
      <scheme val="minor"/>
      <sz val="14"/>
      <name val="맑은 고딕"/>
    </font>
    <font>
      <b/>
      <charset val="129"/>
      <color theme="1"/>
      <family val="3"/>
      <scheme val="minor"/>
      <sz val="11"/>
      <name val="맑은 고딕"/>
    </font>
    <font>
      <b/>
      <charset val="129"/>
      <color theme="0"/>
      <family val="3"/>
      <scheme val="minor"/>
      <sz val="12"/>
      <name val="맑은 고딕"/>
    </font>
    <font>
      <b/>
      <charset val="129"/>
      <color theme="1"/>
      <family val="3"/>
      <scheme val="minor"/>
      <sz val="22"/>
      <name val="맑은 고딕"/>
    </font>
    <font>
      <b/>
      <charset val="129"/>
      <color theme="1"/>
      <family val="3"/>
      <scheme val="minor"/>
      <sz val="18"/>
      <name val="맑은 고딕"/>
    </font>
    <font>
      <charset val="129"/>
      <family val="3"/>
      <scheme val="minor"/>
      <sz val="12"/>
      <name val="맑은 고딕"/>
    </font>
    <font>
      <b/>
      <charset val="129"/>
      <family val="3"/>
      <scheme val="minor"/>
      <sz val="12"/>
      <name val="맑은 고딕"/>
    </font>
    <font>
      <b/>
      <charset val="129"/>
      <color rgb="FFFF0000"/>
      <family val="3"/>
      <scheme val="minor"/>
      <sz val="12"/>
      <name val="맑은 고딕"/>
    </font>
    <font>
      <charset val="129"/>
      <color rgb="FFFF0000"/>
      <family val="2"/>
      <scheme val="minor"/>
      <sz val="11"/>
      <name val="맑은 고딕"/>
    </font>
    <font>
      <b/>
      <charset val="129"/>
      <color theme="0"/>
      <family val="2"/>
      <scheme val="minor"/>
      <sz val="12"/>
      <name val="맑은 고딕"/>
    </font>
    <font>
      <b/>
      <charset val="129"/>
      <color theme="1"/>
      <family val="3"/>
      <scheme val="minor"/>
      <sz val="14"/>
      <name val="맑은 고딕"/>
    </font>
    <font>
      <b/>
      <charset val="129"/>
      <color rgb="FF0000FF"/>
      <family val="3"/>
      <scheme val="minor"/>
      <sz val="11"/>
      <name val="맑은 고딕"/>
    </font>
    <font>
      <b/>
      <charset val="129"/>
      <color theme="1"/>
      <family val="3"/>
      <scheme val="minor"/>
      <sz val="12"/>
      <name val="맑은 고딕"/>
    </font>
    <font>
      <b/>
      <charset val="129"/>
      <family val="3"/>
      <scheme val="minor"/>
      <sz val="11"/>
      <name val="맑은 고딕"/>
    </font>
    <font>
      <b/>
      <charset val="129"/>
      <color theme="1"/>
      <family val="3"/>
      <scheme val="minor"/>
      <sz val="13"/>
      <name val="맑은 고딕"/>
    </font>
    <font>
      <b/>
      <i/>
      <charset val="129"/>
      <color theme="1"/>
      <family val="3"/>
      <scheme val="minor"/>
      <sz val="20"/>
      <name val="맑은 고딕"/>
    </font>
    <font>
      <charset val="129"/>
      <color theme="1"/>
      <family val="2"/>
      <scheme val="minor"/>
      <sz val="10"/>
      <name val="맑은 고딕"/>
    </font>
    <font>
      <charset val="129"/>
      <color theme="1"/>
      <family val="3"/>
      <scheme val="minor"/>
      <sz val="10"/>
      <name val="맑은 고딕"/>
    </font>
    <font>
      <b/>
      <charset val="129"/>
      <color theme="0"/>
      <family val="3"/>
      <scheme val="minor"/>
      <sz val="11"/>
      <name val="맑은 고딕"/>
    </font>
    <font>
      <charset val="129"/>
      <family val="3"/>
      <scheme val="minor"/>
      <sz val="11"/>
      <name val="맑은 고딕"/>
    </font>
    <font>
      <b/>
      <charset val="129"/>
      <color theme="0"/>
      <family val="2"/>
      <scheme val="minor"/>
      <sz val="11"/>
      <name val="맑은 고딕"/>
    </font>
    <font>
      <charset val="129"/>
      <color theme="1"/>
      <family val="2"/>
      <scheme val="minor"/>
      <sz val="9"/>
      <name val="맑은 고딕"/>
    </font>
    <font>
      <b/>
      <charset val="129"/>
      <color rgb="FFFF0000"/>
      <family val="3"/>
      <sz val="11"/>
      <name val="맑은 고딕"/>
    </font>
    <font>
      <b/>
      <charset val="129"/>
      <family val="3"/>
      <sz val="11"/>
      <name val="맑은 고딕"/>
    </font>
    <font>
      <charset val="129"/>
      <family val="3"/>
      <sz val="11"/>
      <name val="맑은 고딕"/>
    </font>
    <font>
      <charset val="129"/>
      <color theme="1"/>
      <family val="3"/>
      <sz val="11"/>
      <name val="맑은 고딕"/>
    </font>
    <font>
      <charset val="129"/>
      <color theme="0"/>
      <family val="2"/>
      <sz val="11"/>
      <name val="맑은 고딕"/>
    </font>
    <font>
      <charset val="129"/>
      <color theme="0"/>
      <family val="3"/>
      <sz val="11"/>
      <name val="맑은 고딕"/>
    </font>
    <font>
      <b/>
      <charset val="129"/>
      <color rgb="FFFF0000"/>
      <family val="3"/>
      <scheme val="minor"/>
      <sz val="14"/>
      <name val="맑은 고딕"/>
    </font>
    <font>
      <charset val="129"/>
      <color theme="0"/>
      <family val="3"/>
      <scheme val="minor"/>
      <sz val="11"/>
      <name val="맑은 고딕"/>
    </font>
    <font>
      <charset val="129"/>
      <color rgb="FF000000"/>
      <family val="3"/>
      <scheme val="minor"/>
      <sz val="10"/>
      <name val="맑은 고딕"/>
    </font>
    <font>
      <b/>
      <charset val="129"/>
      <color theme="0"/>
      <family val="3"/>
      <scheme val="minor"/>
      <sz val="16"/>
      <name val="맑은 고딕"/>
    </font>
    <font>
      <u val="singleAccounting"/>
      <charset val="129"/>
      <family val="3"/>
      <scheme val="minor"/>
      <sz val="11"/>
      <name val="맑은 고딕"/>
    </font>
    <font>
      <charset val="129"/>
      <family val="2"/>
      <scheme val="minor"/>
      <sz val="11"/>
      <name val="맑은 고딕"/>
    </font>
    <font>
      <b/>
      <charset val="129"/>
      <color theme="1"/>
      <family val="3"/>
      <sz val="11"/>
      <name val="맑은 고딕"/>
    </font>
    <font>
      <charset val="129"/>
      <family val="3"/>
      <sz val="10"/>
      <name val="맑은 고딕"/>
    </font>
    <font>
      <charset val="129"/>
      <family val="3"/>
      <sz val="9"/>
      <name val="맑은 고딕"/>
    </font>
    <font>
      <b/>
      <charset val="129"/>
      <color rgb="FFFF0000"/>
      <family val="3"/>
      <scheme val="minor"/>
      <sz val="11"/>
      <name val="맑은 고딕"/>
    </font>
    <font>
      <charset val="129"/>
      <color rgb="FF0000FF"/>
      <family val="3"/>
      <scheme val="minor"/>
      <sz val="12"/>
      <name val="맑은 고딕"/>
    </font>
    <font>
      <charset val="129"/>
      <color theme="1"/>
      <family val="3"/>
      <scheme val="minor"/>
      <sz val="12"/>
      <name val="맑은 고딕"/>
    </font>
    <font>
      <b/>
      <charset val="129"/>
      <color theme="1"/>
      <family val="3"/>
      <scheme val="minor"/>
      <sz val="20"/>
      <name val="맑은 고딕"/>
    </font>
    <font>
      <b/>
      <charset val="129"/>
      <color theme="1"/>
      <family val="2"/>
      <scheme val="minor"/>
      <sz val="11"/>
      <name val="맑은 고딕"/>
    </font>
    <font>
      <b/>
      <charset val="129"/>
      <color theme="1"/>
      <family val="2"/>
      <scheme val="minor"/>
      <sz val="18"/>
      <name val="맑은 고딕"/>
    </font>
    <font>
      <b/>
      <charset val="129"/>
      <color theme="1"/>
      <family val="2"/>
      <scheme val="minor"/>
      <sz val="20"/>
      <name val="맑은 고딕"/>
    </font>
    <font>
      <b/>
      <charset val="129"/>
      <color rgb="FF000000"/>
      <family val="3"/>
      <scheme val="minor"/>
      <sz val="11"/>
      <name val="맑은 고딕"/>
    </font>
    <font>
      <charset val="129"/>
      <color rgb="FF000000"/>
      <family val="3"/>
      <scheme val="minor"/>
      <sz val="11"/>
      <name val="맑은 고딕"/>
    </font>
    <font>
      <b/>
      <charset val="129"/>
      <family val="3"/>
      <scheme val="minor"/>
      <sz val="13"/>
      <name val="맑은 고딕"/>
    </font>
    <font>
      <charset val="129"/>
      <family val="3"/>
      <scheme val="minor"/>
      <sz val="13"/>
      <name val="맑은 고딕"/>
    </font>
    <font>
      <charset val="129"/>
      <color rgb="FFFF0000"/>
      <family val="3"/>
      <scheme val="minor"/>
      <sz val="11"/>
      <name val="맑은 고딕"/>
    </font>
    <font>
      <charset val="129"/>
      <color theme="3" tint="-0.249977111117893"/>
      <family val="3"/>
      <scheme val="minor"/>
      <sz val="11"/>
      <name val="맑은 고딕"/>
    </font>
    <font>
      <color rgb="FF000000"/>
      <family val="3"/>
      <sz val="9"/>
      <name val="Dotum"/>
    </font>
    <font>
      <color rgb="FF6E6E63"/>
      <family val="3"/>
      <sz val="9"/>
      <name val="Dotum"/>
    </font>
    <font>
      <charset val="129"/>
      <color theme="1"/>
      <family val="3"/>
      <scheme val="minor"/>
      <sz val="8"/>
      <name val="맑은 고딕"/>
    </font>
    <font>
      <charset val="129"/>
      <color theme="1"/>
      <family val="3"/>
      <scheme val="minor"/>
      <sz val="9"/>
      <name val="맑은 고딕"/>
    </font>
    <font>
      <charset val="129"/>
      <family val="2"/>
      <scheme val="minor"/>
      <sz val="10"/>
      <name val="맑은 고딕"/>
    </font>
    <font>
      <charset val="129"/>
      <family val="3"/>
      <scheme val="minor"/>
      <sz val="10"/>
      <name val="맑은 고딕"/>
    </font>
    <font>
      <b/>
      <charset val="129"/>
      <color theme="1"/>
      <family val="3"/>
      <scheme val="minor"/>
      <sz val="10"/>
      <name val="맑은 고딕"/>
    </font>
    <font>
      <b/>
      <charset val="129"/>
      <family val="3"/>
      <scheme val="minor"/>
      <sz val="10"/>
      <name val="맑은 고딕"/>
    </font>
    <font>
      <b/>
      <charset val="129"/>
      <color theme="9" tint="-0.499984740745262"/>
      <family val="3"/>
      <scheme val="minor"/>
      <sz val="10"/>
      <name val="맑은 고딕"/>
    </font>
    <font>
      <b/>
      <charset val="129"/>
      <color rgb="FFFF0000"/>
      <family val="3"/>
      <scheme val="minor"/>
      <sz val="10"/>
      <name val="맑은 고딕"/>
    </font>
    <font>
      <b/>
      <charset val="129"/>
      <color rgb="FF000000"/>
      <family val="3"/>
      <sz val="10"/>
      <name val="굴림체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2" tint="-0.0999481185338908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"/>
        <bgColor indexed="23"/>
      </patternFill>
    </fill>
    <fill>
      <patternFill patternType="solid">
        <fgColor theme="0"/>
        <bgColor indexed="23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8" tint="0.7999816888943144"/>
        <bgColor indexed="64"/>
      </patternFill>
    </fill>
  </fills>
  <borders count="439">
    <border>
      <left/>
      <right/>
      <top/>
      <bottom/>
      <diagonal/>
    </border>
    <border>
      <left/>
      <right/>
      <top style="thick"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n">
        <color theme="0" tint="-0.499984740745262"/>
      </right>
      <top style="thick">
        <color rgb="FFFF0000"/>
      </top>
      <bottom/>
      <diagonal/>
    </border>
    <border>
      <left style="thin">
        <color theme="0" tint="-0.499984740745262"/>
      </left>
      <right/>
      <top style="thick">
        <color rgb="FFFF0000"/>
      </top>
      <bottom style="thin">
        <color theme="0" tint="-0.499984740745262"/>
      </bottom>
      <diagonal/>
    </border>
    <border>
      <left/>
      <right/>
      <top style="thick">
        <color rgb="FFFF0000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ck">
        <color rgb="FFFF0000"/>
      </top>
      <bottom style="thin">
        <color theme="0" tint="-0.499984740745262"/>
      </bottom>
      <diagonal/>
    </border>
    <border>
      <left/>
      <right style="thick">
        <color rgb="FFFF0000"/>
      </right>
      <top style="thick">
        <color rgb="FFFF0000"/>
      </top>
      <bottom style="thin">
        <color theme="0" tint="-0.499984740745262"/>
      </bottom>
      <diagonal/>
    </border>
    <border>
      <left style="thick">
        <color rgb="FFFF0000"/>
      </left>
      <right/>
      <top/>
      <bottom/>
      <diagonal/>
    </border>
    <border>
      <left style="thin">
        <color theme="0" tint="-0.499984740745262"/>
      </left>
      <right style="thin"/>
      <top style="thin">
        <color theme="0" tint="-0.499984740745262"/>
      </top>
      <bottom style="thin">
        <color theme="0" tint="-0.499984740745262"/>
      </bottom>
      <diagonal/>
    </border>
    <border>
      <left style="thin"/>
      <right style="thin"/>
      <top style="thin">
        <color theme="0" tint="-0.499984740745262"/>
      </top>
      <bottom style="thin">
        <color theme="0" tint="-0.499984740745262"/>
      </bottom>
      <diagonal/>
    </border>
    <border>
      <left style="thin"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hair">
        <color theme="2" tint="-0.499984740745262"/>
      </right>
      <top style="thick">
        <color indexed="64"/>
      </top>
      <bottom/>
      <diagonal/>
    </border>
    <border>
      <left style="hair">
        <color theme="2" tint="-0.499984740745262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9" tint="0.3999450666829432"/>
      </left>
      <right style="thin">
        <color theme="9" tint="0.3999450666829432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9450666829432"/>
      </left>
      <right/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9145481734672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9145481734672"/>
      </right>
      <top style="thin">
        <color theme="9" tint="0.3999145481734672"/>
      </top>
      <bottom style="thin">
        <color theme="9" tint="0.3999145481734672"/>
      </bottom>
      <diagonal/>
    </border>
    <border>
      <left style="thick">
        <color indexed="64"/>
      </left>
      <right/>
      <top/>
      <bottom/>
      <diagonal/>
    </border>
    <border>
      <left/>
      <right style="hair">
        <color theme="2" tint="-0.499984740745262"/>
      </right>
      <top/>
      <bottom/>
      <diagonal/>
    </border>
    <border>
      <left style="hair">
        <color theme="2" tint="-0.499984740745262"/>
      </left>
      <right/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 style="thick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rgb="FFFF000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2" tint="-0.499984740745262"/>
      </left>
      <right/>
      <top style="thin"/>
      <bottom style="thin">
        <color theme="2" tint="-0.499984740745262"/>
      </bottom>
      <diagonal/>
    </border>
    <border>
      <left/>
      <right/>
      <top style="thin"/>
      <bottom style="thin">
        <color theme="2" tint="-0.499984740745262"/>
      </bottom>
      <diagonal/>
    </border>
    <border>
      <left/>
      <right style="thin">
        <color theme="2" tint="-0.499984740745262"/>
      </right>
      <top style="thin"/>
      <bottom style="thin">
        <color theme="2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ck">
        <color rgb="FFFF0000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ck">
        <color rgb="FFFF0000"/>
      </right>
      <top style="thin">
        <color theme="0" tint="-0.499984740745262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ck">
        <color rgb="FFFF0000"/>
      </bottom>
      <diagonal/>
    </border>
    <border>
      <left/>
      <right/>
      <top style="thin">
        <color theme="0" tint="-0.499984740745262"/>
      </top>
      <bottom style="thick">
        <color rgb="FFFF0000"/>
      </bottom>
      <diagonal/>
    </border>
    <border>
      <left/>
      <right style="thick">
        <color rgb="FFFF0000"/>
      </right>
      <top style="thin">
        <color theme="0" tint="-0.499984740745262"/>
      </top>
      <bottom style="thick">
        <color rgb="FFFF0000"/>
      </bottom>
      <diagonal/>
    </border>
    <border>
      <left style="medium">
        <color theme="9" tint="0.3999145481734672"/>
      </left>
      <right style="thin">
        <color theme="9" tint="0.3999450666829432"/>
      </right>
      <top style="medium">
        <color theme="9" tint="0.3999145481734672"/>
      </top>
      <bottom style="thin">
        <color theme="9" tint="0.3999450666829432"/>
      </bottom>
      <diagonal/>
    </border>
    <border>
      <left style="thin">
        <color theme="9" tint="0.3999450666829432"/>
      </left>
      <right style="thin">
        <color theme="9" tint="0.3999450666829432"/>
      </right>
      <top style="medium">
        <color theme="9" tint="0.3999145481734672"/>
      </top>
      <bottom style="thin">
        <color theme="9" tint="0.3999450666829432"/>
      </bottom>
      <diagonal/>
    </border>
    <border>
      <left style="thin">
        <color theme="9" tint="0.3999450666829432"/>
      </left>
      <right/>
      <top style="medium">
        <color theme="9" tint="0.3999145481734672"/>
      </top>
      <bottom/>
      <diagonal/>
    </border>
    <border>
      <left/>
      <right/>
      <top style="medium">
        <color theme="9" tint="0.3999145481734672"/>
      </top>
      <bottom/>
      <diagonal/>
    </border>
    <border>
      <left/>
      <right style="medium">
        <color theme="9" tint="0.3999145481734672"/>
      </right>
      <top style="medium">
        <color theme="9" tint="0.3999145481734672"/>
      </top>
      <bottom/>
      <diagonal/>
    </border>
    <border>
      <left style="thin"/>
      <right style="thin"/>
      <top style="thick">
        <color rgb="FFFF0000"/>
      </top>
      <bottom/>
      <diagonal/>
    </border>
    <border>
      <left style="medium">
        <color theme="9" tint="0.3999145481734672"/>
      </left>
      <right style="thin">
        <color theme="9" tint="0.3999450666829432"/>
      </right>
      <top style="thin">
        <color theme="9" tint="0.3999450666829432"/>
      </top>
      <bottom/>
      <diagonal/>
    </border>
    <border>
      <left style="thin">
        <color theme="9" tint="0.3999450666829432"/>
      </left>
      <right style="thin">
        <color theme="9" tint="0.3999450666829432"/>
      </right>
      <top style="thin">
        <color theme="9" tint="0.3999450666829432"/>
      </top>
      <bottom/>
      <diagonal/>
    </border>
    <border>
      <left style="thin">
        <color theme="9" tint="0.3999450666829432"/>
      </left>
      <right/>
      <top style="thin">
        <color theme="9" tint="0.3999450666829432"/>
      </top>
      <bottom/>
      <diagonal/>
    </border>
    <border>
      <left/>
      <right/>
      <top style="thin">
        <color theme="9" tint="0.3999450666829432"/>
      </top>
      <bottom/>
      <diagonal/>
    </border>
    <border>
      <left/>
      <right style="thin">
        <color theme="9" tint="0.3999450666829432"/>
      </right>
      <top style="thin">
        <color theme="9" tint="0.3999450666829432"/>
      </top>
      <bottom/>
      <diagonal/>
    </border>
    <border>
      <left style="thick">
        <color theme="9" tint="0.39982299264503923"/>
      </left>
      <right/>
      <top style="thick">
        <color theme="9" tint="0.39982299264503923"/>
      </top>
      <bottom/>
      <diagonal/>
    </border>
    <border>
      <left/>
      <right/>
      <top style="thick">
        <color theme="9" tint="0.39982299264503923"/>
      </top>
      <bottom/>
      <diagonal/>
    </border>
    <border>
      <left/>
      <right style="thick">
        <color theme="9" tint="0.39982299264503923"/>
      </right>
      <top style="thick">
        <color theme="9" tint="0.39982299264503923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9" tint="0.3999145481734672"/>
      </left>
      <right style="thin">
        <color theme="9" tint="0.3999450666829432"/>
      </right>
      <top/>
      <bottom style="thin">
        <color theme="9" tint="0.3999145481734672"/>
      </bottom>
      <diagonal/>
    </border>
    <border>
      <left style="thin">
        <color theme="9" tint="0.3999450666829432"/>
      </left>
      <right style="thin">
        <color theme="9" tint="0.3999450666829432"/>
      </right>
      <top/>
      <bottom style="thin">
        <color theme="9" tint="0.3999145481734672"/>
      </bottom>
      <diagonal/>
    </border>
    <border>
      <left style="thin">
        <color theme="9" tint="0.3999450666829432"/>
      </left>
      <right/>
      <top/>
      <bottom style="thin">
        <color theme="9" tint="0.3999145481734672"/>
      </bottom>
      <diagonal/>
    </border>
    <border>
      <left/>
      <right style="thin">
        <color theme="9" tint="0.3999450666829432"/>
      </right>
      <top/>
      <bottom style="thin">
        <color theme="9" tint="0.3999145481734672"/>
      </bottom>
      <diagonal/>
    </border>
    <border>
      <left/>
      <right/>
      <top/>
      <bottom style="thin">
        <color theme="9" tint="0.3999145481734672"/>
      </bottom>
      <diagonal/>
    </border>
    <border>
      <left style="thin">
        <color theme="9" tint="0.3999450666829432"/>
      </left>
      <right style="thin">
        <color theme="9" tint="0.3999450666829432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9450666829432"/>
      </left>
      <right/>
      <top style="thin">
        <color theme="9" tint="0.3999450666829432"/>
      </top>
      <bottom style="thin">
        <color theme="9" tint="0.3999145481734672"/>
      </bottom>
      <diagonal/>
    </border>
    <border>
      <left style="thick">
        <color theme="9" tint="0.39982299264503923"/>
      </left>
      <right/>
      <top/>
      <bottom style="thick">
        <color theme="9" tint="0.39982299264503923"/>
      </bottom>
      <diagonal/>
    </border>
    <border>
      <left/>
      <right/>
      <top/>
      <bottom style="thick">
        <color theme="9" tint="0.39982299264503923"/>
      </bottom>
      <diagonal/>
    </border>
    <border>
      <left/>
      <right style="thick">
        <color theme="9" tint="0.39982299264503923"/>
      </right>
      <top/>
      <bottom style="thick">
        <color theme="9" tint="0.39982299264503923"/>
      </bottom>
      <diagonal/>
    </border>
    <border>
      <left style="thin"/>
      <right style="thin"/>
      <top/>
      <bottom style="thick">
        <color rgb="FFFF0000"/>
      </bottom>
      <diagonal/>
    </border>
    <border>
      <left style="medium">
        <color theme="9" tint="0.3999145481734672"/>
      </left>
      <right/>
      <top style="thin">
        <color theme="9" tint="0.3999145481734672"/>
      </top>
      <bottom style="hair">
        <color theme="9" tint="0.3999145481734672"/>
      </bottom>
      <diagonal/>
    </border>
    <border>
      <left/>
      <right/>
      <top style="thin">
        <color theme="9" tint="0.3999145481734672"/>
      </top>
      <bottom style="hair">
        <color theme="9" tint="0.3999145481734672"/>
      </bottom>
      <diagonal/>
    </border>
    <border>
      <left/>
      <right style="hair">
        <color theme="9" tint="0.3999145481734672"/>
      </right>
      <top style="thin">
        <color theme="9" tint="0.3999145481734672"/>
      </top>
      <bottom style="hair">
        <color theme="9" tint="0.3999145481734672"/>
      </bottom>
      <diagonal/>
    </border>
    <border>
      <left style="hair">
        <color theme="9" tint="0.3999145481734672"/>
      </left>
      <right/>
      <top/>
      <bottom style="hair">
        <color theme="9" tint="0.3998840296639912"/>
      </bottom>
      <diagonal/>
    </border>
    <border>
      <left/>
      <right/>
      <top/>
      <bottom style="hair">
        <color theme="9" tint="0.3998840296639912"/>
      </bottom>
      <diagonal/>
    </border>
    <border>
      <left/>
      <right style="medium">
        <color theme="9" tint="0.3999145481734672"/>
      </right>
      <top/>
      <bottom style="hair">
        <color theme="9" tint="0.399884029663991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thick">
        <color theme="2" tint="-0.499984740745262"/>
      </bottom>
      <diagonal/>
    </border>
    <border>
      <left/>
      <right/>
      <top style="thin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ck">
        <color theme="2" tint="-0.499984740745262"/>
      </bottom>
      <diagonal/>
    </border>
    <border>
      <left style="thin">
        <color theme="0" tint="-0.499984740745262"/>
      </left>
      <right style="thin"/>
      <top style="thick">
        <color rgb="FFFF0000"/>
      </top>
      <bottom style="hair">
        <color theme="0" tint="-0.499984740745262"/>
      </bottom>
      <diagonal/>
    </border>
    <border>
      <left style="thin"/>
      <right style="thin"/>
      <top style="thick">
        <color rgb="FFFF0000"/>
      </top>
      <bottom style="hair">
        <color theme="0" tint="-0.499984740745262"/>
      </bottom>
      <diagonal/>
    </border>
    <border>
      <left style="thin">
        <color theme="0" tint="-0.499984740745262"/>
      </left>
      <right/>
      <top style="thick">
        <color rgb="FFFF0000"/>
      </top>
      <bottom style="hair">
        <color theme="0" tint="-0.499984740745262"/>
      </bottom>
      <diagonal/>
    </border>
    <border>
      <left/>
      <right/>
      <top style="thick">
        <color rgb="FFFF0000"/>
      </top>
      <bottom style="hair">
        <color theme="0" tint="-0.499984740745262"/>
      </bottom>
      <diagonal/>
    </border>
    <border>
      <left/>
      <right style="thick">
        <color rgb="FFFF0000"/>
      </right>
      <top style="thick">
        <color rgb="FFFF0000"/>
      </top>
      <bottom style="hair">
        <color theme="0" tint="-0.499984740745262"/>
      </bottom>
      <diagonal/>
    </border>
    <border>
      <left style="medium">
        <color theme="9" tint="0.3999145481734672"/>
      </left>
      <right/>
      <top style="hair">
        <color theme="9" tint="0.3999145481734672"/>
      </top>
      <bottom style="medium">
        <color theme="9" tint="0.3999145481734672"/>
      </bottom>
      <diagonal/>
    </border>
    <border>
      <left/>
      <right/>
      <top style="hair">
        <color theme="9" tint="0.3999145481734672"/>
      </top>
      <bottom style="medium">
        <color theme="9" tint="0.3999145481734672"/>
      </bottom>
      <diagonal/>
    </border>
    <border>
      <left/>
      <right style="hair">
        <color theme="9" tint="0.3999145481734672"/>
      </right>
      <top style="hair">
        <color theme="9" tint="0.3999145481734672"/>
      </top>
      <bottom style="medium">
        <color theme="9" tint="0.3999145481734672"/>
      </bottom>
      <diagonal/>
    </border>
    <border>
      <left/>
      <right/>
      <top style="hair">
        <color theme="9" tint="0.3998840296639912"/>
      </top>
      <bottom style="medium">
        <color theme="9" tint="0.3999145481734672"/>
      </bottom>
      <diagonal/>
    </border>
    <border>
      <left/>
      <right style="hair">
        <color theme="9" tint="0.3998840296639912"/>
      </right>
      <top style="hair">
        <color theme="9" tint="0.3998840296639912"/>
      </top>
      <bottom style="medium">
        <color theme="9" tint="0.3999145481734672"/>
      </bottom>
      <diagonal/>
    </border>
    <border>
      <left style="hair">
        <color theme="9" tint="0.3998840296639912"/>
      </left>
      <right/>
      <top style="hair">
        <color theme="9" tint="0.3998840296639912"/>
      </top>
      <bottom style="medium">
        <color theme="9" tint="0.3999145481734672"/>
      </bottom>
      <diagonal/>
    </border>
    <border>
      <left style="hair">
        <color theme="9" tint="0.39985351115451523"/>
      </left>
      <right/>
      <top style="hair">
        <color theme="9" tint="0.3998840296639912"/>
      </top>
      <bottom style="medium">
        <color theme="9" tint="0.3999145481734672"/>
      </bottom>
      <diagonal/>
    </border>
    <border>
      <left/>
      <right style="hair">
        <color theme="9" tint="0.3999145481734672"/>
      </right>
      <top style="hair">
        <color theme="9" tint="0.3998840296639912"/>
      </top>
      <bottom style="medium">
        <color theme="9" tint="0.3999145481734672"/>
      </bottom>
      <diagonal/>
    </border>
    <border>
      <left style="hair">
        <color theme="9" tint="0.3999145481734672"/>
      </left>
      <right/>
      <top/>
      <bottom style="medium">
        <color theme="9" tint="0.3999145481734672"/>
      </bottom>
      <diagonal/>
    </border>
    <border>
      <left/>
      <right/>
      <top/>
      <bottom style="medium">
        <color theme="9" tint="0.3999145481734672"/>
      </bottom>
      <diagonal/>
    </border>
    <border>
      <left/>
      <right style="medium">
        <color theme="9" tint="0.3999145481734672"/>
      </right>
      <top/>
      <bottom style="medium">
        <color theme="9" tint="0.3999145481734672"/>
      </bottom>
      <diagonal/>
    </border>
    <border>
      <left style="thick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n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n">
        <color theme="2" tint="-0.499984740745262"/>
      </left>
      <right/>
      <top style="thick">
        <color theme="2" tint="-0.499984740745262"/>
      </top>
      <bottom style="thick">
        <color theme="2" tint="-0.499984740745262"/>
      </bottom>
      <diagonal/>
    </border>
    <border>
      <left/>
      <right style="thick">
        <color theme="2" tint="-0.499984740745262"/>
      </right>
      <top style="thick">
        <color theme="2" tint="-0.499984740745262"/>
      </top>
      <bottom style="thick">
        <color theme="2" tint="-0.499984740745262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n"/>
      <top style="hair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hair">
        <color theme="0" tint="-0.499984740745262"/>
      </top>
      <bottom style="hair">
        <color theme="0" tint="-0.499984740745262"/>
      </bottom>
      <diagonal/>
    </border>
    <border>
      <left/>
      <right style="thick">
        <color rgb="FFFF0000"/>
      </right>
      <top style="hair">
        <color theme="0" tint="-0.499984740745262"/>
      </top>
      <bottom style="hair">
        <color theme="0" tint="-0.499984740745262"/>
      </bottom>
      <diagonal/>
    </border>
    <border>
      <left style="thin">
        <color theme="2" tint="-0.499984740745262"/>
      </left>
      <right/>
      <top style="thick">
        <color theme="2" tint="-0.499984740745262"/>
      </top>
      <bottom style="thin">
        <color theme="2" tint="-0.499984740745262"/>
      </bottom>
      <diagonal/>
    </border>
    <border>
      <left/>
      <right/>
      <top style="thick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ck">
        <color theme="2" tint="-0.499984740745262"/>
      </top>
      <bottom style="thin">
        <color theme="2" tint="-0.499984740745262"/>
      </bottom>
      <diagonal/>
    </border>
    <border>
      <left style="medium">
        <color theme="9" tint="0.3999145481734672"/>
      </left>
      <right style="thin">
        <color theme="9" tint="0.5999633777886288"/>
      </right>
      <top style="medium">
        <color theme="9" tint="0.3999145481734672"/>
      </top>
      <bottom/>
      <diagonal/>
    </border>
    <border>
      <left style="thin">
        <color theme="9" tint="0.5999633777886288"/>
      </left>
      <right style="thin">
        <color theme="9" tint="0.5999633777886288"/>
      </right>
      <top style="medium">
        <color theme="9" tint="0.3999145481734672"/>
      </top>
      <bottom/>
      <diagonal/>
    </border>
    <border>
      <left/>
      <right style="thin">
        <color theme="9" tint="0.3999450666829432"/>
      </right>
      <top style="medium">
        <color theme="9" tint="0.3999145481734672"/>
      </top>
      <bottom/>
      <diagonal/>
    </border>
    <border>
      <left style="thin">
        <color theme="9" tint="0.5999633777886288"/>
      </left>
      <right style="thin">
        <color theme="9" tint="0.5999633777886288"/>
      </right>
      <top style="medium">
        <color theme="9" tint="0.3999145481734672"/>
      </top>
      <bottom style="thin">
        <color theme="9" tint="0.5999633777886288"/>
      </bottom>
      <diagonal/>
    </border>
    <border>
      <left style="thin">
        <color theme="9" tint="0.5999633777886288"/>
      </left>
      <right/>
      <top style="medium">
        <color theme="9" tint="0.3999145481734672"/>
      </top>
      <bottom style="thin">
        <color theme="9" tint="0.5999633777886288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medium">
        <color theme="9" tint="0.3999145481734672"/>
      </left>
      <right style="thin">
        <color theme="9" tint="0.5999633777886288"/>
      </right>
      <top/>
      <bottom style="thin">
        <color theme="9" tint="0.3999145481734672"/>
      </bottom>
      <diagonal/>
    </border>
    <border>
      <left style="thin">
        <color theme="9" tint="0.5999633777886288"/>
      </left>
      <right style="thin">
        <color theme="9" tint="0.5999633777886288"/>
      </right>
      <top/>
      <bottom style="thin">
        <color theme="9" tint="0.3999145481734672"/>
      </bottom>
      <diagonal/>
    </border>
    <border>
      <left style="thin">
        <color theme="9" tint="0.5999633777886288"/>
      </left>
      <right/>
      <top/>
      <bottom style="thin">
        <color theme="9" tint="0.3999145481734672"/>
      </bottom>
      <diagonal/>
    </border>
    <border>
      <left/>
      <right style="thin">
        <color theme="9" tint="0.5999633777886288"/>
      </right>
      <top/>
      <bottom style="thin">
        <color theme="9" tint="0.3999145481734672"/>
      </bottom>
      <diagonal/>
    </border>
    <border>
      <left style="thin">
        <color theme="9" tint="0.5999633777886288"/>
      </left>
      <right style="thin">
        <color theme="9" tint="0.5999633777886288"/>
      </right>
      <top style="thin">
        <color theme="9" tint="0.5999633777886288"/>
      </top>
      <bottom style="thin">
        <color theme="9" tint="0.3999145481734672"/>
      </bottom>
      <diagonal/>
    </border>
    <border>
      <left style="thin">
        <color theme="9" tint="0.5999633777886288"/>
      </left>
      <right/>
      <top style="thin">
        <color theme="9" tint="0.5999633777886288"/>
      </top>
      <bottom style="thin">
        <color theme="9" tint="0.3999145481734672"/>
      </bottom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theme="2" tint="-0.499984740745262"/>
      </bottom>
      <diagonal/>
    </border>
    <border>
      <left/>
      <right style="thin">
        <color theme="2" tint="-0.499984740745262"/>
      </right>
      <top/>
      <bottom style="thin">
        <color theme="2" tint="-0.499984740745262"/>
      </bottom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medium">
        <color theme="9" tint="0.3999145481734672"/>
      </left>
      <right style="thin">
        <color theme="9" tint="0.5999633777886288"/>
      </right>
      <top/>
      <bottom style="hair">
        <color theme="9" tint="0.3999145481734672"/>
      </bottom>
      <diagonal/>
    </border>
    <border>
      <left style="thin">
        <color theme="9" tint="0.5999633777886288"/>
      </left>
      <right style="thin">
        <color theme="9" tint="0.5999633777886288"/>
      </right>
      <top/>
      <bottom style="hair">
        <color theme="9" tint="0.3999145481734672"/>
      </bottom>
      <diagonal/>
    </border>
    <border>
      <left style="thin">
        <color theme="9" tint="0.5999633777886288"/>
      </left>
      <right style="hair">
        <color theme="9" tint="0.3999145481734672"/>
      </right>
      <top/>
      <bottom style="hair">
        <color theme="9" tint="0.399914548173467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/>
      <top/>
      <bottom/>
      <diagonal/>
    </border>
    <border>
      <left/>
      <right style="hair">
        <color theme="9" tint="0.3998840296639912"/>
      </right>
      <top style="hair">
        <color theme="9" tint="0.3999145481734672"/>
      </top>
      <bottom style="medium">
        <color theme="9" tint="0.3999145481734672"/>
      </bottom>
      <diagonal/>
    </border>
    <border>
      <left style="hair">
        <color theme="9" tint="0.3998840296639912"/>
      </left>
      <right/>
      <top style="hair">
        <color theme="9" tint="0.3999145481734672"/>
      </top>
      <bottom style="medium">
        <color theme="9" tint="0.3999145481734672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hair">
        <color theme="2" tint="-0.499984740745262"/>
      </right>
      <top/>
      <bottom style="thick">
        <color indexed="64"/>
      </bottom>
      <diagonal/>
    </border>
    <border>
      <left style="hair">
        <color theme="2" tint="-0.499984740745262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theme="0" tint="-0.499984740745262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n"/>
      <top style="hair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hair">
        <color theme="0" tint="-0.499984740745262"/>
      </top>
      <bottom style="thin">
        <color theme="0" tint="-0.499984740745262"/>
      </bottom>
      <diagonal/>
    </border>
    <border>
      <left/>
      <right style="thick">
        <color rgb="FFFF0000"/>
      </right>
      <top style="hair">
        <color theme="0" tint="-0.499984740745262"/>
      </top>
      <bottom style="thin">
        <color theme="0" tint="-0.499984740745262"/>
      </bottom>
      <diagonal/>
    </border>
    <border>
      <left style="thin"/>
      <right style="thin"/>
      <top style="thin"/>
      <bottom/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9" tint="0.3999145481734672"/>
      </left>
      <right style="thin">
        <color theme="9" tint="0.3999450666829432"/>
      </right>
      <top style="medium">
        <color theme="9" tint="0.3999145481734672"/>
      </top>
      <bottom/>
      <diagonal/>
    </border>
    <border>
      <left style="thin">
        <color theme="9" tint="0.3999450666829432"/>
      </left>
      <right style="thin">
        <color theme="9" tint="0.3999450666829432"/>
      </right>
      <top style="medium">
        <color theme="9" tint="0.3999145481734672"/>
      </top>
      <bottom/>
      <diagonal/>
    </border>
    <border>
      <left style="thin">
        <color theme="9" tint="0.3999450666829432"/>
      </left>
      <right/>
      <top style="medium">
        <color theme="9" tint="0.3999145481734672"/>
      </top>
      <bottom style="thin">
        <color theme="9" tint="0.3999450666829432"/>
      </bottom>
      <diagonal/>
    </border>
    <border>
      <left style="thick">
        <color theme="2" tint="-0.749961851863155"/>
      </left>
      <right/>
      <top style="thick">
        <color theme="2" tint="-0.749961851863155"/>
      </top>
      <bottom/>
      <diagonal/>
    </border>
    <border>
      <left/>
      <right/>
      <top style="thick">
        <color theme="2" tint="-0.749961851863155"/>
      </top>
      <bottom/>
      <diagonal/>
    </border>
    <border>
      <left/>
      <right style="thick">
        <color theme="2" tint="-0.749961851863155"/>
      </right>
      <top style="thick">
        <color theme="2" tint="-0.749961851863155"/>
      </top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 style="thick">
        <color theme="2" tint="-0.749961851863155"/>
      </left>
      <right/>
      <top/>
      <bottom/>
      <diagonal/>
    </border>
    <border>
      <left/>
      <right style="thick">
        <color theme="2" tint="-0.749961851863155"/>
      </right>
      <top/>
      <bottom/>
      <diagonal/>
    </border>
    <border>
      <left style="medium">
        <color theme="9" tint="0.3999145481734672"/>
      </left>
      <right style="thin">
        <color theme="9" tint="0.3999450666829432"/>
      </right>
      <top/>
      <bottom/>
      <diagonal/>
    </border>
    <border>
      <left style="thin">
        <color theme="9" tint="0.3999450666829432"/>
      </left>
      <right style="thin">
        <color theme="9" tint="0.3999450666829432"/>
      </right>
      <top/>
      <bottom/>
      <diagonal/>
    </border>
    <border>
      <left style="thin">
        <color theme="9" tint="0.3999450666829432"/>
      </left>
      <right style="hair">
        <color theme="9" tint="0.399914548173467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/>
      <bottom/>
      <diagonal/>
    </border>
    <border>
      <left/>
      <right style="thin">
        <color theme="2" tint="-0.499984740745262"/>
      </right>
      <top/>
      <bottom/>
      <diagonal/>
    </border>
    <border>
      <left style="thick">
        <color rgb="FFFF0000"/>
      </left>
      <right/>
      <top/>
      <bottom style="thin"/>
      <diagonal/>
    </border>
    <border>
      <left/>
      <right/>
      <top/>
      <bottom style="thin">
        <color indexed="64"/>
      </bottom>
      <diagonal/>
    </border>
    <border>
      <left style="hair">
        <color theme="9" tint="0.3999145481734672"/>
      </left>
      <right/>
      <top style="hair">
        <color theme="9" tint="0.3999145481734672"/>
      </top>
      <bottom style="medium">
        <color theme="9" tint="0.3999145481734672"/>
      </bottom>
      <diagonal/>
    </border>
    <border>
      <left style="hair">
        <color theme="9" tint="0.3999145481734672"/>
      </left>
      <right/>
      <top style="hair">
        <color theme="9" tint="0.3998840296639912"/>
      </top>
      <bottom style="medium">
        <color theme="9" tint="0.3999145481734672"/>
      </bottom>
      <diagonal/>
    </border>
    <border>
      <left/>
      <right style="hair">
        <color theme="9" tint="0.39985351115451523"/>
      </right>
      <top style="hair">
        <color theme="9" tint="0.3998840296639912"/>
      </top>
      <bottom style="medium">
        <color theme="9" tint="0.3999145481734672"/>
      </bottom>
      <diagonal/>
    </border>
    <border>
      <left style="thin"/>
      <right style="thin"/>
      <top/>
      <bottom style="thin"/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n"/>
      <top style="thin">
        <color theme="0" tint="-0.499984740745262"/>
      </top>
      <bottom style="hair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hair">
        <color theme="0" tint="-0.499984740745262"/>
      </bottom>
      <diagonal/>
    </border>
    <border>
      <left/>
      <right style="thick">
        <color rgb="FFFF0000"/>
      </right>
      <top style="thin">
        <color theme="0" tint="-0.499984740745262"/>
      </top>
      <bottom style="hair">
        <color theme="0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9145481734672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9145481734672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8840296639912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8840296639912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85351115451523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85351115451523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82299264503923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82299264503923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79247413556324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79247413556324"/>
      </left>
      <right/>
      <top style="thin">
        <color theme="9" tint="0.3999450666829432"/>
      </top>
      <bottom style="thin">
        <color theme="9" tint="0.3999450666829432"/>
      </bottom>
      <diagonal/>
    </border>
    <border>
      <left/>
      <right style="thin">
        <color theme="9" tint="0.39976195562608724"/>
      </right>
      <top style="thin">
        <color theme="9" tint="0.3999450666829432"/>
      </top>
      <bottom style="thin">
        <color theme="9" tint="0.3999450666829432"/>
      </bottom>
      <diagonal/>
    </border>
    <border>
      <left style="thin">
        <color theme="9" tint="0.39976195562608724"/>
      </left>
      <right/>
      <top/>
      <bottom/>
      <diagonal/>
    </border>
    <border>
      <left/>
      <right style="thin">
        <color theme="9" tint="0.39973143711661124"/>
      </right>
      <top/>
      <bottom/>
      <diagonal/>
    </border>
    <border>
      <left style="thin">
        <color theme="9" tint="0.39973143711661124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9145481734672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9145481734672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8840296639912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8840296639912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85351115451523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85351115451523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82299264503923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82299264503923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79247413556324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79247413556324"/>
      </left>
      <right/>
      <top style="thin">
        <color theme="9" tint="0.3999450666829432"/>
      </top>
      <bottom style="thin">
        <color theme="9" tint="0.3999145481734672"/>
      </bottom>
      <diagonal/>
    </border>
    <border>
      <left/>
      <right style="thin">
        <color theme="9" tint="0.39976195562608724"/>
      </right>
      <top style="thin">
        <color theme="9" tint="0.3999450666829432"/>
      </top>
      <bottom style="thin">
        <color theme="9" tint="0.3999145481734672"/>
      </bottom>
      <diagonal/>
    </border>
    <border>
      <left style="thin">
        <color theme="9" tint="0.39976195562608724"/>
      </left>
      <right/>
      <top/>
      <bottom style="thin">
        <color theme="9" tint="0.3999145481734672"/>
      </bottom>
      <diagonal/>
    </border>
    <border>
      <left/>
      <right style="thin">
        <color theme="9" tint="0.39973143711661124"/>
      </right>
      <top/>
      <bottom style="thin">
        <color theme="9" tint="0.399914548173467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indexed="64"/>
      </bottom>
      <diagonal/>
    </border>
    <border>
      <left style="thin"/>
      <right style="thick">
        <color rgb="FFFF0000"/>
      </right>
      <top/>
      <bottom style="thin"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rgb="FFFF0000"/>
      </right>
      <top style="thin">
        <color indexed="64"/>
      </top>
      <bottom/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theme="9" tint="0.3998840296639912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8840296639912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85351115451523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85351115451523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82299264503923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82299264503923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79247413556324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79247413556324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76195562608724"/>
      </right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76195562608724"/>
      </left>
      <right/>
      <top style="thin">
        <color theme="9" tint="0.3999145481734672"/>
      </top>
      <bottom style="thin">
        <color theme="9" tint="0.3999145481734672"/>
      </bottom>
      <diagonal/>
    </border>
    <border>
      <left style="thin">
        <color theme="9" tint="0.39970091860713525"/>
      </left>
      <right/>
      <top style="thin">
        <color theme="9" tint="0.3999145481734672"/>
      </top>
      <bottom style="thin">
        <color theme="9" tint="0.3999145481734672"/>
      </bottom>
      <diagonal/>
    </border>
    <border>
      <left/>
      <right style="thin">
        <color theme="9" tint="0.39970091860713525"/>
      </right>
      <top style="thin">
        <color theme="9" tint="0.3999145481734672"/>
      </top>
      <bottom style="thin">
        <color theme="9" tint="0.3999145481734672"/>
      </bottom>
      <diagonal/>
    </border>
    <border>
      <left style="thin"/>
      <right/>
      <top style="thin"/>
      <bottom style="thin"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>
        <color theme="9" tint="0.3999145481734672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8840296639912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8840296639912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85351115451523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85351115451523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82299264503923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82299264503923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79247413556324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79247413556324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76195562608724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76195562608724"/>
      </left>
      <right/>
      <top style="thin">
        <color theme="9" tint="0.3999145481734672"/>
      </top>
      <bottom/>
      <diagonal/>
    </border>
    <border>
      <left/>
      <right/>
      <top style="thin">
        <color theme="9" tint="0.3999145481734672"/>
      </top>
      <bottom/>
      <diagonal/>
    </border>
    <border>
      <left style="thin">
        <color theme="9" tint="0.39970091860713525"/>
      </left>
      <right/>
      <top style="thin">
        <color theme="9" tint="0.3999145481734672"/>
      </top>
      <bottom style="hair">
        <color theme="9" tint="0.3998840296639912"/>
      </bottom>
      <diagonal/>
    </border>
    <border>
      <left/>
      <right style="thin">
        <color theme="9" tint="0.39970091860713525"/>
      </right>
      <top style="thin">
        <color theme="9" tint="0.3999145481734672"/>
      </top>
      <bottom style="hair">
        <color theme="9" tint="0.3998840296639912"/>
      </bottom>
      <diagonal/>
    </border>
    <border>
      <left style="thin">
        <color theme="9" tint="0.3999145481734672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8840296639912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8840296639912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85351115451523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85351115451523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82299264503923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82299264503923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79247413556324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79247413556324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76195562608724"/>
      </right>
      <top style="hair">
        <color theme="9" tint="0.3998840296639912"/>
      </top>
      <bottom style="hair">
        <color theme="9" tint="0.3998840296639912"/>
      </bottom>
      <diagonal/>
    </border>
    <border>
      <left style="thin">
        <color theme="9" tint="0.39976195562608724"/>
      </left>
      <right/>
      <top style="hair">
        <color theme="9" tint="0.39973143711661124"/>
      </top>
      <bottom style="hair">
        <color theme="9" tint="0.39973143711661124"/>
      </bottom>
      <diagonal/>
    </border>
    <border>
      <left/>
      <right/>
      <top style="hair">
        <color theme="9" tint="0.39973143711661124"/>
      </top>
      <bottom style="hair">
        <color theme="9" tint="0.39973143711661124"/>
      </bottom>
      <diagonal/>
    </border>
    <border>
      <left style="thin">
        <color theme="9" tint="0.39970091860713525"/>
      </left>
      <right/>
      <top style="hair">
        <color theme="9" tint="0.3998840296639912"/>
      </top>
      <bottom style="hair">
        <color theme="9" tint="0.3998840296639912"/>
      </bottom>
      <diagonal/>
    </border>
    <border>
      <left/>
      <right style="thin">
        <color theme="9" tint="0.39970091860713525"/>
      </right>
      <top style="hair">
        <color theme="9" tint="0.3998840296639912"/>
      </top>
      <bottom style="hair">
        <color theme="9" tint="0.3998840296639912"/>
      </bottom>
      <diagonal/>
    </border>
    <border>
      <left style="thick">
        <color theme="2" tint="-0.749961851863155"/>
      </left>
      <right/>
      <top/>
      <bottom style="thick">
        <color theme="2" tint="-0.749961851863155"/>
      </bottom>
      <diagonal/>
    </border>
    <border>
      <left/>
      <right/>
      <top/>
      <bottom style="thick">
        <color theme="2" tint="-0.749961851863155"/>
      </bottom>
      <diagonal/>
    </border>
    <border>
      <left/>
      <right style="thick">
        <color theme="2" tint="-0.749961851863155"/>
      </right>
      <top/>
      <bottom style="thick">
        <color theme="2" tint="-0.749961851863155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9" tint="0.39970091860713525"/>
      </left>
      <right/>
      <top style="hair">
        <color theme="9" tint="0.39967040009765925"/>
      </top>
      <bottom style="hair">
        <color theme="9" tint="0.39967040009765925"/>
      </bottom>
      <diagonal/>
    </border>
    <border>
      <left/>
      <right/>
      <top style="hair">
        <color theme="9" tint="0.39967040009765925"/>
      </top>
      <bottom style="hair">
        <color theme="9" tint="0.39967040009765925"/>
      </bottom>
      <diagonal/>
    </border>
    <border>
      <left/>
      <right style="thin">
        <color theme="9" tint="0.3999145481734672"/>
      </right>
      <top style="hair">
        <color theme="9" tint="0.39967040009765925"/>
      </top>
      <bottom style="hair">
        <color theme="9" tint="0.39967040009765925"/>
      </bottom>
      <diagonal/>
    </border>
    <border>
      <left style="medium">
        <color theme="2" tint="-0.749961851863155"/>
      </left>
      <right/>
      <top style="medium">
        <color theme="2" tint="-0.749961851863155"/>
      </top>
      <bottom/>
      <diagonal/>
    </border>
    <border>
      <left/>
      <right/>
      <top style="medium">
        <color theme="2" tint="-0.749961851863155"/>
      </top>
      <bottom style="thin">
        <color theme="2" tint="-0.499984740745262"/>
      </bottom>
      <diagonal/>
    </border>
    <border>
      <left/>
      <right/>
      <top style="medium">
        <color theme="2" tint="-0.749961851863155"/>
      </top>
      <bottom/>
      <diagonal/>
    </border>
    <border>
      <left/>
      <right style="medium">
        <color theme="2" tint="-0.749961851863155"/>
      </right>
      <top style="medium">
        <color theme="2" tint="-0.749961851863155"/>
      </top>
      <bottom/>
      <diagonal/>
    </border>
    <border>
      <left style="thin">
        <color theme="9" tint="0.3999145481734672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8840296639912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8840296639912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85351115451523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85351115451523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82299264503923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82299264503923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79247413556324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79247413556324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76195562608724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76195562608724"/>
      </left>
      <right/>
      <top style="hair">
        <color theme="9" tint="0.39973143711661124"/>
      </top>
      <bottom style="thin">
        <color theme="9" tint="0.39973143711661124"/>
      </bottom>
      <diagonal/>
    </border>
    <border>
      <left/>
      <right/>
      <top style="hair">
        <color theme="9" tint="0.39973143711661124"/>
      </top>
      <bottom style="thin">
        <color theme="9" tint="0.39973143711661124"/>
      </bottom>
      <diagonal/>
    </border>
    <border>
      <left style="thin">
        <color theme="9" tint="0.39970091860713525"/>
      </left>
      <right/>
      <top style="hair">
        <color theme="9" tint="0.3998840296639912"/>
      </top>
      <bottom style="thin">
        <color theme="9" tint="0.3999145481734672"/>
      </bottom>
      <diagonal/>
    </border>
    <border>
      <left/>
      <right style="thin">
        <color theme="9" tint="0.39970091860713525"/>
      </right>
      <top style="hair">
        <color theme="9" tint="0.3998840296639912"/>
      </top>
      <bottom style="thin">
        <color theme="9" tint="0.3999145481734672"/>
      </bottom>
      <diagonal/>
    </border>
    <border>
      <left style="thin">
        <color theme="9" tint="0.39970091860713525"/>
      </left>
      <right/>
      <top style="hair">
        <color theme="9" tint="0.39967040009765925"/>
      </top>
      <bottom style="thin">
        <color theme="9" tint="0.39967040009765925"/>
      </bottom>
      <diagonal/>
    </border>
    <border>
      <left/>
      <right/>
      <top style="hair">
        <color theme="9" tint="0.39967040009765925"/>
      </top>
      <bottom style="thin">
        <color theme="9" tint="0.39967040009765925"/>
      </bottom>
      <diagonal/>
    </border>
    <border>
      <left/>
      <right style="thin">
        <color theme="9" tint="0.3999145481734672"/>
      </right>
      <top style="hair">
        <color theme="9" tint="0.39967040009765925"/>
      </top>
      <bottom style="thin">
        <color theme="9" tint="0.39967040009765925"/>
      </bottom>
      <diagonal/>
    </border>
    <border>
      <left style="medium">
        <color theme="2" tint="-0.749961851863155"/>
      </left>
      <right/>
      <top/>
      <bottom/>
      <diagonal/>
    </border>
    <border>
      <left/>
      <right style="medium">
        <color theme="2" tint="-0.749961851863155"/>
      </right>
      <top/>
      <bottom/>
      <diagonal/>
    </border>
    <border>
      <left style="thick">
        <color theme="0" tint="-0.499984740745262"/>
      </left>
      <right style="thin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n">
        <color theme="0" tint="-0.499984740745262"/>
      </bottom>
      <diagonal/>
    </border>
    <border>
      <left style="thick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thin">
        <color theme="0" tint="-0.499984740745262"/>
      </left>
      <right style="thick">
        <color theme="0" tint="-0.499984740745262"/>
      </right>
      <top style="thin">
        <color theme="0" tint="-0.499984740745262"/>
      </top>
      <bottom style="thick">
        <color theme="0" tint="-0.499984740745262"/>
      </bottom>
      <diagonal/>
    </border>
    <border>
      <left style="medium">
        <color theme="2" tint="-0.749961851863155"/>
      </left>
      <right/>
      <top/>
      <bottom style="medium">
        <color theme="2" tint="-0.749961851863155"/>
      </bottom>
      <diagonal/>
    </border>
    <border>
      <left/>
      <right/>
      <top/>
      <bottom style="medium">
        <color theme="2" tint="-0.749961851863155"/>
      </bottom>
      <diagonal/>
    </border>
    <border>
      <left/>
      <right style="medium">
        <color theme="2" tint="-0.749961851863155"/>
      </right>
      <top/>
      <bottom style="medium">
        <color theme="2" tint="-0.749961851863155"/>
      </bottom>
      <diagonal/>
    </border>
    <border>
      <left/>
      <right/>
      <top style="medium">
        <color theme="2" tint="-0.749961851863155"/>
      </top>
      <bottom style="medium">
        <color theme="2" tint="-0.749961851863155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 style="thick">
        <color rgb="FFFF0000"/>
      </bottom>
      <diagonal/>
    </border>
    <border>
      <left style="thin">
        <color rgb="FFFF0000"/>
      </left>
      <right style="thin">
        <color rgb="FFFF0000"/>
      </right>
      <top/>
      <bottom style="thick">
        <color rgb="FFFF0000"/>
      </bottom>
      <diagonal/>
    </border>
    <border>
      <left/>
      <right style="thin">
        <color theme="2" tint="-0.499984740745262"/>
      </right>
      <top style="thick">
        <color rgb="FFFF0000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ck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thick">
        <color rgb="FFFF0000"/>
      </right>
      <top style="thick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theme="2" tint="-0.499984740745262"/>
      </right>
      <top/>
      <bottom style="thick">
        <color rgb="FFFF0000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ck">
        <color rgb="FFFF0000"/>
      </bottom>
      <diagonal/>
    </border>
    <border>
      <left style="thin">
        <color theme="2" tint="-0.499984740745262"/>
      </left>
      <right style="thick">
        <color rgb="FFFF0000"/>
      </right>
      <top style="thin">
        <color theme="2" tint="-0.499984740745262"/>
      </top>
      <bottom style="thick">
        <color rgb="FFFF0000"/>
      </bottom>
      <diagonal/>
    </border>
    <border>
      <left style="thin">
        <color theme="2" tint="-0.499984740745262"/>
      </left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theme="2" tint="-0.499984740745262"/>
      </left>
      <right/>
      <top style="thick">
        <color rgb="FFFF0000"/>
      </top>
      <bottom style="thin">
        <color theme="2" tint="-0.499984740745262"/>
      </bottom>
      <diagonal/>
    </border>
    <border>
      <left/>
      <right/>
      <top style="thick">
        <color rgb="FFFF0000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ck">
        <color rgb="FFFF0000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 style="hair">
        <color theme="2" tint="-0.499984740745262"/>
      </bottom>
      <diagonal/>
    </border>
    <border>
      <left/>
      <right/>
      <top style="thin">
        <color theme="2" tint="-0.499984740745262"/>
      </top>
      <bottom style="hair">
        <color theme="2" tint="-0.499984740745262"/>
      </bottom>
      <diagonal/>
    </border>
    <border>
      <left style="thin">
        <color theme="9" tint="0.3998840296639912"/>
      </left>
      <right style="thin">
        <color theme="9" tint="0.3998840296639912"/>
      </right>
      <top style="thin">
        <color theme="9" tint="0.3998840296639912"/>
      </top>
      <bottom style="thin">
        <color theme="9" tint="0.3998840296639912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n">
        <color theme="0"/>
      </right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medium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medium">
        <color theme="2" tint="-0.499984740745262"/>
      </top>
      <bottom/>
      <diagonal/>
    </border>
    <border>
      <left style="thin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/>
      <top style="hair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/>
      <right style="medium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/>
      <top style="hair">
        <color theme="2" tint="-0.499984740745262"/>
      </top>
      <bottom/>
      <diagonal/>
    </border>
    <border>
      <left/>
      <right/>
      <top style="hair">
        <color theme="2" tint="-0.499984740745262"/>
      </top>
      <bottom/>
      <diagonal/>
    </border>
    <border>
      <left/>
      <right style="thin">
        <color theme="2" tint="-0.499984740745262"/>
      </right>
      <top style="hair">
        <color theme="2" tint="-0.499984740745262"/>
      </top>
      <bottom/>
      <diagonal/>
    </border>
    <border>
      <left style="thin">
        <color theme="2" tint="-0.499984740745262"/>
      </left>
      <right/>
      <top style="hair">
        <color theme="2" tint="-0.499984740745262"/>
      </top>
      <bottom/>
      <diagonal/>
    </border>
    <border>
      <left/>
      <right style="medium">
        <color theme="2" tint="-0.499984740745262"/>
      </right>
      <top style="hair">
        <color theme="2" tint="-0.499984740745262"/>
      </top>
      <bottom/>
      <diagonal/>
    </border>
    <border>
      <left style="medium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medium">
        <color theme="2" tint="-0.499984740745262"/>
      </right>
      <top style="thin">
        <color theme="2" tint="-0.499984740745262"/>
      </top>
      <bottom/>
      <diagonal/>
    </border>
    <border>
      <left style="medium">
        <color theme="2" tint="-0.499984740745262"/>
      </left>
      <right/>
      <top style="hair">
        <color theme="2" tint="-0.499984740745262"/>
      </top>
      <bottom style="thin">
        <color theme="2" tint="-0.499984740745262"/>
      </bottom>
      <diagonal/>
    </border>
    <border>
      <left style="medium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 style="medium">
        <color theme="2" tint="-0.499984740745262"/>
      </right>
      <top/>
      <bottom/>
      <diagonal/>
    </border>
    <border>
      <left style="medium">
        <color theme="2" tint="-0.499984740745262"/>
      </left>
      <right/>
      <top style="hair">
        <color theme="2" tint="-0.499984740745262"/>
      </top>
      <bottom style="medium">
        <color theme="2" tint="-0.499984740745262"/>
      </bottom>
      <diagonal/>
    </border>
    <border>
      <left/>
      <right/>
      <top style="hair">
        <color theme="2" tint="-0.499984740745262"/>
      </top>
      <bottom style="medium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hair">
        <color theme="2" tint="-0.499984740745262"/>
      </top>
      <bottom style="medium">
        <color theme="2" tint="-0.499984740745262"/>
      </bottom>
      <diagonal/>
    </border>
    <border>
      <left style="thin">
        <color theme="2" tint="-0.499984740745262"/>
      </left>
      <right/>
      <top/>
      <bottom style="hair">
        <color theme="2" tint="-0.499984740745262"/>
      </bottom>
      <diagonal/>
    </border>
    <border>
      <left/>
      <right/>
      <top/>
      <bottom style="hair">
        <color theme="2" tint="-0.499984740745262"/>
      </bottom>
      <diagonal/>
    </border>
    <border>
      <left/>
      <right style="thin">
        <color theme="2" tint="-0.499984740745262"/>
      </right>
      <top/>
      <bottom style="hair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/>
      <top style="hair">
        <color theme="2" tint="-0.499984740745262"/>
      </top>
      <bottom style="hair">
        <color theme="2" tint="-0.499984740745262"/>
      </bottom>
      <diagonal/>
    </border>
    <border>
      <left/>
      <right/>
      <top style="hair">
        <color theme="2" tint="-0.499984740745262"/>
      </top>
      <bottom style="hair">
        <color theme="2" tint="-0.499984740745262"/>
      </bottom>
      <diagonal/>
    </border>
    <border>
      <left/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9" tint="-0.249946592608417"/>
      </left>
      <right/>
      <top style="thin">
        <color theme="9" tint="-0.249946592608417"/>
      </top>
      <bottom/>
      <diagonal/>
    </border>
    <border>
      <left/>
      <right/>
      <top style="thin">
        <color theme="9" tint="-0.249946592608417"/>
      </top>
      <bottom/>
      <diagonal/>
    </border>
    <border>
      <left/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9" tint="-0.249946592608417"/>
      </left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 style="thin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9" tint="-0.249946592608417"/>
      </left>
      <right/>
      <top/>
      <bottom style="thin">
        <color theme="9" tint="-0.249946592608417"/>
      </bottom>
      <diagonal/>
    </border>
    <border>
      <left/>
      <right/>
      <top/>
      <bottom style="thin">
        <color theme="9" tint="-0.249946592608417"/>
      </bottom>
      <diagonal/>
    </border>
    <border>
      <left/>
      <right style="thin">
        <color theme="9" tint="-0.249946592608417"/>
      </right>
      <top/>
      <bottom style="thin">
        <color theme="9" tint="-0.249946592608417"/>
      </bottom>
      <diagonal/>
    </border>
    <border>
      <left/>
      <right style="hair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thin">
        <color theme="9" tint="-0.249946592608417"/>
      </left>
      <right/>
      <top style="hair">
        <color theme="9" tint="-0.249946592608417"/>
      </top>
      <bottom style="thin">
        <color theme="9" tint="-0.249946592608417"/>
      </bottom>
      <diagonal/>
    </border>
    <border>
      <left/>
      <right/>
      <top style="hair">
        <color theme="9" tint="-0.249946592608417"/>
      </top>
      <bottom style="thin">
        <color theme="9" tint="-0.249946592608417"/>
      </bottom>
      <diagonal/>
    </border>
    <border>
      <left/>
      <right style="thin">
        <color theme="9" tint="-0.249946592608417"/>
      </right>
      <top style="hair">
        <color theme="9" tint="-0.249946592608417"/>
      </top>
      <bottom style="thin">
        <color theme="9" tint="-0.249946592608417"/>
      </bottom>
      <diagonal/>
    </border>
    <border>
      <left style="thin">
        <color theme="9" tint="-0.249946592608417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9" tint="-0.249946592608417"/>
      </right>
      <top/>
      <bottom style="thin">
        <color theme="9" tint="-0.249946592608417"/>
      </bottom>
      <diagonal/>
    </border>
    <border>
      <left style="hair">
        <color theme="9" tint="-0.249946592608417"/>
      </left>
      <right style="hair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hair">
        <color theme="9" tint="-0.249946592608417"/>
      </left>
      <right style="thin">
        <color theme="9" tint="-0.249946592608417"/>
      </right>
      <top style="thin">
        <color theme="9" tint="-0.249946592608417"/>
      </top>
      <bottom style="thin">
        <color theme="9" tint="-0.249946592608417"/>
      </bottom>
      <diagonal/>
    </border>
    <border>
      <left style="hair">
        <color theme="9" tint="-0.249946592608417"/>
      </left>
      <right style="hair">
        <color theme="9" tint="-0.249946592608417"/>
      </right>
      <top style="thin">
        <color theme="9" tint="-0.249946592608417"/>
      </top>
      <bottom/>
      <diagonal/>
    </border>
    <border>
      <left style="hair">
        <color theme="9" tint="-0.249946592608417"/>
      </left>
      <right style="thin">
        <color theme="9" tint="-0.249946592608417"/>
      </right>
      <top style="thin">
        <color theme="9" tint="-0.249946592608417"/>
      </top>
      <bottom/>
      <diagonal/>
    </border>
    <border>
      <left style="thin">
        <color theme="9" tint="-0.249946592608417"/>
      </left>
      <right style="thin">
        <color theme="9" tint="-0.249946592608417"/>
      </right>
      <top style="hair">
        <color theme="9" tint="-0.249946592608417"/>
      </top>
      <bottom style="hair">
        <color theme="9" tint="-0.249946592608417"/>
      </bottom>
      <diagonal/>
    </border>
    <border>
      <left style="thin">
        <color theme="9" tint="-0.249946592608417"/>
      </left>
      <right/>
      <top style="hair">
        <color theme="9" tint="-0.249946592608417"/>
      </top>
      <bottom style="hair">
        <color theme="9" tint="-0.249946592608417"/>
      </bottom>
      <diagonal/>
    </border>
    <border>
      <left style="hair">
        <color theme="9" tint="-0.249946592608417"/>
      </left>
      <right style="hair">
        <color theme="9" tint="-0.249946592608417"/>
      </right>
      <top style="hair">
        <color theme="9" tint="-0.249946592608417"/>
      </top>
      <bottom style="hair">
        <color theme="9" tint="-0.249946592608417"/>
      </bottom>
      <diagonal/>
    </border>
    <border>
      <left style="hair">
        <color theme="9" tint="-0.249946592608417"/>
      </left>
      <right style="thin">
        <color theme="9" tint="-0.249946592608417"/>
      </right>
      <top style="hair">
        <color theme="9" tint="-0.249946592608417"/>
      </top>
      <bottom style="hair">
        <color theme="9" tint="-0.249946592608417"/>
      </bottom>
      <diagonal/>
    </border>
    <border>
      <left style="thin">
        <color theme="9" tint="-0.249946592608417"/>
      </left>
      <right style="thin">
        <color theme="9" tint="-0.249946592608417"/>
      </right>
      <top style="hair">
        <color theme="9" tint="-0.249946592608417"/>
      </top>
      <bottom style="thin">
        <color theme="9" tint="-0.249946592608417"/>
      </bottom>
      <diagonal/>
    </border>
    <border>
      <left style="hair">
        <color theme="9" tint="-0.249946592608417"/>
      </left>
      <right style="hair">
        <color theme="9" tint="-0.249946592608417"/>
      </right>
      <top style="hair">
        <color theme="9" tint="-0.249946592608417"/>
      </top>
      <bottom style="thin">
        <color theme="9" tint="-0.249946592608417"/>
      </bottom>
      <diagonal/>
    </border>
    <border>
      <left style="hair">
        <color theme="9" tint="-0.249946592608417"/>
      </left>
      <right style="thin">
        <color theme="9" tint="-0.249946592608417"/>
      </right>
      <top style="hair">
        <color theme="9" tint="-0.249946592608417"/>
      </top>
      <bottom style="thin">
        <color theme="9" tint="-0.249946592608417"/>
      </bottom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hair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hair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hair">
        <color theme="2" tint="-0.499984740745262"/>
      </right>
      <top style="thin">
        <color theme="2" tint="-0.499984740745262"/>
      </top>
      <bottom/>
      <diagonal/>
    </border>
    <border>
      <left style="hair">
        <color theme="2" tint="-0.499984740745262"/>
      </left>
      <right style="thin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theme="2" tint="-0.499984740745262"/>
      </left>
      <right style="hair">
        <color theme="2" tint="-0.499984740745262"/>
      </right>
      <top style="hair">
        <color theme="2" tint="-0.499984740745262"/>
      </top>
      <bottom style="hair">
        <color theme="2" tint="-0.4999847407452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/>
      <right style="thin"/>
      <top style="thin"/>
      <bottom style="thin"/>
      <diagonal/>
    </border>
    <border>
      <left style="thin"/>
      <right style="hair"/>
      <top style="thin"/>
      <bottom style="thin"/>
      <diagonal/>
    </border>
    <border>
      <left style="hair"/>
      <right style="hair"/>
      <top style="thin"/>
      <bottom style="thin"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/>
      <top style="medium"/>
      <bottom style="thin"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/>
      <right/>
      <top style="thin"/>
      <bottom style="medium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33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 applyProtection="1">
      <alignment vertical="center"/>
      <protection hidden="1"/>
    </xf>
    <xf numFmtId="0" fontId="2" fillId="2" borderId="0" xfId="0" applyFont="1" applyFill="1" applyAlignment="1">
      <alignment vertical="center"/>
    </xf>
    <xf numFmtId="164" fontId="3" fillId="2" borderId="0" xfId="0" applyNumberFormat="1" applyFont="1" applyFill="1" applyAlignment="1">
      <alignment vertical="center"/>
    </xf>
    <xf numFmtId="164" fontId="1" fillId="2" borderId="0" xfId="0" applyNumberFormat="1" applyFont="1" applyFill="1" applyAlignment="1">
      <alignment vertical="center"/>
    </xf>
    <xf numFmtId="0" fontId="4" fillId="3" borderId="0" xfId="0" applyFont="1" applyFill="1" applyAlignment="1" applyProtection="1">
      <alignment horizontal="center" vertical="center"/>
      <protection hidden="1"/>
    </xf>
    <xf numFmtId="0" fontId="5" fillId="4" borderId="0" xfId="0" applyFont="1" applyFill="1" applyAlignment="1">
      <alignment horizontal="center" vertical="center"/>
    </xf>
    <xf numFmtId="0" fontId="1" fillId="2" borderId="1" xfId="0" applyFont="1" applyFill="1" applyBorder="1" applyAlignment="1" applyProtection="1">
      <alignment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8" fillId="2" borderId="0" xfId="0" applyFont="1" applyFill="1" applyAlignment="1" applyProtection="1">
      <alignment horizontal="center" vertical="center"/>
      <protection hidden="1"/>
    </xf>
    <xf numFmtId="0" fontId="9" fillId="2" borderId="0" xfId="0" applyFont="1" applyFill="1" applyAlignment="1" applyProtection="1">
      <alignment horizontal="center" vertical="center"/>
      <protection hidden="1"/>
    </xf>
    <xf numFmtId="165" fontId="10" fillId="5" borderId="0" xfId="0" applyNumberFormat="1" applyFont="1" applyFill="1" applyAlignment="1" applyProtection="1">
      <alignment horizontal="center" vertical="center" shrinkToFit="1"/>
      <protection locked="0"/>
    </xf>
    <xf numFmtId="165" fontId="11" fillId="2" borderId="0" xfId="0" applyNumberFormat="1" applyFont="1" applyFill="1" applyAlignment="1" applyProtection="1">
      <alignment horizontal="center" vertical="center" shrinkToFit="1"/>
      <protection hidden="1"/>
    </xf>
    <xf numFmtId="0" fontId="9" fillId="2" borderId="0" xfId="0" applyFont="1" applyFill="1" applyAlignment="1" applyProtection="1">
      <alignment horizontal="left" vertical="center"/>
      <protection hidden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vertical="center" indent="1"/>
    </xf>
    <xf numFmtId="0" fontId="2" fillId="2" borderId="6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left" vertical="center" indent="1"/>
    </xf>
    <xf numFmtId="164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4" fontId="12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3" fillId="2" borderId="0" xfId="0" applyFont="1" applyFill="1" applyAlignment="1" applyProtection="1">
      <alignment vertical="center"/>
      <protection hidden="1"/>
    </xf>
    <xf numFmtId="165" fontId="13" fillId="2" borderId="0" xfId="0" applyNumberFormat="1" applyFont="1" applyFill="1" applyAlignment="1" applyProtection="1">
      <alignment horizontal="center" vertical="center" shrinkToFit="1"/>
      <protection locked="0"/>
    </xf>
    <xf numFmtId="0" fontId="5" fillId="2" borderId="9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2" fillId="2" borderId="10" xfId="0" applyFont="1" applyFill="1" applyBorder="1" applyAlignment="1">
      <alignment horizontal="left" vertical="center" indent="1"/>
    </xf>
    <xf numFmtId="0" fontId="2" fillId="2" borderId="11" xfId="0" applyFont="1" applyFill="1" applyBorder="1" applyAlignment="1">
      <alignment horizontal="left" vertical="center" indent="1"/>
    </xf>
    <xf numFmtId="0" fontId="2" fillId="2" borderId="12" xfId="0" applyFont="1" applyFill="1" applyBorder="1" applyAlignment="1">
      <alignment horizontal="left" vertical="center" indent="1"/>
    </xf>
    <xf numFmtId="164" fontId="2" fillId="2" borderId="13" xfId="0" applyNumberFormat="1" applyFont="1" applyFill="1" applyBorder="1" applyAlignment="1">
      <alignment vertical="center"/>
    </xf>
    <xf numFmtId="164" fontId="2" fillId="2" borderId="11" xfId="0" applyNumberFormat="1" applyFont="1" applyFill="1" applyBorder="1" applyAlignment="1">
      <alignment vertical="center"/>
    </xf>
    <xf numFmtId="164" fontId="2" fillId="2" borderId="14" xfId="0" applyNumberFormat="1" applyFont="1" applyFill="1" applyBorder="1" applyAlignment="1">
      <alignment vertical="center"/>
    </xf>
    <xf numFmtId="0" fontId="1" fillId="6" borderId="15" xfId="0" applyFont="1" applyFill="1" applyBorder="1" applyAlignment="1" applyProtection="1">
      <alignment vertical="center"/>
      <protection hidden="1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16" xfId="0" applyFont="1" applyFill="1" applyBorder="1" applyAlignment="1" applyProtection="1">
      <alignment vertical="center"/>
      <protection hidden="1"/>
    </xf>
    <xf numFmtId="0" fontId="1" fillId="6" borderId="17" xfId="0" applyFont="1" applyFill="1" applyBorder="1" applyAlignment="1" applyProtection="1">
      <alignment vertical="center"/>
      <protection hidden="1"/>
    </xf>
    <xf numFmtId="0" fontId="1" fillId="6" borderId="18" xfId="0" applyFont="1" applyFill="1" applyBorder="1" applyAlignment="1" applyProtection="1">
      <alignment vertical="center"/>
      <protection hidden="1"/>
    </xf>
    <xf numFmtId="0" fontId="2" fillId="2" borderId="19" xfId="0" applyFont="1" applyFill="1" applyBorder="1" applyAlignment="1">
      <alignment horizontal="left" vertical="center" indent="1"/>
    </xf>
    <xf numFmtId="0" fontId="2" fillId="2" borderId="20" xfId="0" applyFont="1" applyFill="1" applyBorder="1" applyAlignment="1">
      <alignment horizontal="left" vertical="center" indent="1"/>
    </xf>
    <xf numFmtId="0" fontId="2" fillId="2" borderId="21" xfId="0" applyFont="1" applyFill="1" applyBorder="1" applyAlignment="1">
      <alignment horizontal="left" vertical="center" inden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22" xfId="0" applyNumberFormat="1" applyFont="1" applyFill="1" applyBorder="1" applyAlignment="1">
      <alignment horizontal="center" vertical="center"/>
    </xf>
    <xf numFmtId="0" fontId="5" fillId="7" borderId="23" xfId="0" applyFont="1" applyFill="1" applyBorder="1" applyAlignment="1" applyProtection="1">
      <alignment horizontal="center" vertical="center"/>
      <protection hidden="1"/>
    </xf>
    <xf numFmtId="0" fontId="14" fillId="2" borderId="23" xfId="0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>
      <alignment horizontal="left" vertical="center" indent="1"/>
    </xf>
    <xf numFmtId="0" fontId="1" fillId="2" borderId="24" xfId="0" applyFont="1" applyFill="1" applyBorder="1" applyAlignment="1">
      <alignment horizontal="left" vertical="center" indent="1"/>
    </xf>
    <xf numFmtId="164" fontId="1" fillId="2" borderId="25" xfId="0" applyNumberFormat="1" applyFont="1" applyFill="1" applyBorder="1" applyAlignment="1" applyProtection="1">
      <alignment horizontal="center" vertical="center"/>
      <protection locked="0"/>
    </xf>
    <xf numFmtId="0" fontId="1" fillId="2" borderId="26" xfId="0" applyFont="1" applyFill="1" applyBorder="1" applyAlignment="1" applyProtection="1">
      <alignment horizontal="center" vertical="center"/>
      <protection locked="0"/>
    </xf>
    <xf numFmtId="0" fontId="1" fillId="2" borderId="27" xfId="0" applyFont="1" applyFill="1" applyBorder="1" applyAlignment="1" applyProtection="1">
      <alignment horizontal="center" vertical="center"/>
      <protection locked="0"/>
    </xf>
    <xf numFmtId="0" fontId="1" fillId="6" borderId="28" xfId="0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vertical="center"/>
      <protection hidden="1"/>
    </xf>
    <xf numFmtId="0" fontId="1" fillId="6" borderId="29" xfId="0" applyFont="1" applyFill="1" applyBorder="1" applyAlignment="1" applyProtection="1">
      <alignment vertical="center"/>
      <protection hidden="1"/>
    </xf>
    <xf numFmtId="0" fontId="1" fillId="6" borderId="30" xfId="0" applyFont="1" applyFill="1" applyBorder="1" applyAlignment="1" applyProtection="1">
      <alignment vertical="center"/>
      <protection hidden="1"/>
    </xf>
    <xf numFmtId="0" fontId="5" fillId="6" borderId="31" xfId="0" applyFont="1" applyFill="1" applyBorder="1" applyAlignment="1" applyProtection="1">
      <alignment horizontal="center" vertical="center"/>
      <protection hidden="1"/>
    </xf>
    <xf numFmtId="0" fontId="5" fillId="6" borderId="32" xfId="0" applyFont="1" applyFill="1" applyBorder="1" applyAlignment="1" applyProtection="1">
      <alignment horizontal="center" vertical="center"/>
      <protection hidden="1"/>
    </xf>
    <xf numFmtId="0" fontId="5" fillId="6" borderId="33" xfId="0" applyFont="1" applyFill="1" applyBorder="1" applyAlignment="1" applyProtection="1">
      <alignment horizontal="center" vertical="center"/>
      <protection hidden="1"/>
    </xf>
    <xf numFmtId="0" fontId="5" fillId="8" borderId="31" xfId="0" applyFont="1" applyFill="1" applyBorder="1" applyAlignment="1" applyProtection="1">
      <alignment horizontal="center" vertical="center"/>
      <protection locked="0"/>
    </xf>
    <xf numFmtId="0" fontId="5" fillId="8" borderId="32" xfId="0" applyFont="1" applyFill="1" applyBorder="1" applyAlignment="1" applyProtection="1">
      <alignment horizontal="center" vertical="center"/>
      <protection locked="0"/>
    </xf>
    <xf numFmtId="0" fontId="5" fillId="8" borderId="33" xfId="0" applyFont="1" applyFill="1" applyBorder="1" applyAlignment="1" applyProtection="1">
      <alignment horizontal="center" vertical="center"/>
      <protection locked="0"/>
    </xf>
    <xf numFmtId="0" fontId="5" fillId="6" borderId="29" xfId="0" applyFont="1" applyFill="1" applyBorder="1" applyAlignment="1" applyProtection="1">
      <alignment horizontal="center" vertical="center"/>
      <protection hidden="1"/>
    </xf>
    <xf numFmtId="0" fontId="1" fillId="6" borderId="34" xfId="0" applyFont="1" applyFill="1" applyBorder="1" applyAlignment="1" applyProtection="1">
      <alignment horizontal="center" vertical="center"/>
      <protection hidden="1"/>
    </xf>
    <xf numFmtId="0" fontId="2" fillId="2" borderId="35" xfId="0" applyFont="1" applyFill="1" applyBorder="1" applyAlignment="1">
      <alignment horizontal="left" vertical="center" indent="1"/>
    </xf>
    <xf numFmtId="165" fontId="2" fillId="2" borderId="21" xfId="0" applyNumberFormat="1" applyFont="1" applyFill="1" applyBorder="1" applyAlignment="1">
      <alignment horizontal="center" vertical="center"/>
    </xf>
    <xf numFmtId="165" fontId="2" fillId="2" borderId="35" xfId="0" applyNumberFormat="1" applyFont="1" applyFill="1" applyBorder="1" applyAlignment="1">
      <alignment horizontal="center" vertical="center"/>
    </xf>
    <xf numFmtId="164" fontId="2" fillId="2" borderId="35" xfId="0" applyNumberFormat="1" applyFont="1" applyFill="1" applyBorder="1" applyAlignment="1">
      <alignment horizontal="center" vertical="center" shrinkToFit="1"/>
    </xf>
    <xf numFmtId="164" fontId="2" fillId="2" borderId="36" xfId="0" applyNumberFormat="1" applyFont="1" applyFill="1" applyBorder="1" applyAlignment="1">
      <alignment horizontal="center" vertical="center" shrinkToFit="1"/>
    </xf>
    <xf numFmtId="166" fontId="2" fillId="2" borderId="21" xfId="0" applyNumberFormat="1" applyFont="1" applyFill="1" applyBorder="1" applyAlignment="1">
      <alignment horizontal="center" vertical="center"/>
    </xf>
    <xf numFmtId="166" fontId="2" fillId="2" borderId="35" xfId="0" applyNumberFormat="1" applyFont="1" applyFill="1" applyBorder="1" applyAlignment="1">
      <alignment horizontal="center" vertical="center"/>
    </xf>
    <xf numFmtId="167" fontId="1" fillId="2" borderId="25" xfId="0" applyNumberFormat="1" applyFont="1" applyFill="1" applyBorder="1" applyAlignment="1" applyProtection="1">
      <alignment horizontal="center" vertical="center"/>
      <protection locked="0"/>
    </xf>
    <xf numFmtId="167" fontId="1" fillId="2" borderId="26" xfId="0" applyNumberFormat="1" applyFont="1" applyFill="1" applyBorder="1" applyAlignment="1" applyProtection="1">
      <alignment horizontal="center" vertical="center"/>
      <protection locked="0"/>
    </xf>
    <xf numFmtId="167" fontId="1" fillId="2" borderId="27" xfId="0" applyNumberFormat="1" applyFont="1" applyFill="1" applyBorder="1" applyAlignment="1" applyProtection="1">
      <alignment horizontal="center" vertical="center"/>
      <protection locked="0"/>
    </xf>
    <xf numFmtId="0" fontId="2" fillId="2" borderId="37" xfId="0" applyFont="1" applyFill="1" applyBorder="1" applyAlignment="1" applyProtection="1">
      <alignment horizontal="left" vertical="center"/>
      <protection hidden="1"/>
    </xf>
    <xf numFmtId="0" fontId="2" fillId="2" borderId="38" xfId="0" applyFont="1" applyFill="1" applyBorder="1" applyAlignment="1" applyProtection="1">
      <alignment horizontal="left" vertical="center"/>
      <protection hidden="1"/>
    </xf>
    <xf numFmtId="0" fontId="2" fillId="2" borderId="39" xfId="0" applyFont="1" applyFill="1" applyBorder="1" applyAlignment="1" applyProtection="1">
      <alignment horizontal="left" vertical="center"/>
      <protection hidden="1"/>
    </xf>
    <xf numFmtId="0" fontId="5" fillId="8" borderId="37" xfId="0" applyFont="1" applyFill="1" applyBorder="1" applyAlignment="1" applyProtection="1">
      <alignment horizontal="center" vertical="center"/>
      <protection locked="0"/>
    </xf>
    <xf numFmtId="0" fontId="5" fillId="8" borderId="38" xfId="0" applyFont="1" applyFill="1" applyBorder="1" applyAlignment="1" applyProtection="1">
      <alignment horizontal="center" vertical="center"/>
      <protection locked="0"/>
    </xf>
    <xf numFmtId="0" fontId="5" fillId="8" borderId="39" xfId="0" applyFont="1" applyFill="1" applyBorder="1" applyAlignment="1" applyProtection="1">
      <alignment horizontal="center" vertical="center"/>
      <protection locked="0"/>
    </xf>
    <xf numFmtId="0" fontId="2" fillId="2" borderId="31" xfId="0" applyFont="1" applyFill="1" applyBorder="1" applyAlignment="1" applyProtection="1">
      <alignment horizontal="left" vertical="center"/>
      <protection hidden="1"/>
    </xf>
    <xf numFmtId="0" fontId="2" fillId="2" borderId="32" xfId="0" applyFont="1" applyFill="1" applyBorder="1" applyAlignment="1" applyProtection="1">
      <alignment horizontal="left" vertical="center"/>
      <protection hidden="1"/>
    </xf>
    <xf numFmtId="0" fontId="2" fillId="2" borderId="33" xfId="0" applyFont="1" applyFill="1" applyBorder="1" applyAlignment="1" applyProtection="1">
      <alignment horizontal="left" vertical="center"/>
      <protection hidden="1"/>
    </xf>
    <xf numFmtId="0" fontId="1" fillId="6" borderId="30" xfId="0" applyFont="1" applyFill="1" applyBorder="1" applyAlignment="1" applyProtection="1">
      <alignment vertical="center" shrinkToFit="1"/>
      <protection hidden="1"/>
    </xf>
    <xf numFmtId="0" fontId="2" fillId="2" borderId="19" xfId="0" applyFont="1" applyFill="1" applyBorder="1" applyAlignment="1">
      <alignment horizontal="left" vertical="center" shrinkToFit="1" indent="1"/>
    </xf>
    <xf numFmtId="0" fontId="2" fillId="2" borderId="20" xfId="0" applyFont="1" applyFill="1" applyBorder="1" applyAlignment="1">
      <alignment horizontal="left" vertical="center" shrinkToFit="1" indent="1"/>
    </xf>
    <xf numFmtId="0" fontId="2" fillId="2" borderId="21" xfId="0" applyFont="1" applyFill="1" applyBorder="1" applyAlignment="1">
      <alignment horizontal="left" vertical="center" shrinkToFit="1" indent="1"/>
    </xf>
    <xf numFmtId="165" fontId="2" fillId="2" borderId="40" xfId="0" applyNumberFormat="1" applyFont="1" applyFill="1" applyBorder="1" applyAlignment="1">
      <alignment horizontal="center" vertical="center"/>
    </xf>
    <xf numFmtId="165" fontId="2" fillId="2" borderId="41" xfId="0" applyNumberFormat="1" applyFont="1" applyFill="1" applyBorder="1" applyAlignment="1">
      <alignment horizontal="center" vertical="center"/>
    </xf>
    <xf numFmtId="164" fontId="2" fillId="2" borderId="41" xfId="0" applyNumberFormat="1" applyFont="1" applyFill="1" applyBorder="1" applyAlignment="1">
      <alignment horizontal="center" vertical="center" shrinkToFit="1"/>
    </xf>
    <xf numFmtId="164" fontId="2" fillId="2" borderId="42" xfId="0" applyNumberFormat="1" applyFont="1" applyFill="1" applyBorder="1" applyAlignment="1">
      <alignment horizontal="center" vertical="center" shrinkToFit="1"/>
    </xf>
    <xf numFmtId="166" fontId="2" fillId="2" borderId="40" xfId="0" applyNumberFormat="1" applyFont="1" applyFill="1" applyBorder="1" applyAlignment="1">
      <alignment horizontal="center" vertical="center"/>
    </xf>
    <xf numFmtId="166" fontId="2" fillId="2" borderId="41" xfId="0" applyNumberFormat="1" applyFont="1" applyFill="1" applyBorder="1" applyAlignment="1">
      <alignment horizontal="center" vertical="center"/>
    </xf>
    <xf numFmtId="0" fontId="5" fillId="8" borderId="31" xfId="0" applyFont="1" applyFill="1" applyBorder="1" applyAlignment="1" applyProtection="1">
      <alignment horizontal="center" vertical="center" shrinkToFit="1"/>
      <protection locked="0"/>
    </xf>
    <xf numFmtId="0" fontId="5" fillId="8" borderId="32" xfId="0" applyFont="1" applyFill="1" applyBorder="1" applyAlignment="1" applyProtection="1">
      <alignment horizontal="center" vertical="center" shrinkToFit="1"/>
      <protection locked="0"/>
    </xf>
    <xf numFmtId="0" fontId="5" fillId="8" borderId="33" xfId="0" applyFont="1" applyFill="1" applyBorder="1" applyAlignment="1" applyProtection="1">
      <alignment horizontal="center" vertical="center" shrinkToFit="1"/>
      <protection locked="0"/>
    </xf>
    <xf numFmtId="0" fontId="5" fillId="6" borderId="29" xfId="0" applyFont="1" applyFill="1" applyBorder="1" applyAlignment="1" applyProtection="1">
      <alignment horizontal="center" vertical="center" shrinkToFit="1"/>
      <protection hidden="1"/>
    </xf>
    <xf numFmtId="0" fontId="1" fillId="6" borderId="34" xfId="0" applyFont="1" applyFill="1" applyBorder="1" applyAlignment="1" applyProtection="1">
      <alignment horizontal="center" vertical="center" shrinkToFit="1"/>
      <protection hidden="1"/>
    </xf>
    <xf numFmtId="0" fontId="15" fillId="2" borderId="20" xfId="0" applyFont="1" applyFill="1" applyBorder="1" applyAlignment="1">
      <alignment horizontal="center" vertical="center" shrinkToFit="1"/>
    </xf>
    <xf numFmtId="0" fontId="15" fillId="2" borderId="21" xfId="0" applyFont="1" applyFill="1" applyBorder="1" applyAlignment="1">
      <alignment horizontal="center" vertical="center" shrinkToFit="1"/>
    </xf>
    <xf numFmtId="164" fontId="15" fillId="2" borderId="19" xfId="0" applyNumberFormat="1" applyFont="1" applyFill="1" applyBorder="1" applyAlignment="1">
      <alignment horizontal="center" vertical="center"/>
    </xf>
    <xf numFmtId="164" fontId="15" fillId="2" borderId="20" xfId="0" applyNumberFormat="1" applyFont="1" applyFill="1" applyBorder="1" applyAlignment="1">
      <alignment horizontal="center" vertical="center"/>
    </xf>
    <xf numFmtId="164" fontId="15" fillId="2" borderId="22" xfId="0" applyNumberFormat="1" applyFont="1" applyFill="1" applyBorder="1" applyAlignment="1">
      <alignment horizontal="center" vertical="center"/>
    </xf>
    <xf numFmtId="0" fontId="1" fillId="6" borderId="30" xfId="0" applyFont="1" applyFill="1" applyBorder="1" applyAlignment="1" applyProtection="1">
      <alignment horizontal="left" vertical="center"/>
      <protection hidden="1"/>
    </xf>
    <xf numFmtId="0" fontId="1" fillId="6" borderId="30" xfId="0" applyFont="1" applyFill="1" applyBorder="1" applyAlignment="1" applyProtection="1">
      <alignment horizontal="center" vertical="center"/>
      <protection hidden="1"/>
    </xf>
    <xf numFmtId="0" fontId="2" fillId="2" borderId="43" xfId="0" applyFont="1" applyFill="1" applyBorder="1" applyAlignment="1">
      <alignment horizontal="left" vertical="center" indent="1"/>
    </xf>
    <xf numFmtId="0" fontId="2" fillId="2" borderId="44" xfId="0" applyFont="1" applyFill="1" applyBorder="1" applyAlignment="1">
      <alignment horizontal="left" vertical="center" indent="1"/>
    </xf>
    <xf numFmtId="164" fontId="2" fillId="2" borderId="44" xfId="0" applyNumberFormat="1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6" fillId="2" borderId="0" xfId="0" applyFont="1" applyFill="1" applyAlignment="1" applyProtection="1">
      <alignment vertical="top"/>
      <protection hidden="1"/>
    </xf>
    <xf numFmtId="0" fontId="1" fillId="2" borderId="0" xfId="0" applyFont="1" applyFill="1" applyAlignment="1" applyProtection="1">
      <alignment horizontal="right" vertical="center"/>
      <protection hidden="1"/>
    </xf>
    <xf numFmtId="0" fontId="5" fillId="2" borderId="46" xfId="0" applyFont="1" applyFill="1" applyBorder="1" applyAlignment="1">
      <alignment horizontal="center" vertical="center"/>
    </xf>
    <xf numFmtId="0" fontId="5" fillId="2" borderId="47" xfId="0" applyFont="1" applyFill="1" applyBorder="1" applyAlignment="1">
      <alignment horizontal="center" vertical="center"/>
    </xf>
    <xf numFmtId="0" fontId="2" fillId="2" borderId="4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/>
    </xf>
    <xf numFmtId="164" fontId="2" fillId="2" borderId="48" xfId="0" applyNumberFormat="1" applyFont="1" applyFill="1" applyBorder="1" applyAlignment="1">
      <alignment horizontal="right" vertical="center"/>
    </xf>
    <xf numFmtId="164" fontId="2" fillId="2" borderId="49" xfId="0" applyNumberFormat="1" applyFont="1" applyFill="1" applyBorder="1" applyAlignment="1">
      <alignment horizontal="right" vertical="center"/>
    </xf>
    <xf numFmtId="164" fontId="2" fillId="2" borderId="50" xfId="0" applyNumberFormat="1" applyFont="1" applyFill="1" applyBorder="1" applyAlignment="1">
      <alignment horizontal="right" vertical="center"/>
    </xf>
    <xf numFmtId="0" fontId="5" fillId="7" borderId="51" xfId="0" applyFont="1" applyFill="1" applyBorder="1" applyAlignment="1" applyProtection="1">
      <alignment horizontal="center" vertical="center"/>
      <protection hidden="1"/>
    </xf>
    <xf numFmtId="0" fontId="5" fillId="7" borderId="52" xfId="0" applyFont="1" applyFill="1" applyBorder="1" applyAlignment="1" applyProtection="1">
      <alignment horizontal="center" vertical="center"/>
      <protection hidden="1"/>
    </xf>
    <xf numFmtId="0" fontId="14" fillId="7" borderId="53" xfId="0" applyFont="1" applyFill="1" applyBorder="1" applyAlignment="1" applyProtection="1">
      <alignment horizontal="center" vertical="center"/>
      <protection hidden="1"/>
    </xf>
    <xf numFmtId="0" fontId="14" fillId="7" borderId="54" xfId="0" applyFont="1" applyFill="1" applyBorder="1" applyAlignment="1" applyProtection="1">
      <alignment horizontal="center" vertical="center"/>
      <protection hidden="1"/>
    </xf>
    <xf numFmtId="0" fontId="14" fillId="7" borderId="55" xfId="0" applyFont="1" applyFill="1" applyBorder="1" applyAlignment="1" applyProtection="1">
      <alignment horizontal="center" vertical="center"/>
      <protection hidden="1"/>
    </xf>
    <xf numFmtId="0" fontId="2" fillId="2" borderId="31" xfId="0" applyFont="1" applyFill="1" applyBorder="1" applyAlignment="1" applyProtection="1">
      <alignment horizontal="center" vertical="center"/>
      <protection hidden="1"/>
    </xf>
    <xf numFmtId="0" fontId="2" fillId="2" borderId="33" xfId="0" applyFont="1" applyFill="1" applyBorder="1" applyAlignment="1" applyProtection="1">
      <alignment horizontal="center" vertical="center"/>
      <protection hidden="1"/>
    </xf>
    <xf numFmtId="0" fontId="17" fillId="2" borderId="56" xfId="0" applyFont="1" applyFill="1" applyBorder="1" applyAlignment="1">
      <alignment horizontal="center" vertical="center"/>
    </xf>
    <xf numFmtId="164" fontId="17" fillId="2" borderId="56" xfId="0" applyNumberFormat="1" applyFont="1" applyFill="1" applyBorder="1" applyAlignment="1">
      <alignment horizontal="center" vertical="center"/>
    </xf>
    <xf numFmtId="0" fontId="14" fillId="2" borderId="57" xfId="0" applyFont="1" applyFill="1" applyBorder="1" applyAlignment="1" applyProtection="1">
      <alignment horizontal="left" vertical="center" shrinkToFit="1" indent="1"/>
      <protection hidden="1"/>
    </xf>
    <xf numFmtId="0" fontId="14" fillId="2" borderId="58" xfId="0" applyFont="1" applyFill="1" applyBorder="1" applyAlignment="1" applyProtection="1">
      <alignment horizontal="left" vertical="center" shrinkToFit="1" indent="1"/>
      <protection hidden="1"/>
    </xf>
    <xf numFmtId="164" fontId="18" fillId="2" borderId="58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58" xfId="0" applyFont="1" applyFill="1" applyBorder="1" applyAlignment="1" applyProtection="1">
      <alignment horizontal="center" vertical="center" shrinkToFit="1"/>
      <protection hidden="1"/>
    </xf>
    <xf numFmtId="168" fontId="18" fillId="2" borderId="58" xfId="0" applyNumberFormat="1" applyFont="1" applyFill="1" applyBorder="1" applyAlignment="1" applyProtection="1">
      <alignment horizontal="center" vertical="center" shrinkToFit="1"/>
      <protection hidden="1"/>
    </xf>
    <xf numFmtId="0" fontId="14" fillId="2" borderId="59" xfId="0" applyFont="1" applyFill="1" applyBorder="1" applyAlignment="1" applyProtection="1">
      <alignment horizontal="center" vertical="center" shrinkToFit="1"/>
      <protection hidden="1"/>
    </xf>
    <xf numFmtId="0" fontId="14" fillId="2" borderId="60" xfId="0" applyFont="1" applyFill="1" applyBorder="1" applyAlignment="1" applyProtection="1">
      <alignment horizontal="center" vertical="center" shrinkToFit="1"/>
      <protection hidden="1"/>
    </xf>
    <xf numFmtId="0" fontId="14" fillId="2" borderId="61" xfId="0" applyFont="1" applyFill="1" applyBorder="1" applyAlignment="1" applyProtection="1">
      <alignment horizontal="center" vertical="center" shrinkToFit="1"/>
      <protection hidden="1"/>
    </xf>
    <xf numFmtId="169" fontId="2" fillId="2" borderId="58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23" xfId="0" applyNumberFormat="1" applyFont="1" applyFill="1" applyBorder="1" applyAlignment="1" applyProtection="1">
      <alignment horizontal="center" vertical="center"/>
      <protection hidden="1"/>
    </xf>
    <xf numFmtId="164" fontId="5" fillId="2" borderId="24" xfId="0" applyNumberFormat="1" applyFont="1" applyFill="1" applyBorder="1" applyAlignment="1" applyProtection="1">
      <alignment horizontal="center" vertical="center"/>
      <protection hidden="1"/>
    </xf>
    <xf numFmtId="164" fontId="19" fillId="6" borderId="62" xfId="0" applyNumberFormat="1" applyFont="1" applyFill="1" applyBorder="1" applyAlignment="1" applyProtection="1">
      <alignment horizontal="center" vertical="center"/>
      <protection hidden="1"/>
    </xf>
    <xf numFmtId="164" fontId="19" fillId="6" borderId="63" xfId="0" applyNumberFormat="1" applyFont="1" applyFill="1" applyBorder="1" applyAlignment="1" applyProtection="1">
      <alignment horizontal="center" vertical="center"/>
      <protection hidden="1"/>
    </xf>
    <xf numFmtId="164" fontId="19" fillId="6" borderId="64" xfId="0" applyNumberFormat="1" applyFont="1" applyFill="1" applyBorder="1" applyAlignment="1" applyProtection="1">
      <alignment horizontal="center" vertical="center"/>
      <protection hidden="1"/>
    </xf>
    <xf numFmtId="0" fontId="2" fillId="2" borderId="65" xfId="0" applyFont="1" applyFill="1" applyBorder="1" applyAlignment="1">
      <alignment horizontal="right" vertical="center"/>
    </xf>
    <xf numFmtId="164" fontId="2" fillId="2" borderId="65" xfId="0" applyNumberFormat="1" applyFont="1" applyFill="1" applyBorder="1" applyAlignment="1">
      <alignment vertical="center"/>
    </xf>
    <xf numFmtId="164" fontId="2" fillId="2" borderId="66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67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68" xfId="0" applyNumberFormat="1" applyFont="1" applyFill="1" applyBorder="1" applyAlignment="1" applyProtection="1">
      <alignment horizontal="center" vertical="center" shrinkToFit="1"/>
      <protection hidden="1"/>
    </xf>
    <xf numFmtId="170" fontId="2" fillId="2" borderId="69" xfId="0" applyNumberFormat="1" applyFont="1" applyFill="1" applyBorder="1" applyAlignment="1" applyProtection="1">
      <alignment horizontal="center" vertical="center" shrinkToFit="1"/>
      <protection hidden="1"/>
    </xf>
    <xf numFmtId="170" fontId="2" fillId="2" borderId="67" xfId="0" applyNumberFormat="1" applyFont="1" applyFill="1" applyBorder="1" applyAlignment="1" applyProtection="1">
      <alignment horizontal="center" vertical="center" shrinkToFit="1"/>
      <protection hidden="1"/>
    </xf>
    <xf numFmtId="171" fontId="2" fillId="2" borderId="67" xfId="0" applyNumberFormat="1" applyFont="1" applyFill="1" applyBorder="1" applyAlignment="1" applyProtection="1">
      <alignment horizontal="center" vertical="center" shrinkToFit="1"/>
      <protection hidden="1"/>
    </xf>
    <xf numFmtId="172" fontId="2" fillId="2" borderId="67" xfId="0" applyNumberFormat="1" applyFont="1" applyFill="1" applyBorder="1" applyAlignment="1" applyProtection="1">
      <alignment horizontal="center" vertical="center"/>
      <protection hidden="1"/>
    </xf>
    <xf numFmtId="0" fontId="14" fillId="2" borderId="68" xfId="0" applyFont="1" applyFill="1" applyBorder="1" applyAlignment="1" applyProtection="1">
      <alignment horizontal="center" vertical="center" shrinkToFit="1"/>
      <protection hidden="1"/>
    </xf>
    <xf numFmtId="0" fontId="14" fillId="2" borderId="70" xfId="0" applyFont="1" applyFill="1" applyBorder="1" applyAlignment="1" applyProtection="1">
      <alignment horizontal="center" vertical="center" shrinkToFit="1"/>
      <protection hidden="1"/>
    </xf>
    <xf numFmtId="0" fontId="14" fillId="2" borderId="69" xfId="0" applyFont="1" applyFill="1" applyBorder="1" applyAlignment="1" applyProtection="1">
      <alignment horizontal="center" vertical="center" shrinkToFit="1"/>
      <protection hidden="1"/>
    </xf>
    <xf numFmtId="173" fontId="2" fillId="2" borderId="67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71" xfId="0" applyNumberFormat="1" applyFont="1" applyFill="1" applyBorder="1" applyAlignment="1" applyProtection="1">
      <alignment horizontal="center" vertical="center"/>
      <protection hidden="1"/>
    </xf>
    <xf numFmtId="164" fontId="5" fillId="2" borderId="72" xfId="0" applyNumberFormat="1" applyFont="1" applyFill="1" applyBorder="1" applyAlignment="1" applyProtection="1">
      <alignment horizontal="center" vertical="center"/>
      <protection hidden="1"/>
    </xf>
    <xf numFmtId="164" fontId="19" fillId="6" borderId="73" xfId="0" applyNumberFormat="1" applyFont="1" applyFill="1" applyBorder="1" applyAlignment="1" applyProtection="1">
      <alignment horizontal="center" vertical="center"/>
      <protection hidden="1"/>
    </xf>
    <xf numFmtId="164" fontId="19" fillId="6" borderId="74" xfId="0" applyNumberFormat="1" applyFont="1" applyFill="1" applyBorder="1" applyAlignment="1" applyProtection="1">
      <alignment horizontal="center" vertical="center"/>
      <protection hidden="1"/>
    </xf>
    <xf numFmtId="164" fontId="19" fillId="6" borderId="75" xfId="0" applyNumberFormat="1" applyFont="1" applyFill="1" applyBorder="1" applyAlignment="1" applyProtection="1">
      <alignment horizontal="center" vertical="center"/>
      <protection hidden="1"/>
    </xf>
    <xf numFmtId="0" fontId="1" fillId="2" borderId="31" xfId="0" applyFont="1" applyFill="1" applyBorder="1" applyAlignment="1" applyProtection="1">
      <alignment vertical="center"/>
      <protection hidden="1"/>
    </xf>
    <xf numFmtId="0" fontId="1" fillId="2" borderId="32" xfId="0" applyFont="1" applyFill="1" applyBorder="1" applyAlignment="1" applyProtection="1">
      <alignment vertical="center"/>
      <protection hidden="1"/>
    </xf>
    <xf numFmtId="0" fontId="1" fillId="2" borderId="33" xfId="0" applyFont="1" applyFill="1" applyBorder="1" applyAlignment="1" applyProtection="1">
      <alignment vertical="center"/>
      <protection hidden="1"/>
    </xf>
    <xf numFmtId="164" fontId="5" fillId="8" borderId="31" xfId="0" applyNumberFormat="1" applyFont="1" applyFill="1" applyBorder="1" applyAlignment="1" applyProtection="1">
      <alignment horizontal="center" vertical="center"/>
      <protection locked="0"/>
    </xf>
    <xf numFmtId="164" fontId="5" fillId="8" borderId="32" xfId="0" applyNumberFormat="1" applyFont="1" applyFill="1" applyBorder="1" applyAlignment="1" applyProtection="1">
      <alignment horizontal="center" vertical="center"/>
      <protection locked="0"/>
    </xf>
    <xf numFmtId="164" fontId="5" fillId="8" borderId="33" xfId="0" applyNumberFormat="1" applyFont="1" applyFill="1" applyBorder="1" applyAlignment="1" applyProtection="1">
      <alignment horizontal="center" vertical="center"/>
      <protection locked="0"/>
    </xf>
    <xf numFmtId="0" fontId="2" fillId="2" borderId="76" xfId="0" applyFont="1" applyFill="1" applyBorder="1" applyAlignment="1">
      <alignment horizontal="right" vertical="center"/>
    </xf>
    <xf numFmtId="164" fontId="2" fillId="2" borderId="76" xfId="0" applyNumberFormat="1" applyFont="1" applyFill="1" applyBorder="1" applyAlignment="1">
      <alignment vertical="center"/>
    </xf>
    <xf numFmtId="0" fontId="5" fillId="6" borderId="77" xfId="0" applyFont="1" applyFill="1" applyBorder="1" applyAlignment="1" applyProtection="1">
      <alignment horizontal="left" vertical="center"/>
      <protection hidden="1"/>
    </xf>
    <xf numFmtId="0" fontId="5" fillId="6" borderId="78" xfId="0" applyFont="1" applyFill="1" applyBorder="1" applyAlignment="1" applyProtection="1">
      <alignment horizontal="left" vertical="center"/>
      <protection hidden="1"/>
    </xf>
    <xf numFmtId="0" fontId="5" fillId="6" borderId="79" xfId="0" applyFont="1" applyFill="1" applyBorder="1" applyAlignment="1" applyProtection="1">
      <alignment horizontal="left" vertical="center"/>
      <protection hidden="1"/>
    </xf>
    <xf numFmtId="164" fontId="5" fillId="2" borderId="80" xfId="0" applyNumberFormat="1" applyFont="1" applyFill="1" applyBorder="1" applyAlignment="1" applyProtection="1">
      <alignment horizontal="left" vertical="center" shrinkToFit="1" indent="1"/>
      <protection hidden="1"/>
    </xf>
    <xf numFmtId="164" fontId="5" fillId="2" borderId="81" xfId="0" applyNumberFormat="1" applyFont="1" applyFill="1" applyBorder="1" applyAlignment="1" applyProtection="1">
      <alignment horizontal="left" vertical="center" shrinkToFit="1" indent="1"/>
      <protection hidden="1"/>
    </xf>
    <xf numFmtId="164" fontId="5" fillId="2" borderId="82" xfId="0" applyNumberFormat="1" applyFont="1" applyFill="1" applyBorder="1" applyAlignment="1" applyProtection="1">
      <alignment horizontal="left" vertical="center" shrinkToFit="1" indent="1"/>
      <protection hidden="1"/>
    </xf>
    <xf numFmtId="0" fontId="1" fillId="2" borderId="83" xfId="0" applyFont="1" applyFill="1" applyBorder="1" applyAlignment="1" applyProtection="1">
      <alignment vertical="center"/>
      <protection hidden="1"/>
    </xf>
    <xf numFmtId="0" fontId="1" fillId="2" borderId="84" xfId="0" applyFont="1" applyFill="1" applyBorder="1" applyAlignment="1" applyProtection="1">
      <alignment vertical="center"/>
      <protection hidden="1"/>
    </xf>
    <xf numFmtId="0" fontId="1" fillId="2" borderId="85" xfId="0" applyFont="1" applyFill="1" applyBorder="1" applyAlignment="1" applyProtection="1">
      <alignment vertical="center"/>
      <protection hidden="1"/>
    </xf>
    <xf numFmtId="164" fontId="5" fillId="8" borderId="83" xfId="0" applyNumberFormat="1" applyFont="1" applyFill="1" applyBorder="1" applyAlignment="1" applyProtection="1">
      <alignment horizontal="center" vertical="center"/>
      <protection locked="0"/>
    </xf>
    <xf numFmtId="164" fontId="5" fillId="8" borderId="84" xfId="0" applyNumberFormat="1" applyFont="1" applyFill="1" applyBorder="1" applyAlignment="1" applyProtection="1">
      <alignment horizontal="center" vertical="center"/>
      <protection locked="0"/>
    </xf>
    <xf numFmtId="164" fontId="5" fillId="8" borderId="85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86" xfId="0" applyFont="1" applyFill="1" applyBorder="1" applyAlignment="1">
      <alignment horizontal="left" vertical="center" indent="1"/>
    </xf>
    <xf numFmtId="0" fontId="5" fillId="2" borderId="87" xfId="0" applyFont="1" applyFill="1" applyBorder="1" applyAlignment="1">
      <alignment horizontal="left" vertical="center" indent="1"/>
    </xf>
    <xf numFmtId="164" fontId="2" fillId="2" borderId="88" xfId="0" applyNumberFormat="1" applyFont="1" applyFill="1" applyBorder="1" applyAlignment="1">
      <alignment vertical="center"/>
    </xf>
    <xf numFmtId="164" fontId="2" fillId="2" borderId="89" xfId="0" applyNumberFormat="1" applyFont="1" applyFill="1" applyBorder="1" applyAlignment="1">
      <alignment vertical="center"/>
    </xf>
    <xf numFmtId="164" fontId="2" fillId="2" borderId="90" xfId="0" applyNumberFormat="1" applyFont="1" applyFill="1" applyBorder="1" applyAlignment="1">
      <alignment vertical="center"/>
    </xf>
    <xf numFmtId="164" fontId="2" fillId="6" borderId="91" xfId="0" applyNumberFormat="1" applyFont="1" applyFill="1" applyBorder="1" applyAlignment="1" applyProtection="1">
      <alignment horizontal="center" vertical="center"/>
      <protection hidden="1"/>
    </xf>
    <xf numFmtId="164" fontId="2" fillId="6" borderId="92" xfId="0" applyNumberFormat="1" applyFont="1" applyFill="1" applyBorder="1" applyAlignment="1" applyProtection="1">
      <alignment horizontal="center" vertical="center"/>
      <protection hidden="1"/>
    </xf>
    <xf numFmtId="164" fontId="2" fillId="6" borderId="93" xfId="0" applyNumberFormat="1" applyFont="1" applyFill="1" applyBorder="1" applyAlignment="1" applyProtection="1">
      <alignment horizontal="center" vertical="center"/>
      <protection hidden="1"/>
    </xf>
    <xf numFmtId="164" fontId="1" fillId="2" borderId="92" xfId="0" applyNumberFormat="1" applyFont="1" applyFill="1" applyBorder="1" applyAlignment="1" applyProtection="1">
      <alignment horizontal="center" vertical="center"/>
      <protection hidden="1"/>
    </xf>
    <xf numFmtId="164" fontId="2" fillId="2" borderId="94" xfId="0" applyNumberFormat="1" applyFont="1" applyFill="1" applyBorder="1" applyAlignment="1" applyProtection="1">
      <alignment horizontal="center" vertical="center"/>
      <protection hidden="1"/>
    </xf>
    <xf numFmtId="164" fontId="2" fillId="2" borderId="95" xfId="0" applyNumberFormat="1" applyFont="1" applyFill="1" applyBorder="1" applyAlignment="1" applyProtection="1">
      <alignment horizontal="center" vertical="center"/>
      <protection hidden="1"/>
    </xf>
    <xf numFmtId="174" fontId="2" fillId="2" borderId="96" xfId="0" applyNumberFormat="1" applyFont="1" applyFill="1" applyBorder="1" applyAlignment="1" applyProtection="1">
      <alignment horizontal="center" vertical="center"/>
      <protection hidden="1"/>
    </xf>
    <xf numFmtId="174" fontId="2" fillId="2" borderId="94" xfId="0" applyNumberFormat="1" applyFont="1" applyFill="1" applyBorder="1" applyAlignment="1" applyProtection="1">
      <alignment horizontal="center" vertical="center"/>
      <protection hidden="1"/>
    </xf>
    <xf numFmtId="174" fontId="2" fillId="2" borderId="95" xfId="0" applyNumberFormat="1" applyFont="1" applyFill="1" applyBorder="1" applyAlignment="1" applyProtection="1">
      <alignment horizontal="center" vertical="center"/>
      <protection hidden="1"/>
    </xf>
    <xf numFmtId="174" fontId="1" fillId="6" borderId="96" xfId="0" applyNumberFormat="1" applyFont="1" applyFill="1" applyBorder="1" applyAlignment="1" applyProtection="1">
      <alignment horizontal="center" vertical="center"/>
      <protection hidden="1"/>
    </xf>
    <xf numFmtId="174" fontId="1" fillId="6" borderId="94" xfId="0" applyNumberFormat="1" applyFont="1" applyFill="1" applyBorder="1" applyAlignment="1" applyProtection="1">
      <alignment horizontal="center" vertical="center"/>
      <protection hidden="1"/>
    </xf>
    <xf numFmtId="174" fontId="1" fillId="6" borderId="95" xfId="0" applyNumberFormat="1" applyFont="1" applyFill="1" applyBorder="1" applyAlignment="1" applyProtection="1">
      <alignment horizontal="center" vertical="center"/>
      <protection hidden="1"/>
    </xf>
    <xf numFmtId="164" fontId="2" fillId="2" borderId="96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94" xfId="0" applyNumberFormat="1" applyFont="1" applyFill="1" applyBorder="1" applyAlignment="1" applyProtection="1">
      <alignment horizontal="center" vertical="center" shrinkToFit="1"/>
      <protection hidden="1"/>
    </xf>
    <xf numFmtId="0" fontId="1" fillId="6" borderId="97" xfId="0" applyFont="1" applyFill="1" applyBorder="1" applyAlignment="1" applyProtection="1">
      <alignment horizontal="center" vertical="center" shrinkToFit="1"/>
      <protection hidden="1"/>
    </xf>
    <xf numFmtId="0" fontId="1" fillId="6" borderId="94" xfId="0" applyFont="1" applyFill="1" applyBorder="1" applyAlignment="1" applyProtection="1">
      <alignment horizontal="center" vertical="center" shrinkToFit="1"/>
      <protection hidden="1"/>
    </xf>
    <xf numFmtId="0" fontId="1" fillId="6" borderId="98" xfId="0" applyFont="1" applyFill="1" applyBorder="1" applyAlignment="1" applyProtection="1">
      <alignment horizontal="center" vertical="center" shrinkToFit="1"/>
      <protection hidden="1"/>
    </xf>
    <xf numFmtId="0" fontId="1" fillId="2" borderId="99" xfId="0" applyFont="1" applyFill="1" applyBorder="1" applyAlignment="1" applyProtection="1">
      <alignment horizontal="center" vertical="center"/>
      <protection hidden="1"/>
    </xf>
    <xf numFmtId="0" fontId="1" fillId="2" borderId="100" xfId="0" applyFont="1" applyFill="1" applyBorder="1" applyAlignment="1" applyProtection="1">
      <alignment horizontal="center" vertical="center"/>
      <protection hidden="1"/>
    </xf>
    <xf numFmtId="9" fontId="1" fillId="2" borderId="100" xfId="0" applyNumberFormat="1" applyFont="1" applyFill="1" applyBorder="1" applyAlignment="1" applyProtection="1">
      <alignment horizontal="center" vertical="center"/>
      <protection hidden="1"/>
    </xf>
    <xf numFmtId="164" fontId="2" fillId="2" borderId="100" xfId="0" applyNumberFormat="1" applyFont="1" applyFill="1" applyBorder="1" applyAlignment="1" applyProtection="1">
      <alignment horizontal="center" vertical="center"/>
      <protection hidden="1"/>
    </xf>
    <xf numFmtId="9" fontId="2" fillId="2" borderId="100" xfId="0" applyNumberFormat="1" applyFont="1" applyFill="1" applyBorder="1" applyAlignment="1" applyProtection="1">
      <alignment horizontal="center" vertical="center"/>
      <protection hidden="1"/>
    </xf>
    <xf numFmtId="9" fontId="2" fillId="2" borderId="101" xfId="0" applyNumberFormat="1" applyFont="1" applyFill="1" applyBorder="1" applyAlignment="1" applyProtection="1">
      <alignment horizontal="center" vertical="center"/>
      <protection hidden="1"/>
    </xf>
    <xf numFmtId="0" fontId="1" fillId="2" borderId="102" xfId="0" applyFont="1" applyFill="1" applyBorder="1" applyAlignment="1" applyProtection="1">
      <alignment vertical="center"/>
      <protection hidden="1"/>
    </xf>
    <xf numFmtId="0" fontId="1" fillId="2" borderId="103" xfId="0" applyFont="1" applyFill="1" applyBorder="1" applyAlignment="1" applyProtection="1">
      <alignment vertical="center"/>
      <protection hidden="1"/>
    </xf>
    <xf numFmtId="0" fontId="1" fillId="2" borderId="104" xfId="0" applyFont="1" applyFill="1" applyBorder="1" applyAlignment="1" applyProtection="1">
      <alignment vertical="center"/>
      <protection hidden="1"/>
    </xf>
    <xf numFmtId="164" fontId="5" fillId="2" borderId="105" xfId="0" applyNumberFormat="1" applyFont="1" applyFill="1" applyBorder="1" applyAlignment="1" applyProtection="1">
      <alignment horizontal="center" vertical="center"/>
      <protection hidden="1"/>
    </xf>
    <xf numFmtId="164" fontId="5" fillId="2" borderId="103" xfId="0" applyNumberFormat="1" applyFont="1" applyFill="1" applyBorder="1" applyAlignment="1" applyProtection="1">
      <alignment horizontal="center" vertical="center"/>
      <protection hidden="1"/>
    </xf>
    <xf numFmtId="164" fontId="5" fillId="2" borderId="106" xfId="0" applyNumberFormat="1" applyFont="1" applyFill="1" applyBorder="1" applyAlignment="1" applyProtection="1">
      <alignment horizontal="center" vertical="center"/>
      <protection hidden="1"/>
    </xf>
    <xf numFmtId="0" fontId="1" fillId="6" borderId="29" xfId="0" applyFont="1" applyFill="1" applyBorder="1" applyAlignment="1" applyProtection="1">
      <alignment horizontal="center" vertical="center"/>
      <protection hidden="1"/>
    </xf>
    <xf numFmtId="0" fontId="5" fillId="6" borderId="30" xfId="0" applyFont="1" applyFill="1" applyBorder="1" applyAlignment="1" applyProtection="1">
      <alignment vertical="center"/>
      <protection hidden="1"/>
    </xf>
    <xf numFmtId="0" fontId="2" fillId="2" borderId="107" xfId="0" applyFont="1" applyFill="1" applyBorder="1" applyAlignment="1">
      <alignment horizontal="right" vertical="center"/>
    </xf>
    <xf numFmtId="0" fontId="2" fillId="2" borderId="108" xfId="0" applyFont="1" applyFill="1" applyBorder="1" applyAlignment="1">
      <alignment horizontal="right" vertical="center"/>
    </xf>
    <xf numFmtId="0" fontId="2" fillId="2" borderId="109" xfId="0" applyFont="1" applyFill="1" applyBorder="1" applyAlignment="1">
      <alignment horizontal="right" vertical="center"/>
    </xf>
    <xf numFmtId="164" fontId="2" fillId="2" borderId="110" xfId="0" applyNumberFormat="1" applyFont="1" applyFill="1" applyBorder="1" applyAlignment="1">
      <alignment horizontal="center" vertical="center"/>
    </xf>
    <xf numFmtId="164" fontId="2" fillId="2" borderId="108" xfId="0" applyNumberFormat="1" applyFont="1" applyFill="1" applyBorder="1" applyAlignment="1">
      <alignment horizontal="center" vertical="center"/>
    </xf>
    <xf numFmtId="164" fontId="2" fillId="2" borderId="111" xfId="0" applyNumberFormat="1" applyFont="1" applyFill="1" applyBorder="1" applyAlignment="1">
      <alignment horizontal="center" vertical="center"/>
    </xf>
    <xf numFmtId="0" fontId="20" fillId="2" borderId="0" xfId="0" applyFont="1" applyFill="1" applyAlignment="1" applyProtection="1">
      <alignment horizontal="center" vertical="center"/>
      <protection hidden="1"/>
    </xf>
    <xf numFmtId="0" fontId="20" fillId="2" borderId="0" xfId="0" applyFont="1" applyFill="1" applyAlignment="1" applyProtection="1">
      <alignment horizontal="center" vertical="center" shrinkToFit="1"/>
      <protection hidden="1"/>
    </xf>
    <xf numFmtId="0" fontId="20" fillId="2" borderId="0" xfId="0" applyFont="1" applyFill="1" applyAlignment="1" applyProtection="1">
      <alignment horizontal="right" vertical="center"/>
      <protection hidden="1"/>
    </xf>
    <xf numFmtId="0" fontId="21" fillId="2" borderId="0" xfId="0" applyFont="1" applyFill="1" applyAlignment="1" applyProtection="1">
      <alignment horizontal="center" vertical="center"/>
      <protection hidden="1"/>
    </xf>
    <xf numFmtId="0" fontId="21" fillId="2" borderId="0" xfId="0" applyFont="1" applyFill="1" applyAlignment="1" applyProtection="1">
      <alignment horizontal="center" vertical="center" shrinkToFit="1"/>
      <protection hidden="1"/>
    </xf>
    <xf numFmtId="0" fontId="1" fillId="2" borderId="112" xfId="0" applyFont="1" applyFill="1" applyBorder="1" applyAlignment="1" applyProtection="1">
      <alignment vertical="center"/>
      <protection hidden="1"/>
    </xf>
    <xf numFmtId="0" fontId="1" fillId="2" borderId="113" xfId="0" applyFont="1" applyFill="1" applyBorder="1" applyAlignment="1" applyProtection="1">
      <alignment vertical="center"/>
      <protection hidden="1"/>
    </xf>
    <xf numFmtId="0" fontId="1" fillId="2" borderId="114" xfId="0" applyFont="1" applyFill="1" applyBorder="1" applyAlignment="1" applyProtection="1">
      <alignment vertical="center"/>
      <protection hidden="1"/>
    </xf>
    <xf numFmtId="164" fontId="5" fillId="2" borderId="112" xfId="0" applyNumberFormat="1" applyFont="1" applyFill="1" applyBorder="1" applyAlignment="1" applyProtection="1">
      <alignment horizontal="center" vertical="center"/>
      <protection hidden="1"/>
    </xf>
    <xf numFmtId="164" fontId="5" fillId="2" borderId="113" xfId="0" applyNumberFormat="1" applyFont="1" applyFill="1" applyBorder="1" applyAlignment="1" applyProtection="1">
      <alignment horizontal="center" vertical="center"/>
      <protection hidden="1"/>
    </xf>
    <xf numFmtId="164" fontId="5" fillId="2" borderId="114" xfId="0" applyNumberFormat="1" applyFont="1" applyFill="1" applyBorder="1" applyAlignment="1" applyProtection="1">
      <alignment horizontal="center" vertical="center"/>
      <protection hidden="1"/>
    </xf>
    <xf numFmtId="0" fontId="1" fillId="4" borderId="0" xfId="0" applyFont="1" applyFill="1" applyAlignment="1">
      <alignment vertical="center"/>
    </xf>
    <xf numFmtId="0" fontId="14" fillId="2" borderId="115" xfId="0" applyFont="1" applyFill="1" applyBorder="1" applyAlignment="1" applyProtection="1">
      <alignment horizontal="left" vertical="center" shrinkToFit="1" indent="1"/>
      <protection hidden="1"/>
    </xf>
    <xf numFmtId="0" fontId="14" fillId="2" borderId="116" xfId="0" applyFont="1" applyFill="1" applyBorder="1" applyAlignment="1" applyProtection="1">
      <alignment horizontal="left" vertical="center" shrinkToFit="1" indent="1"/>
      <protection hidden="1"/>
    </xf>
    <xf numFmtId="164" fontId="18" fillId="2" borderId="116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16" xfId="0" applyFont="1" applyFill="1" applyBorder="1" applyAlignment="1" applyProtection="1">
      <alignment horizontal="center" vertical="center" shrinkToFit="1"/>
      <protection hidden="1"/>
    </xf>
    <xf numFmtId="168" fontId="18" fillId="2" borderId="116" xfId="0" applyNumberFormat="1" applyFont="1" applyFill="1" applyBorder="1" applyAlignment="1" applyProtection="1">
      <alignment horizontal="center" vertical="center" shrinkToFit="1"/>
      <protection hidden="1"/>
    </xf>
    <xf numFmtId="0" fontId="14" fillId="2" borderId="53" xfId="0" applyFont="1" applyFill="1" applyBorder="1" applyAlignment="1" applyProtection="1">
      <alignment horizontal="center" vertical="center" shrinkToFit="1"/>
      <protection hidden="1"/>
    </xf>
    <xf numFmtId="0" fontId="14" fillId="2" borderId="54" xfId="0" applyFont="1" applyFill="1" applyBorder="1" applyAlignment="1" applyProtection="1">
      <alignment horizontal="center" vertical="center" shrinkToFit="1"/>
      <protection hidden="1"/>
    </xf>
    <xf numFmtId="0" fontId="14" fillId="2" borderId="117" xfId="0" applyFont="1" applyFill="1" applyBorder="1" applyAlignment="1" applyProtection="1">
      <alignment horizontal="center" vertical="center" shrinkToFit="1"/>
      <protection hidden="1"/>
    </xf>
    <xf numFmtId="169" fontId="2" fillId="2" borderId="116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118" xfId="0" applyNumberFormat="1" applyFont="1" applyFill="1" applyBorder="1" applyAlignment="1" applyProtection="1">
      <alignment horizontal="center" vertical="center"/>
      <protection hidden="1"/>
    </xf>
    <xf numFmtId="164" fontId="5" fillId="2" borderId="119" xfId="0" applyNumberFormat="1" applyFont="1" applyFill="1" applyBorder="1" applyAlignment="1" applyProtection="1">
      <alignment horizontal="center" vertical="center"/>
      <protection hidden="1"/>
    </xf>
    <xf numFmtId="0" fontId="1" fillId="2" borderId="120" xfId="0" applyFont="1" applyFill="1" applyBorder="1" applyAlignment="1" applyProtection="1">
      <alignment horizontal="left" vertical="center"/>
      <protection hidden="1"/>
    </xf>
    <xf numFmtId="0" fontId="1" fillId="2" borderId="121" xfId="0" applyFont="1" applyFill="1" applyBorder="1" applyAlignment="1" applyProtection="1">
      <alignment horizontal="left" vertical="center"/>
      <protection hidden="1"/>
    </xf>
    <xf numFmtId="0" fontId="1" fillId="2" borderId="122" xfId="0" applyFont="1" applyFill="1" applyBorder="1" applyAlignment="1" applyProtection="1">
      <alignment horizontal="left" vertical="center"/>
      <protection hidden="1"/>
    </xf>
    <xf numFmtId="165" fontId="22" fillId="2" borderId="31" xfId="0" applyNumberFormat="1" applyFont="1" applyFill="1" applyBorder="1" applyAlignment="1" applyProtection="1">
      <alignment horizontal="center" vertical="center" shrinkToFit="1"/>
      <protection hidden="1"/>
    </xf>
    <xf numFmtId="165" fontId="22" fillId="2" borderId="123" xfId="0" applyNumberFormat="1" applyFont="1" applyFill="1" applyBorder="1" applyAlignment="1" applyProtection="1">
      <alignment horizontal="center" vertical="center" shrinkToFit="1"/>
      <protection hidden="1"/>
    </xf>
    <xf numFmtId="164" fontId="22" fillId="2" borderId="124" xfId="0" applyNumberFormat="1" applyFont="1" applyFill="1" applyBorder="1" applyAlignment="1" applyProtection="1">
      <alignment horizontal="center" vertical="center"/>
      <protection hidden="1"/>
    </xf>
    <xf numFmtId="164" fontId="22" fillId="2" borderId="32" xfId="0" applyNumberFormat="1" applyFont="1" applyFill="1" applyBorder="1" applyAlignment="1" applyProtection="1">
      <alignment horizontal="center" vertical="center"/>
      <protection hidden="1"/>
    </xf>
    <xf numFmtId="164" fontId="22" fillId="2" borderId="33" xfId="0" applyNumberFormat="1" applyFont="1" applyFill="1" applyBorder="1" applyAlignment="1" applyProtection="1">
      <alignment horizontal="center" vertical="center"/>
      <protection hidden="1"/>
    </xf>
    <xf numFmtId="165" fontId="22" fillId="0" borderId="31" xfId="0" applyNumberFormat="1" applyFont="1" applyBorder="1" applyAlignment="1" applyProtection="1">
      <alignment horizontal="center" vertical="center" shrinkToFit="1"/>
      <protection hidden="1"/>
    </xf>
    <xf numFmtId="165" fontId="22" fillId="0" borderId="123" xfId="0" applyNumberFormat="1" applyFont="1" applyBorder="1" applyAlignment="1" applyProtection="1">
      <alignment horizontal="center" vertical="center" shrinkToFit="1"/>
      <protection hidden="1"/>
    </xf>
    <xf numFmtId="164" fontId="22" fillId="0" borderId="124" xfId="0" applyNumberFormat="1" applyFont="1" applyBorder="1" applyAlignment="1" applyProtection="1">
      <alignment horizontal="center" vertical="center"/>
      <protection hidden="1"/>
    </xf>
    <xf numFmtId="164" fontId="22" fillId="0" borderId="32" xfId="0" applyNumberFormat="1" applyFont="1" applyBorder="1" applyAlignment="1" applyProtection="1">
      <alignment horizontal="center" vertical="center"/>
      <protection hidden="1"/>
    </xf>
    <xf numFmtId="164" fontId="22" fillId="0" borderId="33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>
      <alignment vertical="center"/>
    </xf>
    <xf numFmtId="164" fontId="2" fillId="2" borderId="125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126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127" xfId="0" applyNumberFormat="1" applyFont="1" applyFill="1" applyBorder="1" applyAlignment="1" applyProtection="1">
      <alignment horizontal="center" vertical="center" shrinkToFit="1"/>
      <protection hidden="1"/>
    </xf>
    <xf numFmtId="170" fontId="2" fillId="2" borderId="128" xfId="0" applyNumberFormat="1" applyFont="1" applyFill="1" applyBorder="1" applyAlignment="1" applyProtection="1">
      <alignment horizontal="center" vertical="center" shrinkToFit="1"/>
      <protection hidden="1"/>
    </xf>
    <xf numFmtId="170" fontId="2" fillId="2" borderId="126" xfId="0" applyNumberFormat="1" applyFont="1" applyFill="1" applyBorder="1" applyAlignment="1" applyProtection="1">
      <alignment horizontal="center" vertical="center" shrinkToFit="1"/>
      <protection hidden="1"/>
    </xf>
    <xf numFmtId="171" fontId="2" fillId="2" borderId="126" xfId="0" applyNumberFormat="1" applyFont="1" applyFill="1" applyBorder="1" applyAlignment="1" applyProtection="1">
      <alignment horizontal="center" vertical="center" shrinkToFit="1"/>
      <protection hidden="1"/>
    </xf>
    <xf numFmtId="172" fontId="2" fillId="2" borderId="126" xfId="0" applyNumberFormat="1" applyFont="1" applyFill="1" applyBorder="1" applyAlignment="1" applyProtection="1">
      <alignment horizontal="center" vertical="center"/>
      <protection hidden="1"/>
    </xf>
    <xf numFmtId="173" fontId="2" fillId="2" borderId="126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129" xfId="0" applyNumberFormat="1" applyFont="1" applyFill="1" applyBorder="1" applyAlignment="1" applyProtection="1">
      <alignment horizontal="center" vertical="center"/>
      <protection hidden="1"/>
    </xf>
    <xf numFmtId="164" fontId="5" fillId="2" borderId="130" xfId="0" applyNumberFormat="1" applyFont="1" applyFill="1" applyBorder="1" applyAlignment="1" applyProtection="1">
      <alignment horizontal="center" vertical="center"/>
      <protection hidden="1"/>
    </xf>
    <xf numFmtId="0" fontId="5" fillId="8" borderId="131" xfId="0" applyFont="1" applyFill="1" applyBorder="1" applyAlignment="1" applyProtection="1">
      <alignment horizontal="center" vertical="center"/>
      <protection locked="0"/>
    </xf>
    <xf numFmtId="0" fontId="5" fillId="8" borderId="132" xfId="0" applyFont="1" applyFill="1" applyBorder="1" applyAlignment="1" applyProtection="1">
      <alignment horizontal="center" vertical="center"/>
      <protection locked="0"/>
    </xf>
    <xf numFmtId="0" fontId="5" fillId="8" borderId="133" xfId="0" applyFont="1" applyFill="1" applyBorder="1" applyAlignment="1" applyProtection="1">
      <alignment horizontal="center" vertical="center"/>
      <protection locked="0"/>
    </xf>
    <xf numFmtId="165" fontId="5" fillId="2" borderId="31" xfId="0" applyNumberFormat="1" applyFont="1" applyFill="1" applyBorder="1" applyAlignment="1" applyProtection="1">
      <alignment horizontal="center" vertical="center" shrinkToFit="1"/>
      <protection hidden="1"/>
    </xf>
    <xf numFmtId="165" fontId="5" fillId="2" borderId="123" xfId="0" applyNumberFormat="1" applyFont="1" applyFill="1" applyBorder="1" applyAlignment="1" applyProtection="1">
      <alignment horizontal="center" vertical="center" shrinkToFit="1"/>
      <protection hidden="1"/>
    </xf>
    <xf numFmtId="164" fontId="5" fillId="8" borderId="124" xfId="0" applyNumberFormat="1" applyFont="1" applyFill="1" applyBorder="1" applyAlignment="1" applyProtection="1">
      <alignment horizontal="center" vertical="center"/>
      <protection hidden="1"/>
    </xf>
    <xf numFmtId="164" fontId="5" fillId="8" borderId="32" xfId="0" applyNumberFormat="1" applyFont="1" applyFill="1" applyBorder="1" applyAlignment="1" applyProtection="1">
      <alignment horizontal="center" vertical="center"/>
      <protection hidden="1"/>
    </xf>
    <xf numFmtId="164" fontId="5" fillId="8" borderId="33" xfId="0" applyNumberFormat="1" applyFont="1" applyFill="1" applyBorder="1" applyAlignment="1" applyProtection="1">
      <alignment horizontal="center" vertical="center"/>
      <protection hidden="1"/>
    </xf>
    <xf numFmtId="0" fontId="1" fillId="2" borderId="134" xfId="0" applyFont="1" applyFill="1" applyBorder="1" applyAlignment="1">
      <alignment vertical="center"/>
    </xf>
    <xf numFmtId="0" fontId="1" fillId="2" borderId="135" xfId="0" applyFont="1" applyFill="1" applyBorder="1" applyAlignment="1">
      <alignment horizontal="center" vertical="center"/>
    </xf>
    <xf numFmtId="0" fontId="1" fillId="2" borderId="136" xfId="0" applyFont="1" applyFill="1" applyBorder="1" applyAlignment="1">
      <alignment horizontal="center" vertical="center"/>
    </xf>
    <xf numFmtId="0" fontId="1" fillId="2" borderId="135" xfId="0" applyFont="1" applyFill="1" applyBorder="1" applyAlignment="1">
      <alignment horizontal="right" vertical="center"/>
    </xf>
    <xf numFmtId="0" fontId="1" fillId="2" borderId="136" xfId="0" applyFont="1" applyFill="1" applyBorder="1" applyAlignment="1">
      <alignment horizontal="right" vertical="center"/>
    </xf>
    <xf numFmtId="0" fontId="5" fillId="6" borderId="137" xfId="0" applyFont="1" applyFill="1" applyBorder="1" applyAlignment="1" applyProtection="1">
      <alignment horizontal="left" vertical="center"/>
      <protection hidden="1"/>
    </xf>
    <xf numFmtId="0" fontId="5" fillId="6" borderId="138" xfId="0" applyFont="1" applyFill="1" applyBorder="1" applyAlignment="1" applyProtection="1">
      <alignment horizontal="left" vertical="center"/>
      <protection hidden="1"/>
    </xf>
    <xf numFmtId="0" fontId="5" fillId="6" borderId="139" xfId="0" applyFont="1" applyFill="1" applyBorder="1" applyAlignment="1" applyProtection="1">
      <alignment horizontal="left" vertical="center"/>
      <protection hidden="1"/>
    </xf>
    <xf numFmtId="0" fontId="1" fillId="2" borderId="31" xfId="0" applyFont="1" applyFill="1" applyBorder="1" applyAlignment="1" applyProtection="1">
      <alignment horizontal="center" vertical="center" shrinkToFit="1"/>
      <protection hidden="1"/>
    </xf>
    <xf numFmtId="0" fontId="1" fillId="2" borderId="32" xfId="0" applyFont="1" applyFill="1" applyBorder="1" applyAlignment="1" applyProtection="1">
      <alignment horizontal="center" vertical="center" shrinkToFit="1"/>
      <protection hidden="1"/>
    </xf>
    <xf numFmtId="0" fontId="1" fillId="2" borderId="33" xfId="0" applyFont="1" applyFill="1" applyBorder="1" applyAlignment="1" applyProtection="1">
      <alignment horizontal="center" vertical="center" shrinkToFit="1"/>
      <protection hidden="1"/>
    </xf>
    <xf numFmtId="164" fontId="2" fillId="2" borderId="31" xfId="0" applyNumberFormat="1" applyFont="1" applyFill="1" applyBorder="1" applyAlignment="1" applyProtection="1">
      <alignment horizontal="center" vertical="center"/>
      <protection hidden="1"/>
    </xf>
    <xf numFmtId="164" fontId="2" fillId="2" borderId="32" xfId="0" applyNumberFormat="1" applyFont="1" applyFill="1" applyBorder="1" applyAlignment="1" applyProtection="1">
      <alignment horizontal="center" vertical="center"/>
      <protection hidden="1"/>
    </xf>
    <xf numFmtId="164" fontId="2" fillId="2" borderId="33" xfId="0" applyNumberFormat="1" applyFont="1" applyFill="1" applyBorder="1" applyAlignment="1" applyProtection="1">
      <alignment horizontal="center" vertical="center"/>
      <protection hidden="1"/>
    </xf>
    <xf numFmtId="0" fontId="2" fillId="6" borderId="29" xfId="0" applyFont="1" applyFill="1" applyBorder="1" applyAlignment="1" applyProtection="1">
      <alignment horizontal="center" vertical="center"/>
      <protection hidden="1"/>
    </xf>
    <xf numFmtId="0" fontId="1" fillId="2" borderId="140" xfId="0" applyFont="1" applyFill="1" applyBorder="1" applyAlignment="1">
      <alignment vertical="center"/>
    </xf>
    <xf numFmtId="9" fontId="1" fillId="2" borderId="136" xfId="0" applyNumberFormat="1" applyFont="1" applyFill="1" applyBorder="1" applyAlignment="1">
      <alignment vertical="center"/>
    </xf>
    <xf numFmtId="0" fontId="1" fillId="2" borderId="141" xfId="0" applyFont="1" applyFill="1" applyBorder="1" applyAlignment="1">
      <alignment vertical="center"/>
    </xf>
    <xf numFmtId="164" fontId="1" fillId="9" borderId="0" xfId="0" applyNumberFormat="1" applyFont="1" applyFill="1" applyAlignment="1">
      <alignment vertical="center"/>
    </xf>
    <xf numFmtId="164" fontId="1" fillId="9" borderId="142" xfId="0" applyNumberFormat="1" applyFont="1" applyFill="1" applyBorder="1" applyAlignment="1">
      <alignment vertical="center"/>
    </xf>
    <xf numFmtId="164" fontId="2" fillId="6" borderId="143" xfId="0" applyNumberFormat="1" applyFont="1" applyFill="1" applyBorder="1" applyAlignment="1" applyProtection="1">
      <alignment horizontal="center" vertical="center"/>
      <protection hidden="1"/>
    </xf>
    <xf numFmtId="164" fontId="2" fillId="2" borderId="144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92" xfId="0" applyNumberFormat="1" applyFont="1" applyFill="1" applyBorder="1" applyAlignment="1" applyProtection="1">
      <alignment horizontal="center" vertical="center" shrinkToFit="1"/>
      <protection hidden="1"/>
    </xf>
    <xf numFmtId="174" fontId="1" fillId="2" borderId="96" xfId="0" applyNumberFormat="1" applyFont="1" applyFill="1" applyBorder="1" applyAlignment="1" applyProtection="1">
      <alignment horizontal="center" vertical="center"/>
      <protection hidden="1"/>
    </xf>
    <xf numFmtId="174" fontId="1" fillId="2" borderId="94" xfId="0" applyNumberFormat="1" applyFont="1" applyFill="1" applyBorder="1" applyAlignment="1" applyProtection="1">
      <alignment horizontal="center" vertical="center"/>
      <protection hidden="1"/>
    </xf>
    <xf numFmtId="174" fontId="1" fillId="2" borderId="95" xfId="0" applyNumberFormat="1" applyFont="1" applyFill="1" applyBorder="1" applyAlignment="1" applyProtection="1">
      <alignment horizontal="center" vertical="center"/>
      <protection hidden="1"/>
    </xf>
    <xf numFmtId="164" fontId="2" fillId="2" borderId="95" xfId="0" applyNumberFormat="1" applyFont="1" applyFill="1" applyBorder="1" applyAlignment="1" applyProtection="1">
      <alignment horizontal="center" vertical="center" shrinkToFit="1"/>
      <protection hidden="1"/>
    </xf>
    <xf numFmtId="164" fontId="1" fillId="2" borderId="99" xfId="0" applyNumberFormat="1" applyFont="1" applyFill="1" applyBorder="1" applyAlignment="1" applyProtection="1">
      <alignment horizontal="center" vertical="center"/>
      <protection hidden="1"/>
    </xf>
    <xf numFmtId="164" fontId="1" fillId="2" borderId="100" xfId="0" applyNumberFormat="1" applyFont="1" applyFill="1" applyBorder="1" applyAlignment="1" applyProtection="1">
      <alignment horizontal="center" vertical="center"/>
      <protection hidden="1"/>
    </xf>
    <xf numFmtId="164" fontId="2" fillId="2" borderId="101" xfId="0" applyNumberFormat="1" applyFont="1" applyFill="1" applyBorder="1" applyAlignment="1" applyProtection="1">
      <alignment horizontal="center" vertical="center"/>
      <protection hidden="1"/>
    </xf>
    <xf numFmtId="0" fontId="1" fillId="6" borderId="145" xfId="0" applyFont="1" applyFill="1" applyBorder="1" applyAlignment="1" applyProtection="1">
      <alignment vertical="center"/>
      <protection hidden="1"/>
    </xf>
    <xf numFmtId="0" fontId="1" fillId="6" borderId="146" xfId="0" applyFont="1" applyFill="1" applyBorder="1" applyAlignment="1" applyProtection="1">
      <alignment horizontal="center" vertical="center"/>
      <protection hidden="1"/>
    </xf>
    <xf numFmtId="0" fontId="1" fillId="6" borderId="147" xfId="0" applyFont="1" applyFill="1" applyBorder="1" applyAlignment="1" applyProtection="1">
      <alignment horizontal="center" vertical="center"/>
      <protection hidden="1"/>
    </xf>
    <xf numFmtId="0" fontId="1" fillId="6" borderId="148" xfId="0" applyFont="1" applyFill="1" applyBorder="1" applyAlignment="1" applyProtection="1">
      <alignment horizontal="left" vertical="center"/>
      <protection hidden="1"/>
    </xf>
    <xf numFmtId="0" fontId="1" fillId="6" borderId="148" xfId="0" applyFont="1" applyFill="1" applyBorder="1" applyAlignment="1" applyProtection="1">
      <alignment horizontal="center" vertical="center"/>
      <protection hidden="1"/>
    </xf>
    <xf numFmtId="0" fontId="1" fillId="6" borderId="149" xfId="0" applyFont="1" applyFill="1" applyBorder="1" applyAlignment="1" applyProtection="1">
      <alignment horizontal="center" vertical="center"/>
      <protection hidden="1"/>
    </xf>
    <xf numFmtId="9" fontId="1" fillId="2" borderId="0" xfId="0" applyNumberFormat="1" applyFont="1" applyFill="1" applyAlignment="1">
      <alignment vertical="center"/>
    </xf>
    <xf numFmtId="0" fontId="2" fillId="2" borderId="150" xfId="0" applyFont="1" applyFill="1" applyBorder="1" applyAlignment="1">
      <alignment horizontal="right" vertical="center"/>
    </xf>
    <xf numFmtId="0" fontId="2" fillId="2" borderId="151" xfId="0" applyFont="1" applyFill="1" applyBorder="1" applyAlignment="1">
      <alignment horizontal="right" vertical="center"/>
    </xf>
    <xf numFmtId="0" fontId="2" fillId="2" borderId="152" xfId="0" applyFont="1" applyFill="1" applyBorder="1" applyAlignment="1">
      <alignment horizontal="right" vertical="center"/>
    </xf>
    <xf numFmtId="164" fontId="2" fillId="2" borderId="153" xfId="0" applyNumberFormat="1" applyFont="1" applyFill="1" applyBorder="1" applyAlignment="1">
      <alignment horizontal="center" vertical="center"/>
    </xf>
    <xf numFmtId="164" fontId="2" fillId="2" borderId="151" xfId="0" applyNumberFormat="1" applyFont="1" applyFill="1" applyBorder="1" applyAlignment="1">
      <alignment horizontal="center" vertical="center"/>
    </xf>
    <xf numFmtId="164" fontId="2" fillId="2" borderId="154" xfId="0" applyNumberFormat="1" applyFont="1" applyFill="1" applyBorder="1" applyAlignment="1">
      <alignment horizontal="center" vertical="center"/>
    </xf>
    <xf numFmtId="9" fontId="1" fillId="2" borderId="142" xfId="0" applyNumberFormat="1" applyFont="1" applyFill="1" applyBorder="1" applyAlignment="1">
      <alignment vertical="center"/>
    </xf>
    <xf numFmtId="0" fontId="1" fillId="2" borderId="155" xfId="0" applyFont="1" applyFill="1" applyBorder="1" applyAlignment="1">
      <alignment vertical="center"/>
    </xf>
    <xf numFmtId="0" fontId="1" fillId="2" borderId="136" xfId="0" applyFont="1" applyFill="1" applyBorder="1" applyAlignment="1">
      <alignment vertical="center"/>
    </xf>
    <xf numFmtId="164" fontId="1" fillId="2" borderId="142" xfId="0" applyNumberFormat="1" applyFont="1" applyFill="1" applyBorder="1" applyAlignment="1">
      <alignment vertical="center"/>
    </xf>
    <xf numFmtId="164" fontId="20" fillId="2" borderId="0" xfId="0" applyNumberFormat="1" applyFont="1" applyFill="1" applyAlignment="1" applyProtection="1">
      <alignment horizontal="center" vertical="center" shrinkToFit="1"/>
      <protection hidden="1"/>
    </xf>
    <xf numFmtId="164" fontId="20" fillId="2" borderId="0" xfId="0" applyNumberFormat="1" applyFont="1" applyFill="1" applyAlignment="1" applyProtection="1">
      <alignment horizontal="center" vertical="center"/>
      <protection hidden="1"/>
    </xf>
    <xf numFmtId="164" fontId="21" fillId="2" borderId="0" xfId="0" applyNumberFormat="1" applyFont="1" applyFill="1" applyAlignment="1" applyProtection="1">
      <alignment horizontal="center" vertical="center" shrinkToFit="1"/>
      <protection hidden="1"/>
    </xf>
    <xf numFmtId="0" fontId="1" fillId="2" borderId="0" xfId="0" applyFont="1" applyFill="1" applyAlignment="1" applyProtection="1">
      <alignment horizontal="center" vertical="center"/>
      <protection hidden="1"/>
    </xf>
    <xf numFmtId="0" fontId="1" fillId="2" borderId="0" xfId="0" applyFont="1" applyFill="1" applyAlignment="1" applyProtection="1">
      <alignment horizontal="left" vertical="center"/>
      <protection hidden="1"/>
    </xf>
    <xf numFmtId="0" fontId="17" fillId="2" borderId="43" xfId="0" applyFont="1" applyFill="1" applyBorder="1" applyAlignment="1">
      <alignment horizontal="left" vertical="center" shrinkToFit="1" indent="1"/>
    </xf>
    <xf numFmtId="0" fontId="17" fillId="2" borderId="44" xfId="0" applyFont="1" applyFill="1" applyBorder="1" applyAlignment="1">
      <alignment horizontal="left" vertical="center" shrinkToFit="1" indent="1"/>
    </xf>
    <xf numFmtId="164" fontId="23" fillId="2" borderId="156" xfId="0" applyNumberFormat="1" applyFont="1" applyFill="1" applyBorder="1" applyAlignment="1">
      <alignment horizontal="center" vertical="center"/>
    </xf>
    <xf numFmtId="164" fontId="23" fillId="2" borderId="20" xfId="0" applyNumberFormat="1" applyFont="1" applyFill="1" applyBorder="1" applyAlignment="1">
      <alignment horizontal="center" vertical="center"/>
    </xf>
    <xf numFmtId="164" fontId="23" fillId="2" borderId="22" xfId="0" applyNumberFormat="1" applyFont="1" applyFill="1" applyBorder="1" applyAlignment="1">
      <alignment horizontal="center" vertical="center"/>
    </xf>
    <xf numFmtId="0" fontId="24" fillId="2" borderId="0" xfId="0" applyFont="1" applyFill="1" applyAlignment="1">
      <alignment vertical="center"/>
    </xf>
    <xf numFmtId="0" fontId="1" fillId="2" borderId="65" xfId="0" applyFont="1" applyFill="1" applyBorder="1" applyAlignment="1">
      <alignment vertical="center"/>
    </xf>
    <xf numFmtId="0" fontId="1" fillId="2" borderId="142" xfId="0" applyFont="1" applyFill="1" applyBorder="1" applyAlignment="1">
      <alignment vertical="center"/>
    </xf>
    <xf numFmtId="0" fontId="14" fillId="2" borderId="157" xfId="0" applyFont="1" applyFill="1" applyBorder="1" applyAlignment="1" applyProtection="1">
      <alignment horizontal="left" vertical="center" shrinkToFit="1" indent="1"/>
      <protection hidden="1"/>
    </xf>
    <xf numFmtId="0" fontId="14" fillId="2" borderId="158" xfId="0" applyFont="1" applyFill="1" applyBorder="1" applyAlignment="1" applyProtection="1">
      <alignment horizontal="left" vertical="center" shrinkToFit="1" indent="1"/>
      <protection hidden="1"/>
    </xf>
    <xf numFmtId="164" fontId="18" fillId="2" borderId="158" xfId="0" applyNumberFormat="1" applyFont="1" applyFill="1" applyBorder="1" applyAlignment="1" applyProtection="1">
      <alignment horizontal="center" vertical="center" shrinkToFit="1"/>
      <protection hidden="1"/>
    </xf>
    <xf numFmtId="0" fontId="18" fillId="2" borderId="158" xfId="0" applyFont="1" applyFill="1" applyBorder="1" applyAlignment="1" applyProtection="1">
      <alignment horizontal="center" vertical="center" shrinkToFit="1"/>
      <protection hidden="1"/>
    </xf>
    <xf numFmtId="168" fontId="18" fillId="2" borderId="158" xfId="0" applyNumberFormat="1" applyFont="1" applyFill="1" applyBorder="1" applyAlignment="1" applyProtection="1">
      <alignment horizontal="center" vertical="center" shrinkToFit="1"/>
      <protection hidden="1"/>
    </xf>
    <xf numFmtId="169" fontId="2" fillId="2" borderId="158" xfId="0" applyNumberFormat="1" applyFont="1" applyFill="1" applyBorder="1" applyAlignment="1" applyProtection="1">
      <alignment horizontal="center" vertical="center" shrinkToFit="1"/>
      <protection hidden="1"/>
    </xf>
    <xf numFmtId="164" fontId="5" fillId="2" borderId="52" xfId="0" applyNumberFormat="1" applyFont="1" applyFill="1" applyBorder="1" applyAlignment="1" applyProtection="1">
      <alignment horizontal="center" vertical="center"/>
      <protection hidden="1"/>
    </xf>
    <xf numFmtId="164" fontId="5" fillId="2" borderId="159" xfId="0" applyNumberFormat="1" applyFont="1" applyFill="1" applyBorder="1" applyAlignment="1" applyProtection="1">
      <alignment horizontal="center" vertical="center"/>
      <protection hidden="1"/>
    </xf>
    <xf numFmtId="0" fontId="1" fillId="6" borderId="160" xfId="0" applyFont="1" applyFill="1" applyBorder="1" applyAlignment="1" applyProtection="1">
      <alignment vertical="center"/>
      <protection hidden="1"/>
    </xf>
    <xf numFmtId="0" fontId="1" fillId="6" borderId="161" xfId="0" applyFont="1" applyFill="1" applyBorder="1" applyAlignment="1" applyProtection="1">
      <alignment horizontal="center" vertical="center"/>
      <protection hidden="1"/>
    </xf>
    <xf numFmtId="0" fontId="1" fillId="6" borderId="161" xfId="0" applyFont="1" applyFill="1" applyBorder="1" applyAlignment="1" applyProtection="1">
      <alignment horizontal="left" vertical="center"/>
      <protection hidden="1"/>
    </xf>
    <xf numFmtId="0" fontId="1" fillId="6" borderId="162" xfId="0" applyFont="1" applyFill="1" applyBorder="1" applyAlignment="1" applyProtection="1">
      <alignment horizontal="center" vertical="center"/>
      <protection hidden="1"/>
    </xf>
    <xf numFmtId="0" fontId="5" fillId="2" borderId="43" xfId="0" applyFont="1" applyFill="1" applyBorder="1" applyAlignment="1">
      <alignment horizontal="left" vertical="center" shrinkToFit="1" indent="1"/>
    </xf>
    <xf numFmtId="0" fontId="5" fillId="2" borderId="44" xfId="0" applyFont="1" applyFill="1" applyBorder="1" applyAlignment="1">
      <alignment horizontal="left" vertical="center" shrinkToFit="1" indent="1"/>
    </xf>
    <xf numFmtId="164" fontId="2" fillId="2" borderId="156" xfId="0" applyNumberFormat="1" applyFont="1" applyFill="1" applyBorder="1" applyAlignment="1">
      <alignment horizontal="center" vertical="center"/>
    </xf>
    <xf numFmtId="0" fontId="1" fillId="2" borderId="163" xfId="0" applyFont="1" applyFill="1" applyBorder="1" applyAlignment="1">
      <alignment vertical="center"/>
    </xf>
    <xf numFmtId="0" fontId="1" fillId="2" borderId="164" xfId="0" applyFont="1" applyFill="1" applyBorder="1" applyAlignment="1">
      <alignment vertical="center"/>
    </xf>
    <xf numFmtId="164" fontId="2" fillId="2" borderId="69" xfId="0" applyNumberFormat="1" applyFont="1" applyFill="1" applyBorder="1" applyAlignment="1" applyProtection="1">
      <alignment horizontal="center" vertical="center" shrinkToFit="1"/>
      <protection hidden="1"/>
    </xf>
    <xf numFmtId="0" fontId="1" fillId="6" borderId="165" xfId="0" applyFont="1" applyFill="1" applyBorder="1" applyAlignment="1" applyProtection="1">
      <alignment vertical="center"/>
      <protection hidden="1"/>
    </xf>
    <xf numFmtId="0" fontId="1" fillId="6" borderId="0" xfId="0" applyFont="1" applyFill="1" applyAlignment="1" applyProtection="1">
      <alignment horizontal="left" vertical="center"/>
      <protection hidden="1"/>
    </xf>
    <xf numFmtId="0" fontId="1" fillId="6" borderId="166" xfId="0" applyFont="1" applyFill="1" applyBorder="1" applyAlignment="1" applyProtection="1">
      <alignment vertical="center"/>
      <protection hidden="1"/>
    </xf>
    <xf numFmtId="0" fontId="5" fillId="6" borderId="167" xfId="0" applyFont="1" applyFill="1" applyBorder="1" applyAlignment="1" applyProtection="1">
      <alignment horizontal="left" vertical="center"/>
      <protection hidden="1"/>
    </xf>
    <xf numFmtId="0" fontId="5" fillId="6" borderId="168" xfId="0" applyFont="1" applyFill="1" applyBorder="1" applyAlignment="1" applyProtection="1">
      <alignment horizontal="left" vertical="center"/>
      <protection hidden="1"/>
    </xf>
    <xf numFmtId="0" fontId="5" fillId="6" borderId="169" xfId="0" applyFont="1" applyFill="1" applyBorder="1" applyAlignment="1" applyProtection="1">
      <alignment horizontal="left" vertical="center"/>
      <protection hidden="1"/>
    </xf>
    <xf numFmtId="0" fontId="1" fillId="2" borderId="170" xfId="0" applyFont="1" applyFill="1" applyBorder="1" applyAlignment="1" applyProtection="1">
      <alignment horizontal="left" vertical="center"/>
      <protection hidden="1"/>
    </xf>
    <xf numFmtId="168" fontId="5" fillId="8" borderId="170" xfId="0" applyNumberFormat="1" applyFont="1" applyFill="1" applyBorder="1" applyAlignment="1" applyProtection="1">
      <alignment horizontal="center" vertical="center"/>
      <protection locked="0"/>
    </xf>
    <xf numFmtId="0" fontId="5" fillId="6" borderId="171" xfId="0" applyFont="1" applyFill="1" applyBorder="1" applyAlignment="1" applyProtection="1">
      <alignment horizontal="center" vertical="center"/>
      <protection hidden="1"/>
    </xf>
    <xf numFmtId="0" fontId="1" fillId="6" borderId="172" xfId="0" applyFont="1" applyFill="1" applyBorder="1" applyAlignment="1" applyProtection="1">
      <alignment vertical="center"/>
      <protection hidden="1"/>
    </xf>
    <xf numFmtId="0" fontId="1" fillId="2" borderId="166" xfId="0" applyFont="1" applyFill="1" applyBorder="1" applyAlignment="1" applyProtection="1">
      <alignment horizontal="center" vertical="center"/>
      <protection hidden="1"/>
    </xf>
    <xf numFmtId="0" fontId="5" fillId="2" borderId="173" xfId="0" applyFont="1" applyFill="1" applyBorder="1" applyAlignment="1">
      <alignment vertical="center"/>
    </xf>
    <xf numFmtId="0" fontId="5" fillId="2" borderId="174" xfId="0" applyFont="1" applyFill="1" applyBorder="1" applyAlignment="1">
      <alignment vertical="center"/>
    </xf>
    <xf numFmtId="164" fontId="2" fillId="2" borderId="175" xfId="0" applyNumberFormat="1" applyFont="1" applyFill="1" applyBorder="1" applyAlignment="1" applyProtection="1">
      <alignment horizontal="center" vertical="center" shrinkToFit="1"/>
      <protection hidden="1"/>
    </xf>
    <xf numFmtId="164" fontId="2" fillId="2" borderId="98" xfId="0" applyNumberFormat="1" applyFont="1" applyFill="1" applyBorder="1" applyAlignment="1" applyProtection="1">
      <alignment horizontal="center" vertical="center"/>
      <protection hidden="1"/>
    </xf>
    <xf numFmtId="174" fontId="1" fillId="2" borderId="176" xfId="0" applyNumberFormat="1" applyFont="1" applyFill="1" applyBorder="1" applyAlignment="1" applyProtection="1">
      <alignment horizontal="center" vertical="center"/>
      <protection hidden="1"/>
    </xf>
    <xf numFmtId="174" fontId="1" fillId="2" borderId="98" xfId="0" applyNumberFormat="1" applyFont="1" applyFill="1" applyBorder="1" applyAlignment="1" applyProtection="1">
      <alignment horizontal="center" vertical="center"/>
      <protection hidden="1"/>
    </xf>
    <xf numFmtId="164" fontId="2" fillId="2" borderId="177" xfId="0" applyNumberFormat="1" applyFont="1" applyFill="1" applyBorder="1" applyAlignment="1" applyProtection="1">
      <alignment horizontal="center" vertical="center" shrinkToFit="1"/>
      <protection hidden="1"/>
    </xf>
    <xf numFmtId="9" fontId="1" fillId="2" borderId="94" xfId="0" applyNumberFormat="1" applyFont="1" applyFill="1" applyBorder="1" applyAlignment="1" applyProtection="1">
      <alignment horizontal="center" vertical="center"/>
      <protection hidden="1"/>
    </xf>
    <xf numFmtId="164" fontId="1" fillId="2" borderId="94" xfId="0" applyNumberFormat="1" applyFont="1" applyFill="1" applyBorder="1" applyAlignment="1" applyProtection="1">
      <alignment horizontal="center" vertical="center"/>
      <protection hidden="1"/>
    </xf>
    <xf numFmtId="0" fontId="5" fillId="8" borderId="170" xfId="0" applyFont="1" applyFill="1" applyBorder="1" applyAlignment="1" applyProtection="1">
      <alignment horizontal="center" vertical="center"/>
      <protection locked="0"/>
    </xf>
    <xf numFmtId="0" fontId="1" fillId="2" borderId="178" xfId="0" applyFont="1" applyFill="1" applyBorder="1" applyAlignment="1">
      <alignment vertical="center"/>
    </xf>
    <xf numFmtId="0" fontId="2" fillId="2" borderId="179" xfId="0" applyFont="1" applyFill="1" applyBorder="1" applyAlignment="1">
      <alignment horizontal="right" vertical="center"/>
    </xf>
    <xf numFmtId="0" fontId="2" fillId="2" borderId="180" xfId="0" applyFont="1" applyFill="1" applyBorder="1" applyAlignment="1">
      <alignment horizontal="right" vertical="center"/>
    </xf>
    <xf numFmtId="0" fontId="2" fillId="2" borderId="181" xfId="0" applyFont="1" applyFill="1" applyBorder="1" applyAlignment="1">
      <alignment horizontal="right" vertical="center"/>
    </xf>
    <xf numFmtId="164" fontId="2" fillId="2" borderId="182" xfId="0" applyNumberFormat="1" applyFont="1" applyFill="1" applyBorder="1" applyAlignment="1">
      <alignment horizontal="center" vertical="center"/>
    </xf>
    <xf numFmtId="164" fontId="2" fillId="2" borderId="180" xfId="0" applyNumberFormat="1" applyFont="1" applyFill="1" applyBorder="1" applyAlignment="1">
      <alignment horizontal="center" vertical="center"/>
    </xf>
    <xf numFmtId="164" fontId="2" fillId="2" borderId="183" xfId="0" applyNumberFormat="1" applyFont="1" applyFill="1" applyBorder="1" applyAlignment="1">
      <alignment horizontal="center" vertical="center"/>
    </xf>
    <xf numFmtId="9" fontId="5" fillId="8" borderId="170" xfId="0" applyNumberFormat="1" applyFont="1" applyFill="1" applyBorder="1" applyAlignment="1" applyProtection="1">
      <alignment horizontal="center" vertical="center"/>
      <protection locked="0"/>
    </xf>
    <xf numFmtId="164" fontId="1" fillId="2" borderId="184" xfId="0" applyNumberFormat="1" applyFont="1" applyFill="1" applyBorder="1" applyAlignment="1" applyProtection="1">
      <alignment horizontal="center" vertical="center"/>
      <protection hidden="1"/>
    </xf>
    <xf numFmtId="0" fontId="1" fillId="2" borderId="170" xfId="0" applyFont="1" applyFill="1" applyBorder="1" applyAlignment="1" applyProtection="1">
      <alignment horizontal="center" vertical="center"/>
      <protection hidden="1"/>
    </xf>
    <xf numFmtId="0" fontId="1" fillId="6" borderId="171" xfId="0" applyFont="1" applyFill="1" applyBorder="1" applyAlignment="1" applyProtection="1">
      <alignment horizontal="center" vertical="center"/>
      <protection hidden="1"/>
    </xf>
    <xf numFmtId="9" fontId="1" fillId="2" borderId="164" xfId="0" applyNumberFormat="1" applyFont="1" applyFill="1" applyBorder="1" applyAlignment="1">
      <alignment vertical="center"/>
    </xf>
    <xf numFmtId="164" fontId="1" fillId="2" borderId="174" xfId="0" applyNumberFormat="1" applyFont="1" applyFill="1" applyBorder="1" applyAlignment="1">
      <alignment vertical="center"/>
    </xf>
    <xf numFmtId="164" fontId="1" fillId="2" borderId="164" xfId="0" applyNumberFormat="1" applyFont="1" applyFill="1" applyBorder="1" applyAlignment="1">
      <alignment vertical="center"/>
    </xf>
    <xf numFmtId="9" fontId="1" fillId="2" borderId="170" xfId="0" applyNumberFormat="1" applyFont="1" applyFill="1" applyBorder="1" applyAlignment="1" applyProtection="1">
      <alignment horizontal="center" vertical="center"/>
      <protection hidden="1"/>
    </xf>
    <xf numFmtId="9" fontId="1" fillId="2" borderId="31" xfId="0" applyNumberFormat="1" applyFont="1" applyFill="1" applyBorder="1" applyAlignment="1" applyProtection="1">
      <alignment horizontal="center" vertical="center"/>
      <protection hidden="1"/>
    </xf>
    <xf numFmtId="164" fontId="5" fillId="8" borderId="184" xfId="0" applyNumberFormat="1" applyFont="1" applyFill="1" applyBorder="1" applyAlignment="1" applyProtection="1">
      <alignment horizontal="center" vertical="center"/>
      <protection locked="0"/>
    </xf>
    <xf numFmtId="164" fontId="5" fillId="8" borderId="170" xfId="0" applyNumberFormat="1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hidden="1"/>
    </xf>
    <xf numFmtId="0" fontId="5" fillId="7" borderId="185" xfId="0" applyFont="1" applyFill="1" applyBorder="1" applyAlignment="1" applyProtection="1">
      <alignment horizontal="center" vertical="center"/>
      <protection hidden="1"/>
    </xf>
    <xf numFmtId="0" fontId="5" fillId="7" borderId="186" xfId="0" applyFont="1" applyFill="1" applyBorder="1" applyAlignment="1" applyProtection="1">
      <alignment horizontal="center" vertical="center"/>
      <protection hidden="1"/>
    </xf>
    <xf numFmtId="0" fontId="5" fillId="7" borderId="187" xfId="0" applyFont="1" applyFill="1" applyBorder="1" applyAlignment="1" applyProtection="1">
      <alignment horizontal="center" vertical="center"/>
      <protection hidden="1"/>
    </xf>
    <xf numFmtId="0" fontId="5" fillId="7" borderId="188" xfId="0" applyFont="1" applyFill="1" applyBorder="1" applyAlignment="1" applyProtection="1">
      <alignment horizontal="center" vertical="center"/>
      <protection hidden="1"/>
    </xf>
    <xf numFmtId="0" fontId="5" fillId="7" borderId="189" xfId="0" applyFont="1" applyFill="1" applyBorder="1" applyAlignment="1" applyProtection="1">
      <alignment horizontal="center" vertical="center"/>
      <protection hidden="1"/>
    </xf>
    <xf numFmtId="0" fontId="5" fillId="7" borderId="190" xfId="0" applyFont="1" applyFill="1" applyBorder="1" applyAlignment="1" applyProtection="1">
      <alignment horizontal="center" vertical="center"/>
      <protection hidden="1"/>
    </xf>
    <xf numFmtId="0" fontId="5" fillId="7" borderId="191" xfId="0" applyFont="1" applyFill="1" applyBorder="1" applyAlignment="1" applyProtection="1">
      <alignment horizontal="center" vertical="center"/>
      <protection hidden="1"/>
    </xf>
    <xf numFmtId="0" fontId="5" fillId="7" borderId="192" xfId="0" applyFont="1" applyFill="1" applyBorder="1" applyAlignment="1" applyProtection="1">
      <alignment horizontal="center" vertical="center"/>
      <protection hidden="1"/>
    </xf>
    <xf numFmtId="0" fontId="5" fillId="7" borderId="193" xfId="0" applyFont="1" applyFill="1" applyBorder="1" applyAlignment="1" applyProtection="1">
      <alignment horizontal="center" vertical="center"/>
      <protection hidden="1"/>
    </xf>
    <xf numFmtId="0" fontId="5" fillId="7" borderId="194" xfId="0" applyFont="1" applyFill="1" applyBorder="1" applyAlignment="1" applyProtection="1">
      <alignment horizontal="center" vertical="center"/>
      <protection hidden="1"/>
    </xf>
    <xf numFmtId="0" fontId="5" fillId="7" borderId="195" xfId="0" applyFont="1" applyFill="1" applyBorder="1" applyAlignment="1" applyProtection="1">
      <alignment horizontal="center" vertical="center"/>
      <protection hidden="1"/>
    </xf>
    <xf numFmtId="0" fontId="5" fillId="7" borderId="196" xfId="0" applyFont="1" applyFill="1" applyBorder="1" applyAlignment="1" applyProtection="1">
      <alignment horizontal="center" vertical="center"/>
      <protection hidden="1"/>
    </xf>
    <xf numFmtId="0" fontId="5" fillId="7" borderId="197" xfId="0" applyFont="1" applyFill="1" applyBorder="1" applyAlignment="1" applyProtection="1">
      <alignment horizontal="center" vertical="center"/>
      <protection hidden="1"/>
    </xf>
    <xf numFmtId="0" fontId="5" fillId="7" borderId="0" xfId="0" applyFont="1" applyFill="1" applyAlignment="1" applyProtection="1">
      <alignment horizontal="center" vertical="center"/>
      <protection hidden="1"/>
    </xf>
    <xf numFmtId="0" fontId="5" fillId="7" borderId="198" xfId="0" applyFont="1" applyFill="1" applyBorder="1" applyAlignment="1" applyProtection="1">
      <alignment horizontal="center" vertical="center"/>
      <protection hidden="1"/>
    </xf>
    <xf numFmtId="0" fontId="5" fillId="7" borderId="199" xfId="0" applyFont="1" applyFill="1" applyBorder="1" applyAlignment="1" applyProtection="1">
      <alignment horizontal="center" vertical="center"/>
      <protection hidden="1"/>
    </xf>
    <xf numFmtId="0" fontId="5" fillId="7" borderId="26" xfId="0" applyFont="1" applyFill="1" applyBorder="1" applyAlignment="1" applyProtection="1">
      <alignment horizontal="center" vertical="center"/>
      <protection hidden="1"/>
    </xf>
    <xf numFmtId="0" fontId="5" fillId="7" borderId="27" xfId="0" applyFont="1" applyFill="1" applyBorder="1" applyAlignment="1" applyProtection="1">
      <alignment horizontal="center" vertical="center"/>
      <protection hidden="1"/>
    </xf>
    <xf numFmtId="0" fontId="5" fillId="2" borderId="72" xfId="0" applyFont="1" applyFill="1" applyBorder="1" applyAlignment="1" applyProtection="1">
      <alignment horizontal="center" vertical="center"/>
      <protection hidden="1"/>
    </xf>
    <xf numFmtId="0" fontId="5" fillId="2" borderId="200" xfId="0" applyFont="1" applyFill="1" applyBorder="1" applyAlignment="1" applyProtection="1">
      <alignment horizontal="center" vertical="center"/>
      <protection hidden="1"/>
    </xf>
    <xf numFmtId="0" fontId="5" fillId="2" borderId="201" xfId="0" applyFont="1" applyFill="1" applyBorder="1" applyAlignment="1" applyProtection="1">
      <alignment horizontal="center" vertical="center"/>
      <protection hidden="1"/>
    </xf>
    <xf numFmtId="0" fontId="5" fillId="2" borderId="202" xfId="0" applyFont="1" applyFill="1" applyBorder="1" applyAlignment="1" applyProtection="1">
      <alignment horizontal="center" vertical="center"/>
      <protection hidden="1"/>
    </xf>
    <xf numFmtId="0" fontId="5" fillId="2" borderId="203" xfId="0" applyFont="1" applyFill="1" applyBorder="1" applyAlignment="1" applyProtection="1">
      <alignment horizontal="center" vertical="center"/>
      <protection hidden="1"/>
    </xf>
    <xf numFmtId="0" fontId="5" fillId="2" borderId="204" xfId="0" applyFont="1" applyFill="1" applyBorder="1" applyAlignment="1" applyProtection="1">
      <alignment horizontal="center" vertical="center"/>
      <protection hidden="1"/>
    </xf>
    <xf numFmtId="0" fontId="5" fillId="2" borderId="205" xfId="0" applyFont="1" applyFill="1" applyBorder="1" applyAlignment="1" applyProtection="1">
      <alignment horizontal="center" vertical="center"/>
      <protection hidden="1"/>
    </xf>
    <xf numFmtId="0" fontId="5" fillId="2" borderId="206" xfId="0" applyFont="1" applyFill="1" applyBorder="1" applyAlignment="1" applyProtection="1">
      <alignment horizontal="center" vertical="center"/>
      <protection hidden="1"/>
    </xf>
    <xf numFmtId="0" fontId="5" fillId="2" borderId="207" xfId="0" applyFont="1" applyFill="1" applyBorder="1" applyAlignment="1" applyProtection="1">
      <alignment horizontal="center" vertical="center"/>
      <protection hidden="1"/>
    </xf>
    <xf numFmtId="0" fontId="5" fillId="2" borderId="208" xfId="0" applyFont="1" applyFill="1" applyBorder="1" applyAlignment="1" applyProtection="1">
      <alignment horizontal="center" vertical="center"/>
      <protection hidden="1"/>
    </xf>
    <xf numFmtId="0" fontId="5" fillId="2" borderId="209" xfId="0" applyFont="1" applyFill="1" applyBorder="1" applyAlignment="1" applyProtection="1">
      <alignment horizontal="center" vertical="center"/>
      <protection hidden="1"/>
    </xf>
    <xf numFmtId="0" fontId="5" fillId="2" borderId="210" xfId="0" applyFont="1" applyFill="1" applyBorder="1" applyAlignment="1" applyProtection="1">
      <alignment horizontal="center" vertical="center"/>
      <protection hidden="1"/>
    </xf>
    <xf numFmtId="0" fontId="5" fillId="2" borderId="211" xfId="0" applyFont="1" applyFill="1" applyBorder="1" applyAlignment="1" applyProtection="1">
      <alignment horizontal="center" vertical="center"/>
      <protection hidden="1"/>
    </xf>
    <xf numFmtId="0" fontId="5" fillId="2" borderId="212" xfId="0" applyFont="1" applyFill="1" applyBorder="1" applyAlignment="1" applyProtection="1">
      <alignment horizontal="center" vertical="center"/>
      <protection hidden="1"/>
    </xf>
    <xf numFmtId="0" fontId="5" fillId="2" borderId="70" xfId="0" applyFont="1" applyFill="1" applyBorder="1" applyAlignment="1" applyProtection="1">
      <alignment horizontal="center" vertical="center"/>
      <protection hidden="1"/>
    </xf>
    <xf numFmtId="0" fontId="5" fillId="2" borderId="213" xfId="0" applyFont="1" applyFill="1" applyBorder="1" applyAlignment="1" applyProtection="1">
      <alignment horizontal="center" vertical="center"/>
      <protection hidden="1"/>
    </xf>
    <xf numFmtId="0" fontId="5" fillId="2" borderId="199" xfId="0" applyFont="1" applyFill="1" applyBorder="1" applyAlignment="1" applyProtection="1">
      <alignment horizontal="center" vertical="center"/>
      <protection hidden="1"/>
    </xf>
    <xf numFmtId="0" fontId="5" fillId="2" borderId="26" xfId="0" applyFont="1" applyFill="1" applyBorder="1" applyAlignment="1" applyProtection="1">
      <alignment horizontal="center" vertical="center"/>
      <protection hidden="1"/>
    </xf>
    <xf numFmtId="0" fontId="5" fillId="2" borderId="27" xfId="0" applyFont="1" applyFill="1" applyBorder="1" applyAlignment="1" applyProtection="1">
      <alignment horizontal="center" vertical="center"/>
      <protection hidden="1"/>
    </xf>
    <xf numFmtId="0" fontId="1" fillId="2" borderId="134" xfId="0" applyFont="1" applyFill="1" applyBorder="1" applyAlignment="1">
      <alignment horizontal="left" vertical="center"/>
    </xf>
    <xf numFmtId="164" fontId="1" fillId="2" borderId="136" xfId="0" applyNumberFormat="1" applyFont="1" applyFill="1" applyBorder="1" applyAlignment="1">
      <alignment vertical="center"/>
    </xf>
    <xf numFmtId="0" fontId="1" fillId="2" borderId="141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20" fillId="2" borderId="0" xfId="0" applyFont="1" applyFill="1" applyAlignment="1" applyProtection="1">
      <alignment vertical="center"/>
      <protection hidden="1"/>
    </xf>
    <xf numFmtId="164" fontId="1" fillId="2" borderId="170" xfId="0" applyNumberFormat="1" applyFont="1" applyFill="1" applyBorder="1" applyAlignment="1" applyProtection="1">
      <alignment horizontal="center" vertical="center"/>
      <protection hidden="1"/>
    </xf>
    <xf numFmtId="0" fontId="6" fillId="9" borderId="9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164" fontId="6" fillId="9" borderId="214" xfId="0" applyNumberFormat="1" applyFont="1" applyFill="1" applyBorder="1" applyAlignment="1">
      <alignment horizontal="center" vertical="center"/>
    </xf>
    <xf numFmtId="164" fontId="6" fillId="9" borderId="178" xfId="0" applyNumberFormat="1" applyFont="1" applyFill="1" applyBorder="1" applyAlignment="1">
      <alignment horizontal="center" vertical="center"/>
    </xf>
    <xf numFmtId="164" fontId="6" fillId="9" borderId="215" xfId="0" applyNumberFormat="1" applyFont="1" applyFill="1" applyBorder="1" applyAlignment="1">
      <alignment horizontal="center" vertical="center"/>
    </xf>
    <xf numFmtId="0" fontId="1" fillId="2" borderId="141" xfId="0" applyFont="1" applyFill="1" applyBorder="1" applyAlignment="1">
      <alignment horizontal="center" vertical="center"/>
    </xf>
    <xf numFmtId="0" fontId="25" fillId="2" borderId="0" xfId="0" applyFont="1" applyFill="1" applyAlignment="1" applyProtection="1">
      <alignment vertical="center"/>
      <protection hidden="1"/>
    </xf>
    <xf numFmtId="0" fontId="1" fillId="2" borderId="31" xfId="0" applyFont="1" applyFill="1" applyBorder="1" applyAlignment="1" applyProtection="1">
      <alignment horizontal="left" vertical="center"/>
      <protection hidden="1"/>
    </xf>
    <xf numFmtId="0" fontId="1" fillId="2" borderId="32" xfId="0" applyFont="1" applyFill="1" applyBorder="1" applyAlignment="1" applyProtection="1">
      <alignment horizontal="left" vertical="center"/>
      <protection hidden="1"/>
    </xf>
    <xf numFmtId="0" fontId="1" fillId="2" borderId="33" xfId="0" applyFont="1" applyFill="1" applyBorder="1" applyAlignment="1" applyProtection="1">
      <alignment horizontal="left" vertical="center"/>
      <protection hidden="1"/>
    </xf>
    <xf numFmtId="164" fontId="5" fillId="2" borderId="31" xfId="0" applyNumberFormat="1" applyFont="1" applyFill="1" applyBorder="1" applyAlignment="1" applyProtection="1">
      <alignment horizontal="center" vertical="center"/>
      <protection hidden="1"/>
    </xf>
    <xf numFmtId="164" fontId="5" fillId="2" borderId="32" xfId="0" applyNumberFormat="1" applyFont="1" applyFill="1" applyBorder="1" applyAlignment="1" applyProtection="1">
      <alignment horizontal="center" vertical="center"/>
      <protection hidden="1"/>
    </xf>
    <xf numFmtId="164" fontId="5" fillId="2" borderId="33" xfId="0" applyNumberFormat="1" applyFont="1" applyFill="1" applyBorder="1" applyAlignment="1" applyProtection="1">
      <alignment horizontal="center" vertical="center"/>
      <protection hidden="1"/>
    </xf>
    <xf numFmtId="0" fontId="6" fillId="9" borderId="46" xfId="0" applyFont="1" applyFill="1" applyBorder="1" applyAlignment="1">
      <alignment horizontal="center" vertical="center"/>
    </xf>
    <xf numFmtId="0" fontId="6" fillId="9" borderId="47" xfId="0" applyFont="1" applyFill="1" applyBorder="1" applyAlignment="1">
      <alignment horizontal="center" vertical="center"/>
    </xf>
    <xf numFmtId="164" fontId="6" fillId="9" borderId="216" xfId="0" applyNumberFormat="1" applyFont="1" applyFill="1" applyBorder="1" applyAlignment="1">
      <alignment horizontal="center" vertical="center"/>
    </xf>
    <xf numFmtId="164" fontId="6" fillId="9" borderId="155" xfId="0" applyNumberFormat="1" applyFont="1" applyFill="1" applyBorder="1" applyAlignment="1">
      <alignment horizontal="center" vertical="center"/>
    </xf>
    <xf numFmtId="164" fontId="6" fillId="9" borderId="217" xfId="0" applyNumberFormat="1" applyFont="1" applyFill="1" applyBorder="1" applyAlignment="1">
      <alignment horizontal="center" vertical="center"/>
    </xf>
    <xf numFmtId="164" fontId="6" fillId="9" borderId="218" xfId="0" applyNumberFormat="1" applyFont="1" applyFill="1" applyBorder="1" applyAlignment="1">
      <alignment horizontal="center" vertical="center"/>
    </xf>
    <xf numFmtId="164" fontId="6" fillId="9" borderId="219" xfId="0" applyNumberFormat="1" applyFont="1" applyFill="1" applyBorder="1" applyAlignment="1">
      <alignment horizontal="center" vertical="center"/>
    </xf>
    <xf numFmtId="164" fontId="6" fillId="9" borderId="220" xfId="0" applyNumberFormat="1" applyFont="1" applyFill="1" applyBorder="1" applyAlignment="1">
      <alignment horizontal="center" vertical="center"/>
    </xf>
    <xf numFmtId="0" fontId="26" fillId="7" borderId="25" xfId="0" applyFont="1" applyFill="1" applyBorder="1" applyAlignment="1" applyProtection="1">
      <alignment horizontal="center" vertical="center"/>
      <protection hidden="1"/>
    </xf>
    <xf numFmtId="0" fontId="26" fillId="7" borderId="26" xfId="0" applyFont="1" applyFill="1" applyBorder="1" applyAlignment="1" applyProtection="1">
      <alignment horizontal="center" vertical="center"/>
      <protection hidden="1"/>
    </xf>
    <xf numFmtId="0" fontId="26" fillId="7" borderId="221" xfId="0" applyFont="1" applyFill="1" applyBorder="1" applyAlignment="1" applyProtection="1">
      <alignment horizontal="center" vertical="center"/>
      <protection hidden="1"/>
    </xf>
    <xf numFmtId="49" fontId="26" fillId="7" borderId="222" xfId="0" applyNumberFormat="1" applyFont="1" applyFill="1" applyBorder="1" applyAlignment="1" applyProtection="1">
      <alignment horizontal="center" vertical="center"/>
      <protection hidden="1"/>
    </xf>
    <xf numFmtId="49" fontId="26" fillId="7" borderId="26" xfId="0" applyNumberFormat="1" applyFont="1" applyFill="1" applyBorder="1" applyAlignment="1" applyProtection="1">
      <alignment horizontal="center" vertical="center"/>
      <protection hidden="1"/>
    </xf>
    <xf numFmtId="49" fontId="26" fillId="7" borderId="223" xfId="0" applyNumberFormat="1" applyFont="1" applyFill="1" applyBorder="1" applyAlignment="1" applyProtection="1">
      <alignment horizontal="center" vertical="center"/>
      <protection hidden="1"/>
    </xf>
    <xf numFmtId="49" fontId="26" fillId="7" borderId="224" xfId="0" applyNumberFormat="1" applyFont="1" applyFill="1" applyBorder="1" applyAlignment="1" applyProtection="1">
      <alignment horizontal="center" vertical="center"/>
      <protection hidden="1"/>
    </xf>
    <xf numFmtId="49" fontId="26" fillId="7" borderId="225" xfId="0" applyNumberFormat="1" applyFont="1" applyFill="1" applyBorder="1" applyAlignment="1" applyProtection="1">
      <alignment horizontal="center" vertical="center"/>
      <protection hidden="1"/>
    </xf>
    <xf numFmtId="49" fontId="26" fillId="7" borderId="226" xfId="0" applyNumberFormat="1" applyFont="1" applyFill="1" applyBorder="1" applyAlignment="1" applyProtection="1">
      <alignment horizontal="center" vertical="center"/>
      <protection hidden="1"/>
    </xf>
    <xf numFmtId="49" fontId="26" fillId="7" borderId="227" xfId="0" applyNumberFormat="1" applyFont="1" applyFill="1" applyBorder="1" applyAlignment="1" applyProtection="1">
      <alignment horizontal="center" vertical="center"/>
      <protection hidden="1"/>
    </xf>
    <xf numFmtId="49" fontId="26" fillId="7" borderId="228" xfId="0" applyNumberFormat="1" applyFont="1" applyFill="1" applyBorder="1" applyAlignment="1" applyProtection="1">
      <alignment horizontal="center" vertical="center"/>
      <protection hidden="1"/>
    </xf>
    <xf numFmtId="49" fontId="26" fillId="7" borderId="229" xfId="0" applyNumberFormat="1" applyFont="1" applyFill="1" applyBorder="1" applyAlignment="1" applyProtection="1">
      <alignment horizontal="center" vertical="center"/>
      <protection hidden="1"/>
    </xf>
    <xf numFmtId="49" fontId="26" fillId="7" borderId="230" xfId="0" applyNumberFormat="1" applyFont="1" applyFill="1" applyBorder="1" applyAlignment="1" applyProtection="1">
      <alignment horizontal="center" vertical="center" wrapText="1"/>
      <protection hidden="1"/>
    </xf>
    <xf numFmtId="49" fontId="26" fillId="7" borderId="26" xfId="0" applyNumberFormat="1" applyFont="1" applyFill="1" applyBorder="1" applyAlignment="1" applyProtection="1">
      <alignment horizontal="center" vertical="center" wrapText="1"/>
      <protection hidden="1"/>
    </xf>
    <xf numFmtId="49" fontId="26" fillId="7" borderId="231" xfId="0" applyNumberFormat="1" applyFont="1" applyFill="1" applyBorder="1" applyAlignment="1" applyProtection="1">
      <alignment horizontal="center" vertical="center" wrapText="1"/>
      <protection hidden="1"/>
    </xf>
    <xf numFmtId="49" fontId="26" fillId="7" borderId="232" xfId="0" applyNumberFormat="1" applyFont="1" applyFill="1" applyBorder="1" applyAlignment="1" applyProtection="1">
      <alignment horizontal="center" vertical="center" wrapText="1"/>
      <protection hidden="1"/>
    </xf>
    <xf numFmtId="49" fontId="26" fillId="7" borderId="27" xfId="0" applyNumberFormat="1" applyFont="1" applyFill="1" applyBorder="1" applyAlignment="1" applyProtection="1">
      <alignment horizontal="center" vertical="center" wrapText="1"/>
      <protection hidden="1"/>
    </xf>
    <xf numFmtId="9" fontId="1" fillId="2" borderId="123" xfId="0" applyNumberFormat="1" applyFont="1" applyFill="1" applyBorder="1" applyAlignment="1" applyProtection="1">
      <alignment horizontal="center" vertical="center"/>
      <protection hidden="1"/>
    </xf>
    <xf numFmtId="164" fontId="1" fillId="2" borderId="32" xfId="0" applyNumberFormat="1" applyFont="1" applyFill="1" applyBorder="1" applyAlignment="1" applyProtection="1">
      <alignment horizontal="center" vertical="center"/>
      <protection hidden="1"/>
    </xf>
    <xf numFmtId="164" fontId="1" fillId="2" borderId="33" xfId="0" applyNumberFormat="1" applyFont="1" applyFill="1" applyBorder="1" applyAlignment="1" applyProtection="1">
      <alignment horizontal="center" vertical="center"/>
      <protection hidden="1"/>
    </xf>
    <xf numFmtId="164" fontId="1" fillId="2" borderId="124" xfId="0" applyNumberFormat="1" applyFont="1" applyFill="1" applyBorder="1" applyAlignment="1" applyProtection="1">
      <alignment horizontal="center" vertical="center"/>
      <protection hidden="1"/>
    </xf>
    <xf numFmtId="0" fontId="2" fillId="2" borderId="233" xfId="0" applyFont="1" applyFill="1" applyBorder="1" applyAlignment="1">
      <alignment horizontal="center" vertical="center"/>
    </xf>
    <xf numFmtId="0" fontId="2" fillId="2" borderId="234" xfId="0" applyFont="1" applyFill="1" applyBorder="1" applyAlignment="1">
      <alignment horizontal="center" vertical="center"/>
    </xf>
    <xf numFmtId="0" fontId="2" fillId="2" borderId="235" xfId="0" applyFont="1" applyFill="1" applyBorder="1" applyAlignment="1">
      <alignment horizontal="center" vertical="center"/>
    </xf>
    <xf numFmtId="164" fontId="2" fillId="2" borderId="233" xfId="0" applyNumberFormat="1" applyFont="1" applyFill="1" applyBorder="1" applyAlignment="1">
      <alignment horizontal="center" vertical="center"/>
    </xf>
    <xf numFmtId="164" fontId="2" fillId="2" borderId="234" xfId="0" applyNumberFormat="1" applyFont="1" applyFill="1" applyBorder="1" applyAlignment="1">
      <alignment horizontal="center" vertical="center"/>
    </xf>
    <xf numFmtId="164" fontId="2" fillId="2" borderId="235" xfId="0" applyNumberFormat="1" applyFont="1" applyFill="1" applyBorder="1" applyAlignment="1">
      <alignment horizontal="center" vertical="center"/>
    </xf>
    <xf numFmtId="0" fontId="1" fillId="2" borderId="163" xfId="0" applyFont="1" applyFill="1" applyBorder="1" applyAlignment="1">
      <alignment horizontal="left" vertical="center"/>
    </xf>
    <xf numFmtId="0" fontId="1" fillId="2" borderId="163" xfId="0" applyFont="1" applyFill="1" applyBorder="1" applyAlignment="1">
      <alignment horizontal="center" vertical="center"/>
    </xf>
    <xf numFmtId="0" fontId="27" fillId="2" borderId="236" xfId="0" applyFont="1" applyFill="1" applyBorder="1" applyAlignment="1" applyProtection="1">
      <alignment horizontal="left" vertical="center"/>
      <protection hidden="1"/>
    </xf>
    <xf numFmtId="0" fontId="27" fillId="2" borderId="237" xfId="0" applyFont="1" applyFill="1" applyBorder="1" applyAlignment="1" applyProtection="1">
      <alignment horizontal="left" vertical="center"/>
      <protection hidden="1"/>
    </xf>
    <xf numFmtId="0" fontId="27" fillId="2" borderId="238" xfId="0" applyFont="1" applyFill="1" applyBorder="1" applyAlignment="1" applyProtection="1">
      <alignment horizontal="left" vertical="center"/>
      <protection hidden="1"/>
    </xf>
    <xf numFmtId="175" fontId="28" fillId="2" borderId="239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37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40" xfId="0" applyNumberFormat="1" applyFont="1" applyFill="1" applyBorder="1" applyAlignment="1" applyProtection="1">
      <alignment horizontal="left" vertical="center" indent="1"/>
      <protection hidden="1"/>
    </xf>
    <xf numFmtId="0" fontId="28" fillId="2" borderId="241" xfId="0" applyFont="1" applyFill="1" applyBorder="1" applyAlignment="1" applyProtection="1">
      <alignment horizontal="left" vertical="center"/>
      <protection hidden="1"/>
    </xf>
    <xf numFmtId="0" fontId="28" fillId="2" borderId="237" xfId="0" applyFont="1" applyFill="1" applyBorder="1" applyAlignment="1" applyProtection="1">
      <alignment horizontal="left" vertical="center"/>
      <protection hidden="1"/>
    </xf>
    <xf numFmtId="0" fontId="28" fillId="2" borderId="242" xfId="0" applyFont="1" applyFill="1" applyBorder="1" applyAlignment="1" applyProtection="1">
      <alignment horizontal="left" vertical="center"/>
      <protection hidden="1"/>
    </xf>
    <xf numFmtId="0" fontId="28" fillId="2" borderId="243" xfId="0" applyFont="1" applyFill="1" applyBorder="1" applyAlignment="1" applyProtection="1">
      <alignment horizontal="left" vertical="center"/>
      <protection hidden="1"/>
    </xf>
    <xf numFmtId="0" fontId="28" fillId="2" borderId="244" xfId="0" applyFont="1" applyFill="1" applyBorder="1" applyAlignment="1" applyProtection="1">
      <alignment horizontal="left" vertical="center"/>
      <protection hidden="1"/>
    </xf>
    <xf numFmtId="49" fontId="28" fillId="2" borderId="245" xfId="0" applyNumberFormat="1" applyFont="1" applyFill="1" applyBorder="1" applyAlignment="1" applyProtection="1">
      <alignment horizontal="center" vertical="center"/>
      <protection hidden="1"/>
    </xf>
    <xf numFmtId="49" fontId="28" fillId="2" borderId="237" xfId="0" applyNumberFormat="1" applyFont="1" applyFill="1" applyBorder="1" applyAlignment="1" applyProtection="1">
      <alignment horizontal="center" vertical="center"/>
      <protection hidden="1"/>
    </xf>
    <xf numFmtId="49" fontId="28" fillId="2" borderId="246" xfId="0" applyNumberFormat="1" applyFont="1" applyFill="1" applyBorder="1" applyAlignment="1" applyProtection="1">
      <alignment horizontal="center" vertical="center"/>
      <protection hidden="1"/>
    </xf>
    <xf numFmtId="49" fontId="28" fillId="2" borderId="247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48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49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37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50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0" xfId="0" applyFont="1" applyFill="1" applyAlignment="1" applyProtection="1">
      <alignment horizontal="center" vertical="center"/>
      <protection hidden="1"/>
    </xf>
    <xf numFmtId="0" fontId="29" fillId="2" borderId="0" xfId="0" applyFont="1" applyFill="1" applyAlignment="1">
      <alignment horizontal="center" vertical="center"/>
    </xf>
    <xf numFmtId="0" fontId="1" fillId="2" borderId="135" xfId="0" applyFont="1" applyFill="1" applyBorder="1" applyAlignment="1">
      <alignment vertical="center"/>
    </xf>
    <xf numFmtId="9" fontId="1" fillId="2" borderId="135" xfId="0" applyNumberFormat="1" applyFont="1" applyFill="1" applyBorder="1" applyAlignment="1">
      <alignment vertical="center"/>
    </xf>
    <xf numFmtId="0" fontId="27" fillId="2" borderId="251" xfId="0" applyFont="1" applyFill="1" applyBorder="1" applyAlignment="1" applyProtection="1">
      <alignment horizontal="left" vertical="center"/>
      <protection hidden="1"/>
    </xf>
    <xf numFmtId="0" fontId="27" fillId="2" borderId="252" xfId="0" applyFont="1" applyFill="1" applyBorder="1" applyAlignment="1" applyProtection="1">
      <alignment horizontal="left" vertical="center"/>
      <protection hidden="1"/>
    </xf>
    <xf numFmtId="0" fontId="27" fillId="2" borderId="253" xfId="0" applyFont="1" applyFill="1" applyBorder="1" applyAlignment="1" applyProtection="1">
      <alignment horizontal="left" vertical="center"/>
      <protection hidden="1"/>
    </xf>
    <xf numFmtId="175" fontId="28" fillId="2" borderId="254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52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55" xfId="0" applyNumberFormat="1" applyFont="1" applyFill="1" applyBorder="1" applyAlignment="1" applyProtection="1">
      <alignment horizontal="left" vertical="center" indent="1"/>
      <protection hidden="1"/>
    </xf>
    <xf numFmtId="0" fontId="28" fillId="2" borderId="256" xfId="0" applyFont="1" applyFill="1" applyBorder="1" applyAlignment="1" applyProtection="1">
      <alignment horizontal="left" vertical="center"/>
      <protection hidden="1"/>
    </xf>
    <xf numFmtId="0" fontId="28" fillId="2" borderId="252" xfId="0" applyFont="1" applyFill="1" applyBorder="1" applyAlignment="1" applyProtection="1">
      <alignment horizontal="left" vertical="center"/>
      <protection hidden="1"/>
    </xf>
    <xf numFmtId="0" fontId="28" fillId="2" borderId="257" xfId="0" applyFont="1" applyFill="1" applyBorder="1" applyAlignment="1" applyProtection="1">
      <alignment horizontal="left" vertical="center"/>
      <protection hidden="1"/>
    </xf>
    <xf numFmtId="0" fontId="28" fillId="2" borderId="258" xfId="0" applyFont="1" applyFill="1" applyBorder="1" applyAlignment="1" applyProtection="1">
      <alignment horizontal="left" vertical="center"/>
      <protection hidden="1"/>
    </xf>
    <xf numFmtId="0" fontId="28" fillId="2" borderId="259" xfId="0" applyFont="1" applyFill="1" applyBorder="1" applyAlignment="1" applyProtection="1">
      <alignment horizontal="left" vertical="center"/>
      <protection hidden="1"/>
    </xf>
    <xf numFmtId="49" fontId="28" fillId="2" borderId="260" xfId="0" applyNumberFormat="1" applyFont="1" applyFill="1" applyBorder="1" applyAlignment="1" applyProtection="1">
      <alignment horizontal="center" vertical="center"/>
      <protection hidden="1"/>
    </xf>
    <xf numFmtId="49" fontId="28" fillId="2" borderId="252" xfId="0" applyNumberFormat="1" applyFont="1" applyFill="1" applyBorder="1" applyAlignment="1" applyProtection="1">
      <alignment horizontal="center" vertical="center"/>
      <protection hidden="1"/>
    </xf>
    <xf numFmtId="49" fontId="28" fillId="2" borderId="261" xfId="0" applyNumberFormat="1" applyFont="1" applyFill="1" applyBorder="1" applyAlignment="1" applyProtection="1">
      <alignment horizontal="center" vertical="center"/>
      <protection hidden="1"/>
    </xf>
    <xf numFmtId="49" fontId="28" fillId="2" borderId="262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63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64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52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65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266" xfId="0" applyFont="1" applyFill="1" applyBorder="1" applyAlignment="1" applyProtection="1">
      <alignment vertical="center"/>
      <protection hidden="1"/>
    </xf>
    <xf numFmtId="0" fontId="12" fillId="6" borderId="267" xfId="0" applyFont="1" applyFill="1" applyBorder="1" applyAlignment="1" applyProtection="1">
      <alignment horizontal="left" vertical="center"/>
      <protection hidden="1"/>
    </xf>
    <xf numFmtId="0" fontId="12" fillId="6" borderId="267" xfId="0" applyFont="1" applyFill="1" applyBorder="1" applyAlignment="1" applyProtection="1">
      <alignment horizontal="center" vertical="center"/>
      <protection hidden="1"/>
    </xf>
    <xf numFmtId="0" fontId="3" fillId="6" borderId="267" xfId="0" applyFont="1" applyFill="1" applyBorder="1" applyAlignment="1" applyProtection="1">
      <alignment horizontal="center" vertical="center"/>
      <protection hidden="1"/>
    </xf>
    <xf numFmtId="0" fontId="3" fillId="6" borderId="267" xfId="0" applyFont="1" applyFill="1" applyBorder="1" applyAlignment="1" applyProtection="1">
      <alignment vertical="center"/>
      <protection hidden="1"/>
    </xf>
    <xf numFmtId="0" fontId="3" fillId="6" borderId="267" xfId="0" applyFont="1" applyFill="1" applyBorder="1" applyAlignment="1" applyProtection="1">
      <alignment horizontal="left" vertical="center"/>
      <protection hidden="1"/>
    </xf>
    <xf numFmtId="164" fontId="3" fillId="6" borderId="267" xfId="0" applyNumberFormat="1" applyFont="1" applyFill="1" applyBorder="1" applyAlignment="1" applyProtection="1">
      <alignment horizontal="center" vertical="center"/>
      <protection hidden="1"/>
    </xf>
    <xf numFmtId="0" fontId="1" fillId="6" borderId="268" xfId="0" applyFont="1" applyFill="1" applyBorder="1" applyAlignment="1" applyProtection="1">
      <alignment horizontal="center" vertical="center"/>
      <protection hidden="1"/>
    </xf>
    <xf numFmtId="0" fontId="29" fillId="10" borderId="35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9" fillId="10" borderId="35" xfId="0" applyFont="1" applyFill="1" applyBorder="1" applyAlignment="1">
      <alignment horizontal="center" vertical="center" shrinkToFit="1"/>
    </xf>
    <xf numFmtId="164" fontId="30" fillId="2" borderId="0" xfId="0" applyNumberFormat="1" applyFont="1" applyFill="1" applyAlignment="1">
      <alignment horizontal="center" vertical="center"/>
    </xf>
    <xf numFmtId="0" fontId="31" fillId="2" borderId="269" xfId="0" applyFont="1" applyFill="1" applyBorder="1" applyAlignment="1">
      <alignment vertical="center"/>
    </xf>
    <xf numFmtId="0" fontId="29" fillId="10" borderId="19" xfId="0" applyFont="1" applyFill="1" applyBorder="1" applyAlignment="1">
      <alignment horizontal="center" vertical="center"/>
    </xf>
    <xf numFmtId="0" fontId="29" fillId="10" borderId="21" xfId="0" applyFont="1" applyFill="1" applyBorder="1" applyAlignment="1">
      <alignment horizontal="center" vertical="center"/>
    </xf>
    <xf numFmtId="0" fontId="2" fillId="10" borderId="19" xfId="0" applyFont="1" applyFill="1" applyBorder="1" applyAlignment="1">
      <alignment horizontal="center" vertical="center"/>
    </xf>
    <xf numFmtId="0" fontId="2" fillId="10" borderId="21" xfId="0" applyFont="1" applyFill="1" applyBorder="1" applyAlignment="1">
      <alignment horizontal="center" vertical="center"/>
    </xf>
    <xf numFmtId="0" fontId="29" fillId="2" borderId="0" xfId="0" applyFont="1" applyFill="1" applyAlignment="1">
      <alignment vertical="center"/>
    </xf>
    <xf numFmtId="164" fontId="29" fillId="2" borderId="0" xfId="0" applyNumberFormat="1" applyFont="1" applyFill="1" applyAlignment="1">
      <alignment horizontal="center" vertical="center"/>
    </xf>
    <xf numFmtId="49" fontId="28" fillId="2" borderId="270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71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72" xfId="0" applyNumberFormat="1" applyFont="1" applyFill="1" applyBorder="1" applyAlignment="1" applyProtection="1">
      <alignment horizontal="center" vertical="center" wrapText="1"/>
      <protection hidden="1"/>
    </xf>
    <xf numFmtId="164" fontId="29" fillId="2" borderId="35" xfId="0" applyNumberFormat="1" applyFont="1" applyFill="1" applyBorder="1" applyAlignment="1">
      <alignment horizontal="center" vertical="center"/>
    </xf>
    <xf numFmtId="164" fontId="31" fillId="2" borderId="269" xfId="0" applyNumberFormat="1" applyFont="1" applyFill="1" applyBorder="1" applyAlignment="1">
      <alignment vertical="center"/>
    </xf>
    <xf numFmtId="164" fontId="29" fillId="2" borderId="19" xfId="0" applyNumberFormat="1" applyFont="1" applyFill="1" applyBorder="1" applyAlignment="1">
      <alignment horizontal="center" vertical="center"/>
    </xf>
    <xf numFmtId="164" fontId="29" fillId="2" borderId="21" xfId="0" applyNumberFormat="1" applyFont="1" applyFill="1" applyBorder="1" applyAlignment="1">
      <alignment horizontal="center" vertical="center"/>
    </xf>
    <xf numFmtId="164" fontId="29" fillId="2" borderId="0" xfId="0" applyNumberFormat="1" applyFont="1" applyFill="1" applyAlignment="1">
      <alignment vertical="center"/>
    </xf>
    <xf numFmtId="0" fontId="1" fillId="6" borderId="273" xfId="0" applyFont="1" applyFill="1" applyBorder="1" applyAlignment="1" applyProtection="1">
      <alignment vertical="center"/>
      <protection hidden="1"/>
    </xf>
    <xf numFmtId="0" fontId="32" fillId="6" borderId="274" xfId="0" applyFont="1" applyFill="1" applyBorder="1" applyAlignment="1" applyProtection="1">
      <alignment horizontal="center" vertical="center"/>
      <protection hidden="1"/>
    </xf>
    <xf numFmtId="0" fontId="1" fillId="6" borderId="275" xfId="0" applyFont="1" applyFill="1" applyBorder="1" applyAlignment="1" applyProtection="1">
      <alignment horizontal="center" vertical="center"/>
      <protection hidden="1"/>
    </xf>
    <xf numFmtId="0" fontId="1" fillId="6" borderId="275" xfId="0" applyFont="1" applyFill="1" applyBorder="1" applyAlignment="1" applyProtection="1">
      <alignment vertical="center"/>
      <protection hidden="1"/>
    </xf>
    <xf numFmtId="0" fontId="1" fillId="6" borderId="276" xfId="0" applyFont="1" applyFill="1" applyBorder="1" applyAlignment="1" applyProtection="1">
      <alignment vertical="center"/>
      <protection hidden="1"/>
    </xf>
    <xf numFmtId="0" fontId="33" fillId="2" borderId="0" xfId="0" applyFont="1" applyFill="1" applyAlignment="1">
      <alignment vertical="center"/>
    </xf>
    <xf numFmtId="0" fontId="34" fillId="2" borderId="134" xfId="0" applyFont="1" applyFill="1" applyBorder="1" applyAlignment="1">
      <alignment horizontal="center" vertical="center" wrapText="1" readingOrder="1"/>
    </xf>
    <xf numFmtId="0" fontId="2" fillId="2" borderId="136" xfId="0" applyFont="1" applyFill="1" applyBorder="1" applyAlignment="1">
      <alignment horizontal="center" vertical="center" readingOrder="1"/>
    </xf>
    <xf numFmtId="176" fontId="1" fillId="2" borderId="0" xfId="0" applyNumberFormat="1" applyFont="1" applyFill="1" applyAlignment="1">
      <alignment vertical="center"/>
    </xf>
    <xf numFmtId="0" fontId="27" fillId="2" borderId="277" xfId="0" applyFont="1" applyFill="1" applyBorder="1" applyAlignment="1" applyProtection="1">
      <alignment horizontal="left" vertical="center"/>
      <protection hidden="1"/>
    </xf>
    <xf numFmtId="0" fontId="27" fillId="2" borderId="278" xfId="0" applyFont="1" applyFill="1" applyBorder="1" applyAlignment="1" applyProtection="1">
      <alignment horizontal="left" vertical="center"/>
      <protection hidden="1"/>
    </xf>
    <xf numFmtId="0" fontId="27" fillId="2" borderId="279" xfId="0" applyFont="1" applyFill="1" applyBorder="1" applyAlignment="1" applyProtection="1">
      <alignment horizontal="left" vertical="center"/>
      <protection hidden="1"/>
    </xf>
    <xf numFmtId="175" fontId="28" fillId="2" borderId="280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78" xfId="0" applyNumberFormat="1" applyFont="1" applyFill="1" applyBorder="1" applyAlignment="1" applyProtection="1">
      <alignment horizontal="left" vertical="center" indent="1"/>
      <protection hidden="1"/>
    </xf>
    <xf numFmtId="175" fontId="28" fillId="2" borderId="281" xfId="0" applyNumberFormat="1" applyFont="1" applyFill="1" applyBorder="1" applyAlignment="1" applyProtection="1">
      <alignment horizontal="left" vertical="center" indent="1"/>
      <protection hidden="1"/>
    </xf>
    <xf numFmtId="0" fontId="28" fillId="2" borderId="282" xfId="0" applyFont="1" applyFill="1" applyBorder="1" applyAlignment="1" applyProtection="1">
      <alignment horizontal="left" vertical="center"/>
      <protection hidden="1"/>
    </xf>
    <xf numFmtId="0" fontId="28" fillId="2" borderId="278" xfId="0" applyFont="1" applyFill="1" applyBorder="1" applyAlignment="1" applyProtection="1">
      <alignment horizontal="left" vertical="center"/>
      <protection hidden="1"/>
    </xf>
    <xf numFmtId="0" fontId="28" fillId="2" borderId="283" xfId="0" applyFont="1" applyFill="1" applyBorder="1" applyAlignment="1" applyProtection="1">
      <alignment horizontal="left" vertical="center"/>
      <protection hidden="1"/>
    </xf>
    <xf numFmtId="0" fontId="28" fillId="2" borderId="284" xfId="0" applyFont="1" applyFill="1" applyBorder="1" applyAlignment="1" applyProtection="1">
      <alignment horizontal="left" vertical="center"/>
      <protection hidden="1"/>
    </xf>
    <xf numFmtId="0" fontId="28" fillId="2" borderId="285" xfId="0" applyFont="1" applyFill="1" applyBorder="1" applyAlignment="1" applyProtection="1">
      <alignment horizontal="left" vertical="center"/>
      <protection hidden="1"/>
    </xf>
    <xf numFmtId="49" fontId="28" fillId="2" borderId="286" xfId="0" applyNumberFormat="1" applyFont="1" applyFill="1" applyBorder="1" applyAlignment="1" applyProtection="1">
      <alignment horizontal="center" vertical="center"/>
      <protection hidden="1"/>
    </xf>
    <xf numFmtId="49" fontId="28" fillId="2" borderId="278" xfId="0" applyNumberFormat="1" applyFont="1" applyFill="1" applyBorder="1" applyAlignment="1" applyProtection="1">
      <alignment horizontal="center" vertical="center"/>
      <protection hidden="1"/>
    </xf>
    <xf numFmtId="49" fontId="28" fillId="2" borderId="287" xfId="0" applyNumberFormat="1" applyFont="1" applyFill="1" applyBorder="1" applyAlignment="1" applyProtection="1">
      <alignment horizontal="center" vertical="center"/>
      <protection hidden="1"/>
    </xf>
    <xf numFmtId="49" fontId="28" fillId="2" borderId="288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89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0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78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1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2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3" xfId="0" applyNumberFormat="1" applyFont="1" applyFill="1" applyBorder="1" applyAlignment="1" applyProtection="1">
      <alignment horizontal="center" vertical="center" wrapText="1"/>
      <protection hidden="1"/>
    </xf>
    <xf numFmtId="49" fontId="28" fillId="2" borderId="294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295" xfId="0" applyFont="1" applyFill="1" applyBorder="1" applyAlignment="1" applyProtection="1">
      <alignment vertical="center"/>
      <protection hidden="1"/>
    </xf>
    <xf numFmtId="0" fontId="2" fillId="2" borderId="170" xfId="0" applyFont="1" applyFill="1" applyBorder="1" applyAlignment="1" applyProtection="1">
      <alignment horizontal="left" vertical="center"/>
      <protection hidden="1"/>
    </xf>
    <xf numFmtId="0" fontId="1" fillId="6" borderId="296" xfId="0" applyFont="1" applyFill="1" applyBorder="1" applyAlignment="1" applyProtection="1">
      <alignment horizontal="center" vertical="center"/>
      <protection hidden="1"/>
    </xf>
    <xf numFmtId="0" fontId="1" fillId="2" borderId="35" xfId="0" applyFont="1" applyFill="1" applyBorder="1" applyAlignment="1">
      <alignment horizontal="center" vertical="center"/>
    </xf>
    <xf numFmtId="0" fontId="5" fillId="10" borderId="297" xfId="0" applyFont="1" applyFill="1" applyBorder="1" applyAlignment="1">
      <alignment horizontal="center" vertical="center"/>
    </xf>
    <xf numFmtId="0" fontId="5" fillId="10" borderId="298" xfId="0" applyFont="1" applyFill="1" applyBorder="1" applyAlignment="1">
      <alignment horizontal="center" vertical="center"/>
    </xf>
    <xf numFmtId="164" fontId="24" fillId="2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vertical="center"/>
    </xf>
    <xf numFmtId="10" fontId="1" fillId="2" borderId="136" xfId="0" applyNumberFormat="1" applyFont="1" applyFill="1" applyBorder="1" applyAlignment="1">
      <alignment vertical="center"/>
    </xf>
    <xf numFmtId="0" fontId="34" fillId="2" borderId="141" xfId="0" applyFont="1" applyFill="1" applyBorder="1" applyAlignment="1">
      <alignment horizontal="center" vertical="center" wrapText="1" readingOrder="1"/>
    </xf>
    <xf numFmtId="0" fontId="2" fillId="2" borderId="142" xfId="0" applyFont="1" applyFill="1" applyBorder="1" applyAlignment="1">
      <alignment horizontal="center" vertical="center" readingOrder="1"/>
    </xf>
    <xf numFmtId="9" fontId="1" fillId="2" borderId="141" xfId="0" applyNumberFormat="1" applyFont="1" applyFill="1" applyBorder="1" applyAlignment="1">
      <alignment vertical="center"/>
    </xf>
    <xf numFmtId="0" fontId="1" fillId="2" borderId="170" xfId="0" applyFont="1" applyFill="1" applyBorder="1" applyAlignment="1" applyProtection="1">
      <alignment vertical="center"/>
      <protection hidden="1"/>
    </xf>
    <xf numFmtId="0" fontId="1" fillId="2" borderId="31" xfId="0" applyFont="1" applyFill="1" applyBorder="1" applyAlignment="1" applyProtection="1">
      <alignment horizontal="center" vertical="center"/>
      <protection hidden="1"/>
    </xf>
    <xf numFmtId="0" fontId="1" fillId="2" borderId="32" xfId="0" applyFont="1" applyFill="1" applyBorder="1" applyAlignment="1" applyProtection="1">
      <alignment horizontal="center" vertical="center"/>
      <protection hidden="1"/>
    </xf>
    <xf numFmtId="9" fontId="2" fillId="2" borderId="35" xfId="0" applyNumberFormat="1" applyFont="1" applyFill="1" applyBorder="1" applyAlignment="1">
      <alignment horizontal="center" vertical="center"/>
    </xf>
    <xf numFmtId="9" fontId="2" fillId="2" borderId="19" xfId="0" applyNumberFormat="1" applyFont="1" applyFill="1" applyBorder="1" applyAlignment="1">
      <alignment horizontal="center" vertical="center"/>
    </xf>
    <xf numFmtId="9" fontId="5" fillId="2" borderId="299" xfId="0" applyNumberFormat="1" applyFont="1" applyFill="1" applyBorder="1" applyAlignment="1">
      <alignment horizontal="center" vertical="center"/>
    </xf>
    <xf numFmtId="9" fontId="5" fillId="2" borderId="300" xfId="0" applyNumberFormat="1" applyFont="1" applyFill="1" applyBorder="1" applyAlignment="1">
      <alignment horizontal="center" vertical="center"/>
    </xf>
    <xf numFmtId="9" fontId="5" fillId="2" borderId="0" xfId="0" applyNumberFormat="1" applyFont="1" applyFill="1" applyAlignment="1">
      <alignment horizontal="center" vertical="center"/>
    </xf>
    <xf numFmtId="9" fontId="22" fillId="2" borderId="0" xfId="0" applyNumberFormat="1" applyFont="1" applyFill="1" applyAlignment="1">
      <alignment vertical="center"/>
    </xf>
    <xf numFmtId="9" fontId="5" fillId="2" borderId="0" xfId="0" applyNumberFormat="1" applyFont="1" applyFill="1" applyAlignment="1">
      <alignment vertical="center"/>
    </xf>
    <xf numFmtId="10" fontId="1" fillId="2" borderId="142" xfId="0" applyNumberFormat="1" applyFont="1" applyFill="1" applyBorder="1" applyAlignment="1">
      <alignment vertical="center"/>
    </xf>
    <xf numFmtId="0" fontId="1" fillId="2" borderId="33" xfId="0" applyFont="1" applyFill="1" applyBorder="1" applyAlignment="1" applyProtection="1">
      <alignment horizontal="center" vertical="center"/>
      <protection hidden="1"/>
    </xf>
    <xf numFmtId="164" fontId="17" fillId="8" borderId="170" xfId="0" applyNumberFormat="1" applyFont="1" applyFill="1" applyBorder="1" applyAlignment="1" applyProtection="1">
      <alignment horizontal="center" vertical="center"/>
      <protection locked="0"/>
    </xf>
    <xf numFmtId="49" fontId="23" fillId="2" borderId="0" xfId="0" applyNumberFormat="1" applyFont="1" applyFill="1" applyAlignment="1" applyProtection="1">
      <alignment vertical="center"/>
      <protection hidden="1"/>
    </xf>
    <xf numFmtId="0" fontId="23" fillId="2" borderId="0" xfId="0" applyFont="1" applyFill="1" applyAlignment="1" applyProtection="1">
      <alignment horizontal="left" vertical="center" indent="1"/>
      <protection hidden="1"/>
    </xf>
    <xf numFmtId="0" fontId="28" fillId="2" borderId="0" xfId="0" applyFont="1" applyFill="1" applyAlignment="1" applyProtection="1">
      <alignment horizontal="left" vertical="center" indent="1"/>
      <protection hidden="1"/>
    </xf>
    <xf numFmtId="49" fontId="28" fillId="2" borderId="0" xfId="0" applyNumberFormat="1" applyFont="1" applyFill="1" applyAlignment="1" applyProtection="1">
      <alignment horizontal="left" vertical="center" indent="1"/>
      <protection hidden="1"/>
    </xf>
    <xf numFmtId="49" fontId="27" fillId="2" borderId="0" xfId="0" applyNumberFormat="1" applyFont="1" applyFill="1" applyAlignment="1" applyProtection="1">
      <alignment vertical="center" wrapText="1"/>
      <protection hidden="1"/>
    </xf>
    <xf numFmtId="164" fontId="5" fillId="11" borderId="31" xfId="0" applyNumberFormat="1" applyFont="1" applyFill="1" applyBorder="1" applyAlignment="1" applyProtection="1">
      <alignment horizontal="center" vertical="center"/>
      <protection locked="0"/>
    </xf>
    <xf numFmtId="164" fontId="5" fillId="11" borderId="32" xfId="0" applyNumberFormat="1" applyFont="1" applyFill="1" applyBorder="1" applyAlignment="1" applyProtection="1">
      <alignment horizontal="center" vertical="center"/>
      <protection locked="0"/>
    </xf>
    <xf numFmtId="0" fontId="2" fillId="2" borderId="32" xfId="0" applyFont="1" applyFill="1" applyBorder="1" applyAlignment="1" applyProtection="1">
      <alignment horizontal="center" vertical="center"/>
      <protection hidden="1"/>
    </xf>
    <xf numFmtId="0" fontId="35" fillId="2" borderId="0" xfId="0" applyFont="1" applyFill="1" applyAlignment="1">
      <alignment horizontal="center" vertical="center"/>
    </xf>
    <xf numFmtId="175" fontId="28" fillId="2" borderId="0" xfId="0" applyNumberFormat="1" applyFont="1" applyFill="1" applyAlignment="1" applyProtection="1">
      <alignment horizontal="left" vertical="center" indent="1"/>
      <protection hidden="1"/>
    </xf>
    <xf numFmtId="49" fontId="28" fillId="2" borderId="0" xfId="0" applyNumberFormat="1" applyFont="1" applyFill="1" applyAlignment="1" applyProtection="1">
      <alignment vertical="center" wrapText="1"/>
      <protection hidden="1"/>
    </xf>
    <xf numFmtId="0" fontId="1" fillId="6" borderId="301" xfId="0" applyFont="1" applyFill="1" applyBorder="1" applyAlignment="1" applyProtection="1">
      <alignment vertical="center"/>
      <protection hidden="1"/>
    </xf>
    <xf numFmtId="0" fontId="1" fillId="6" borderId="302" xfId="0" applyFont="1" applyFill="1" applyBorder="1" applyAlignment="1" applyProtection="1">
      <alignment horizontal="left" vertical="center"/>
      <protection hidden="1"/>
    </xf>
    <xf numFmtId="0" fontId="1" fillId="6" borderId="302" xfId="0" applyFont="1" applyFill="1" applyBorder="1" applyAlignment="1" applyProtection="1">
      <alignment horizontal="center" vertical="center"/>
      <protection hidden="1"/>
    </xf>
    <xf numFmtId="0" fontId="1" fillId="6" borderId="303" xfId="0" applyFont="1" applyFill="1" applyBorder="1" applyAlignment="1" applyProtection="1">
      <alignment horizontal="center" vertical="center"/>
      <protection hidden="1"/>
    </xf>
    <xf numFmtId="0" fontId="36" fillId="2" borderId="0" xfId="0" applyFont="1" applyFill="1" applyAlignment="1" applyProtection="1">
      <alignment horizontal="left" vertical="center" indent="1"/>
      <protection hidden="1"/>
    </xf>
    <xf numFmtId="0" fontId="2" fillId="2" borderId="0" xfId="0" applyFont="1" applyFill="1" applyAlignment="1" applyProtection="1">
      <alignment vertical="center"/>
      <protection hidden="1"/>
    </xf>
    <xf numFmtId="164" fontId="3" fillId="2" borderId="304" xfId="0" applyNumberFormat="1" applyFont="1" applyFill="1" applyBorder="1" applyAlignment="1" applyProtection="1">
      <alignment horizontal="center" vertical="center"/>
      <protection hidden="1"/>
    </xf>
    <xf numFmtId="0" fontId="3" fillId="2" borderId="304" xfId="0" applyFont="1" applyFill="1" applyBorder="1" applyAlignment="1" applyProtection="1">
      <alignment vertical="center"/>
      <protection hidden="1"/>
    </xf>
    <xf numFmtId="166" fontId="5" fillId="2" borderId="0" xfId="0" applyNumberFormat="1" applyFont="1" applyFill="1" applyAlignment="1">
      <alignment horizontal="center" vertical="center"/>
    </xf>
    <xf numFmtId="166" fontId="5" fillId="2" borderId="305" xfId="0" applyNumberFormat="1" applyFont="1" applyFill="1" applyBorder="1" applyAlignment="1">
      <alignment horizontal="center" vertical="center"/>
    </xf>
    <xf numFmtId="0" fontId="32" fillId="2" borderId="306" xfId="0" applyFont="1" applyFill="1" applyBorder="1" applyAlignment="1">
      <alignment horizontal="center" vertical="center"/>
    </xf>
    <xf numFmtId="166" fontId="4" fillId="12" borderId="306" xfId="0" applyNumberFormat="1" applyFont="1" applyFill="1" applyBorder="1" applyAlignment="1">
      <alignment horizontal="center" vertical="center"/>
    </xf>
    <xf numFmtId="0" fontId="32" fillId="2" borderId="0" xfId="0" applyFont="1" applyFill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/>
    </xf>
    <xf numFmtId="166" fontId="2" fillId="2" borderId="305" xfId="0" applyNumberFormat="1" applyFont="1" applyFill="1" applyBorder="1" applyAlignment="1">
      <alignment horizontal="center" vertical="center"/>
    </xf>
    <xf numFmtId="166" fontId="5" fillId="2" borderId="47" xfId="0" applyNumberFormat="1" applyFont="1" applyFill="1" applyBorder="1" applyAlignment="1">
      <alignment horizontal="center" vertical="center"/>
    </xf>
    <xf numFmtId="166" fontId="5" fillId="2" borderId="307" xfId="0" applyNumberFormat="1" applyFont="1" applyFill="1" applyBorder="1" applyAlignment="1">
      <alignment horizontal="center" vertical="center"/>
    </xf>
    <xf numFmtId="0" fontId="32" fillId="2" borderId="308" xfId="0" applyFont="1" applyFill="1" applyBorder="1" applyAlignment="1">
      <alignment horizontal="center" vertical="center"/>
    </xf>
    <xf numFmtId="166" fontId="4" fillId="12" borderId="308" xfId="0" applyNumberFormat="1" applyFont="1" applyFill="1" applyBorder="1" applyAlignment="1">
      <alignment horizontal="center" vertical="center"/>
    </xf>
    <xf numFmtId="166" fontId="2" fillId="2" borderId="47" xfId="0" applyNumberFormat="1" applyFont="1" applyFill="1" applyBorder="1" applyAlignment="1">
      <alignment horizontal="center" vertical="center"/>
    </xf>
    <xf numFmtId="166" fontId="2" fillId="2" borderId="307" xfId="0" applyNumberFormat="1" applyFont="1" applyFill="1" applyBorder="1" applyAlignment="1">
      <alignment horizontal="center" vertical="center"/>
    </xf>
    <xf numFmtId="164" fontId="1" fillId="0" borderId="141" xfId="0" applyNumberFormat="1" applyFont="1" applyBorder="1" applyAlignment="1">
      <alignment vertical="center"/>
    </xf>
    <xf numFmtId="0" fontId="5" fillId="8" borderId="184" xfId="0" applyFont="1" applyFill="1" applyBorder="1" applyAlignment="1" applyProtection="1">
      <alignment horizontal="center" vertical="center"/>
      <protection locked="0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309" xfId="0" applyFont="1" applyFill="1" applyBorder="1" applyAlignment="1">
      <alignment horizontal="center" vertical="center"/>
    </xf>
    <xf numFmtId="164" fontId="14" fillId="2" borderId="310" xfId="0" applyNumberFormat="1" applyFont="1" applyFill="1" applyBorder="1" applyAlignment="1">
      <alignment horizontal="center" vertical="center"/>
    </xf>
    <xf numFmtId="166" fontId="14" fillId="2" borderId="310" xfId="0" applyNumberFormat="1" applyFont="1" applyFill="1" applyBorder="1" applyAlignment="1">
      <alignment horizontal="center" vertical="center"/>
    </xf>
    <xf numFmtId="166" fontId="14" fillId="2" borderId="311" xfId="0" applyNumberFormat="1" applyFont="1" applyFill="1" applyBorder="1" applyAlignment="1">
      <alignment horizontal="center" vertical="center"/>
    </xf>
    <xf numFmtId="164" fontId="14" fillId="2" borderId="312" xfId="0" applyNumberFormat="1" applyFont="1" applyFill="1" applyBorder="1" applyAlignment="1">
      <alignment horizontal="center" vertical="center"/>
    </xf>
    <xf numFmtId="164" fontId="14" fillId="2" borderId="3" xfId="0" applyNumberFormat="1" applyFont="1" applyFill="1" applyBorder="1" applyAlignment="1">
      <alignment horizontal="center" vertical="center"/>
    </xf>
    <xf numFmtId="164" fontId="14" fillId="2" borderId="309" xfId="0" applyNumberFormat="1" applyFont="1" applyFill="1" applyBorder="1" applyAlignment="1">
      <alignment horizontal="center" vertical="center"/>
    </xf>
    <xf numFmtId="166" fontId="14" fillId="2" borderId="312" xfId="0" applyNumberFormat="1" applyFont="1" applyFill="1" applyBorder="1" applyAlignment="1">
      <alignment horizontal="center" vertical="center"/>
    </xf>
    <xf numFmtId="166" fontId="14" fillId="2" borderId="3" xfId="0" applyNumberFormat="1" applyFont="1" applyFill="1" applyBorder="1" applyAlignment="1">
      <alignment horizontal="center" vertical="center"/>
    </xf>
    <xf numFmtId="166" fontId="14" fillId="2" borderId="313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164" fontId="5" fillId="2" borderId="174" xfId="0" applyNumberFormat="1" applyFont="1" applyFill="1" applyBorder="1" applyAlignment="1">
      <alignment vertical="center"/>
    </xf>
    <xf numFmtId="164" fontId="5" fillId="2" borderId="164" xfId="0" applyNumberFormat="1" applyFont="1" applyFill="1" applyBorder="1" applyAlignment="1">
      <alignment vertical="center"/>
    </xf>
    <xf numFmtId="0" fontId="5" fillId="8" borderId="124" xfId="0" applyFont="1" applyFill="1" applyBorder="1" applyAlignment="1" applyProtection="1">
      <alignment horizontal="center" vertical="center"/>
      <protection locked="0"/>
    </xf>
    <xf numFmtId="0" fontId="14" fillId="2" borderId="46" xfId="0" applyFont="1" applyFill="1" applyBorder="1" applyAlignment="1">
      <alignment horizontal="center" vertical="center"/>
    </xf>
    <xf numFmtId="0" fontId="14" fillId="2" borderId="47" xfId="0" applyFont="1" applyFill="1" applyBorder="1" applyAlignment="1">
      <alignment horizontal="center" vertical="center"/>
    </xf>
    <xf numFmtId="0" fontId="14" fillId="2" borderId="314" xfId="0" applyFont="1" applyFill="1" applyBorder="1" applyAlignment="1">
      <alignment horizontal="center" vertical="center"/>
    </xf>
    <xf numFmtId="164" fontId="14" fillId="2" borderId="315" xfId="0" applyNumberFormat="1" applyFont="1" applyFill="1" applyBorder="1" applyAlignment="1">
      <alignment horizontal="center" vertical="center"/>
    </xf>
    <xf numFmtId="166" fontId="14" fillId="2" borderId="315" xfId="0" applyNumberFormat="1" applyFont="1" applyFill="1" applyBorder="1" applyAlignment="1">
      <alignment horizontal="center" vertical="center"/>
    </xf>
    <xf numFmtId="166" fontId="14" fillId="2" borderId="316" xfId="0" applyNumberFormat="1" applyFont="1" applyFill="1" applyBorder="1" applyAlignment="1">
      <alignment horizontal="center" vertical="center"/>
    </xf>
    <xf numFmtId="164" fontId="14" fillId="2" borderId="317" xfId="0" applyNumberFormat="1" applyFont="1" applyFill="1" applyBorder="1" applyAlignment="1">
      <alignment horizontal="center" vertical="center"/>
    </xf>
    <xf numFmtId="164" fontId="14" fillId="2" borderId="47" xfId="0" applyNumberFormat="1" applyFont="1" applyFill="1" applyBorder="1" applyAlignment="1">
      <alignment horizontal="center" vertical="center"/>
    </xf>
    <xf numFmtId="164" fontId="14" fillId="2" borderId="314" xfId="0" applyNumberFormat="1" applyFont="1" applyFill="1" applyBorder="1" applyAlignment="1">
      <alignment horizontal="center" vertical="center"/>
    </xf>
    <xf numFmtId="166" fontId="14" fillId="2" borderId="317" xfId="0" applyNumberFormat="1" applyFont="1" applyFill="1" applyBorder="1" applyAlignment="1">
      <alignment horizontal="center" vertical="center"/>
    </xf>
    <xf numFmtId="166" fontId="14" fillId="2" borderId="47" xfId="0" applyNumberFormat="1" applyFont="1" applyFill="1" applyBorder="1" applyAlignment="1">
      <alignment horizontal="center" vertical="center"/>
    </xf>
    <xf numFmtId="166" fontId="14" fillId="2" borderId="318" xfId="0" applyNumberFormat="1" applyFont="1" applyFill="1" applyBorder="1" applyAlignment="1">
      <alignment horizontal="center" vertical="center"/>
    </xf>
    <xf numFmtId="49" fontId="23" fillId="2" borderId="0" xfId="0" applyNumberFormat="1" applyFont="1" applyFill="1" applyAlignment="1" applyProtection="1">
      <alignment horizontal="left" vertical="center" indent="1"/>
      <protection hidden="1"/>
    </xf>
    <xf numFmtId="0" fontId="17" fillId="10" borderId="131" xfId="0" applyFont="1" applyFill="1" applyBorder="1" applyAlignment="1">
      <alignment horizontal="left" vertical="center"/>
    </xf>
    <xf numFmtId="0" fontId="17" fillId="10" borderId="132" xfId="0" applyFont="1" applyFill="1" applyBorder="1" applyAlignment="1">
      <alignment horizontal="left" vertical="center"/>
    </xf>
    <xf numFmtId="0" fontId="17" fillId="10" borderId="133" xfId="0" applyFont="1" applyFill="1" applyBorder="1" applyAlignment="1">
      <alignment horizontal="left" vertical="center"/>
    </xf>
    <xf numFmtId="164" fontId="5" fillId="10" borderId="319" xfId="0" applyNumberFormat="1" applyFont="1" applyFill="1" applyBorder="1" applyAlignment="1">
      <alignment horizontal="center" vertical="center"/>
    </xf>
    <xf numFmtId="164" fontId="5" fillId="10" borderId="320" xfId="0" applyNumberFormat="1" applyFont="1" applyFill="1" applyBorder="1" applyAlignment="1">
      <alignment horizontal="center" vertical="center"/>
    </xf>
    <xf numFmtId="164" fontId="5" fillId="10" borderId="321" xfId="0" applyNumberFormat="1" applyFont="1" applyFill="1" applyBorder="1" applyAlignment="1">
      <alignment horizontal="center" vertical="center"/>
    </xf>
    <xf numFmtId="164" fontId="5" fillId="10" borderId="322" xfId="0" applyNumberFormat="1" applyFont="1" applyFill="1" applyBorder="1" applyAlignment="1">
      <alignment horizontal="right" vertical="center"/>
    </xf>
    <xf numFmtId="164" fontId="37" fillId="2" borderId="0" xfId="0" applyNumberFormat="1" applyFont="1" applyFill="1" applyAlignment="1">
      <alignment vertical="center"/>
    </xf>
    <xf numFmtId="164" fontId="5" fillId="10" borderId="319" xfId="0" applyNumberFormat="1" applyFont="1" applyFill="1" applyBorder="1" applyAlignment="1">
      <alignment horizontal="right" vertical="center"/>
    </xf>
    <xf numFmtId="164" fontId="5" fillId="10" borderId="320" xfId="0" applyNumberFormat="1" applyFont="1" applyFill="1" applyBorder="1" applyAlignment="1">
      <alignment horizontal="right" vertical="center"/>
    </xf>
    <xf numFmtId="164" fontId="5" fillId="10" borderId="321" xfId="0" applyNumberFormat="1" applyFont="1" applyFill="1" applyBorder="1" applyAlignment="1">
      <alignment horizontal="right" vertical="center"/>
    </xf>
    <xf numFmtId="164" fontId="23" fillId="2" borderId="0" xfId="0" applyNumberFormat="1" applyFont="1" applyFill="1" applyAlignment="1">
      <alignment vertical="center"/>
    </xf>
    <xf numFmtId="164" fontId="5" fillId="10" borderId="31" xfId="0" applyNumberFormat="1" applyFont="1" applyFill="1" applyBorder="1" applyAlignment="1">
      <alignment horizontal="center" vertical="center"/>
    </xf>
    <xf numFmtId="164" fontId="5" fillId="10" borderId="32" xfId="0" applyNumberFormat="1" applyFont="1" applyFill="1" applyBorder="1" applyAlignment="1">
      <alignment horizontal="center" vertical="center"/>
    </xf>
    <xf numFmtId="164" fontId="5" fillId="10" borderId="33" xfId="0" applyNumberFormat="1" applyFont="1" applyFill="1" applyBorder="1" applyAlignment="1">
      <alignment horizontal="center" vertical="center"/>
    </xf>
    <xf numFmtId="164" fontId="5" fillId="10" borderId="31" xfId="0" applyNumberFormat="1" applyFont="1" applyFill="1" applyBorder="1" applyAlignment="1">
      <alignment horizontal="right" vertical="center"/>
    </xf>
    <xf numFmtId="164" fontId="5" fillId="10" borderId="32" xfId="0" applyNumberFormat="1" applyFont="1" applyFill="1" applyBorder="1" applyAlignment="1">
      <alignment horizontal="right" vertical="center"/>
    </xf>
    <xf numFmtId="164" fontId="5" fillId="10" borderId="33" xfId="0" applyNumberFormat="1" applyFont="1" applyFill="1" applyBorder="1" applyAlignment="1">
      <alignment horizontal="right" vertical="center"/>
    </xf>
    <xf numFmtId="164" fontId="5" fillId="10" borderId="323" xfId="0" applyNumberFormat="1" applyFont="1" applyFill="1" applyBorder="1" applyAlignment="1">
      <alignment horizontal="center" vertical="center"/>
    </xf>
    <xf numFmtId="164" fontId="5" fillId="10" borderId="324" xfId="0" applyNumberFormat="1" applyFont="1" applyFill="1" applyBorder="1" applyAlignment="1">
      <alignment horizontal="center" vertical="center"/>
    </xf>
    <xf numFmtId="0" fontId="2" fillId="2" borderId="163" xfId="0" applyFont="1" applyFill="1" applyBorder="1" applyAlignment="1">
      <alignment horizontal="center" vertical="center" readingOrder="1"/>
    </xf>
    <xf numFmtId="0" fontId="2" fillId="2" borderId="164" xfId="0" applyFont="1" applyFill="1" applyBorder="1" applyAlignment="1">
      <alignment horizontal="center" vertical="center" readingOrder="1"/>
    </xf>
    <xf numFmtId="49" fontId="38" fillId="13" borderId="325" xfId="0" applyNumberFormat="1" applyFont="1" applyFill="1" applyBorder="1" applyAlignment="1" applyProtection="1">
      <alignment horizontal="center" vertical="center"/>
      <protection hidden="1"/>
    </xf>
    <xf numFmtId="49" fontId="39" fillId="14" borderId="325" xfId="0" applyNumberFormat="1" applyFont="1" applyFill="1" applyBorder="1" applyAlignment="1" applyProtection="1">
      <alignment vertical="center"/>
      <protection hidden="1"/>
    </xf>
    <xf numFmtId="49" fontId="40" fillId="14" borderId="0" xfId="0" applyNumberFormat="1" applyFont="1" applyFill="1" applyAlignment="1" applyProtection="1">
      <alignment vertical="center"/>
      <protection hidden="1"/>
    </xf>
    <xf numFmtId="0" fontId="1" fillId="6" borderId="275" xfId="0" applyFont="1" applyFill="1" applyBorder="1" applyAlignment="1" applyProtection="1">
      <alignment horizontal="left" vertical="center"/>
      <protection hidden="1"/>
    </xf>
    <xf numFmtId="0" fontId="2" fillId="2" borderId="17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72" xfId="0" applyFont="1" applyFill="1" applyBorder="1" applyAlignment="1">
      <alignment horizontal="left" vertical="center"/>
    </xf>
    <xf numFmtId="164" fontId="2" fillId="2" borderId="17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2" borderId="172" xfId="0" applyNumberFormat="1" applyFont="1" applyFill="1" applyBorder="1" applyAlignment="1">
      <alignment horizontal="center" vertical="center"/>
    </xf>
    <xf numFmtId="165" fontId="2" fillId="2" borderId="171" xfId="0" applyNumberFormat="1" applyFont="1" applyFill="1" applyBorder="1" applyAlignment="1">
      <alignment horizontal="right" vertical="center"/>
    </xf>
    <xf numFmtId="165" fontId="2" fillId="2" borderId="0" xfId="0" applyNumberFormat="1" applyFont="1" applyFill="1" applyAlignment="1">
      <alignment horizontal="right" vertical="center"/>
    </xf>
    <xf numFmtId="165" fontId="2" fillId="2" borderId="172" xfId="0" applyNumberFormat="1" applyFont="1" applyFill="1" applyBorder="1" applyAlignment="1">
      <alignment horizontal="right" vertical="center"/>
    </xf>
    <xf numFmtId="164" fontId="2" fillId="2" borderId="31" xfId="0" applyNumberFormat="1" applyFont="1" applyFill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/>
    </xf>
    <xf numFmtId="164" fontId="2" fillId="2" borderId="33" xfId="0" applyNumberFormat="1" applyFont="1" applyFill="1" applyBorder="1" applyAlignment="1">
      <alignment horizontal="center" vertical="center"/>
    </xf>
    <xf numFmtId="165" fontId="2" fillId="2" borderId="31" xfId="0" applyNumberFormat="1" applyFont="1" applyFill="1" applyBorder="1" applyAlignment="1">
      <alignment horizontal="right" vertical="center"/>
    </xf>
    <xf numFmtId="165" fontId="2" fillId="2" borderId="32" xfId="0" applyNumberFormat="1" applyFont="1" applyFill="1" applyBorder="1" applyAlignment="1">
      <alignment horizontal="right" vertical="center"/>
    </xf>
    <xf numFmtId="165" fontId="2" fillId="2" borderId="33" xfId="0" applyNumberFormat="1" applyFont="1" applyFill="1" applyBorder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2" fillId="12" borderId="326" xfId="0" applyFont="1" applyFill="1" applyBorder="1" applyAlignment="1" applyProtection="1">
      <alignment horizontal="center" vertical="center"/>
      <protection hidden="1"/>
    </xf>
    <xf numFmtId="0" fontId="22" fillId="12" borderId="327" xfId="0" applyFont="1" applyFill="1" applyBorder="1" applyAlignment="1" applyProtection="1">
      <alignment horizontal="center" vertical="center"/>
      <protection hidden="1"/>
    </xf>
    <xf numFmtId="0" fontId="22" fillId="12" borderId="328" xfId="0" applyFont="1" applyFill="1" applyBorder="1" applyAlignment="1" applyProtection="1">
      <alignment horizontal="center" vertical="center"/>
      <protection hidden="1"/>
    </xf>
    <xf numFmtId="9" fontId="22" fillId="12" borderId="327" xfId="0" applyNumberFormat="1" applyFont="1" applyFill="1" applyBorder="1" applyAlignment="1" applyProtection="1">
      <alignment horizontal="center" vertical="center"/>
      <protection hidden="1"/>
    </xf>
    <xf numFmtId="0" fontId="22" fillId="12" borderId="329" xfId="0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vertical="center"/>
      <protection hidden="1"/>
    </xf>
    <xf numFmtId="0" fontId="1" fillId="6" borderId="296" xfId="0" applyFont="1" applyFill="1" applyBorder="1" applyAlignment="1" applyProtection="1">
      <alignment vertical="center"/>
      <protection hidden="1"/>
    </xf>
    <xf numFmtId="0" fontId="2" fillId="2" borderId="120" xfId="0" applyFont="1" applyFill="1" applyBorder="1" applyAlignment="1">
      <alignment horizontal="left" vertical="center"/>
    </xf>
    <xf numFmtId="0" fontId="2" fillId="2" borderId="121" xfId="0" applyFont="1" applyFill="1" applyBorder="1" applyAlignment="1">
      <alignment horizontal="left" vertical="center"/>
    </xf>
    <xf numFmtId="0" fontId="2" fillId="2" borderId="122" xfId="0" applyFont="1" applyFill="1" applyBorder="1" applyAlignment="1">
      <alignment horizontal="left" vertical="center"/>
    </xf>
    <xf numFmtId="164" fontId="2" fillId="2" borderId="120" xfId="0" applyNumberFormat="1" applyFont="1" applyFill="1" applyBorder="1" applyAlignment="1">
      <alignment horizontal="center" vertical="center"/>
    </xf>
    <xf numFmtId="164" fontId="2" fillId="2" borderId="121" xfId="0" applyNumberFormat="1" applyFont="1" applyFill="1" applyBorder="1" applyAlignment="1">
      <alignment horizontal="center" vertical="center"/>
    </xf>
    <xf numFmtId="164" fontId="2" fillId="2" borderId="122" xfId="0" applyNumberFormat="1" applyFont="1" applyFill="1" applyBorder="1" applyAlignment="1">
      <alignment horizontal="center" vertical="center"/>
    </xf>
    <xf numFmtId="0" fontId="5" fillId="2" borderId="171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5" fillId="2" borderId="172" xfId="0" applyFont="1" applyFill="1" applyBorder="1" applyAlignment="1" applyProtection="1">
      <alignment horizontal="center" vertical="center"/>
      <protection hidden="1"/>
    </xf>
    <xf numFmtId="0" fontId="5" fillId="2" borderId="330" xfId="0" applyFont="1" applyFill="1" applyBorder="1" applyAlignment="1" applyProtection="1">
      <alignment horizontal="center" vertical="center"/>
      <protection hidden="1"/>
    </xf>
    <xf numFmtId="0" fontId="5" fillId="2" borderId="331" xfId="0" applyFont="1" applyFill="1" applyBorder="1" applyAlignment="1" applyProtection="1">
      <alignment horizontal="center" vertical="center"/>
      <protection hidden="1"/>
    </xf>
    <xf numFmtId="0" fontId="5" fillId="2" borderId="332" xfId="0" applyFont="1" applyFill="1" applyBorder="1" applyAlignment="1" applyProtection="1">
      <alignment horizontal="center" vertical="center"/>
      <protection hidden="1"/>
    </xf>
    <xf numFmtId="0" fontId="5" fillId="2" borderId="333" xfId="0" applyFont="1" applyFill="1" applyBorder="1" applyAlignment="1" applyProtection="1">
      <alignment horizontal="center" vertical="center"/>
      <protection hidden="1"/>
    </xf>
    <xf numFmtId="0" fontId="5" fillId="2" borderId="334" xfId="0" applyFont="1" applyFill="1" applyBorder="1" applyAlignment="1" applyProtection="1">
      <alignment horizontal="center" vertical="center"/>
      <protection hidden="1"/>
    </xf>
    <xf numFmtId="10" fontId="5" fillId="8" borderId="335" xfId="0" applyNumberFormat="1" applyFont="1" applyFill="1" applyBorder="1" applyAlignment="1" applyProtection="1">
      <alignment horizontal="center" vertical="center"/>
      <protection locked="0"/>
    </xf>
    <xf numFmtId="10" fontId="5" fillId="8" borderId="336" xfId="0" applyNumberFormat="1" applyFont="1" applyFill="1" applyBorder="1" applyAlignment="1" applyProtection="1">
      <alignment horizontal="center" vertical="center"/>
      <protection locked="0"/>
    </xf>
    <xf numFmtId="164" fontId="5" fillId="2" borderId="337" xfId="0" applyNumberFormat="1" applyFont="1" applyFill="1" applyBorder="1" applyAlignment="1" applyProtection="1">
      <alignment horizontal="center" vertical="center"/>
      <protection hidden="1"/>
    </xf>
    <xf numFmtId="164" fontId="5" fillId="2" borderId="336" xfId="0" applyNumberFormat="1" applyFont="1" applyFill="1" applyBorder="1" applyAlignment="1" applyProtection="1">
      <alignment horizontal="center" vertical="center"/>
      <protection hidden="1"/>
    </xf>
    <xf numFmtId="164" fontId="5" fillId="2" borderId="338" xfId="0" applyNumberFormat="1" applyFont="1" applyFill="1" applyBorder="1" applyAlignment="1" applyProtection="1">
      <alignment horizontal="center" vertical="center"/>
      <protection hidden="1"/>
    </xf>
    <xf numFmtId="164" fontId="5" fillId="2" borderId="339" xfId="0" applyNumberFormat="1" applyFont="1" applyFill="1" applyBorder="1" applyAlignment="1" applyProtection="1">
      <alignment horizontal="center" vertical="center"/>
      <protection hidden="1"/>
    </xf>
    <xf numFmtId="10" fontId="14" fillId="2" borderId="340" xfId="0" applyNumberFormat="1" applyFont="1" applyFill="1" applyBorder="1" applyAlignment="1" applyProtection="1">
      <alignment horizontal="center" vertical="center"/>
      <protection hidden="1"/>
    </xf>
    <xf numFmtId="10" fontId="14" fillId="2" borderId="341" xfId="0" applyNumberFormat="1" applyFont="1" applyFill="1" applyBorder="1" applyAlignment="1" applyProtection="1">
      <alignment horizontal="center" vertical="center"/>
      <protection hidden="1"/>
    </xf>
    <xf numFmtId="10" fontId="14" fillId="2" borderId="342" xfId="0" applyNumberFormat="1" applyFont="1" applyFill="1" applyBorder="1" applyAlignment="1" applyProtection="1">
      <alignment horizontal="center" vertical="center"/>
      <protection hidden="1"/>
    </xf>
    <xf numFmtId="164" fontId="14" fillId="2" borderId="343" xfId="0" applyNumberFormat="1" applyFont="1" applyFill="1" applyBorder="1" applyAlignment="1" applyProtection="1">
      <alignment horizontal="center" vertical="center"/>
      <protection hidden="1"/>
    </xf>
    <xf numFmtId="164" fontId="14" fillId="2" borderId="341" xfId="0" applyNumberFormat="1" applyFont="1" applyFill="1" applyBorder="1" applyAlignment="1" applyProtection="1">
      <alignment horizontal="center" vertical="center"/>
      <protection hidden="1"/>
    </xf>
    <xf numFmtId="164" fontId="14" fillId="2" borderId="344" xfId="0" applyNumberFormat="1" applyFont="1" applyFill="1" applyBorder="1" applyAlignment="1" applyProtection="1">
      <alignment horizontal="center" vertical="center"/>
      <protection hidden="1"/>
    </xf>
    <xf numFmtId="0" fontId="5" fillId="2" borderId="120" xfId="0" applyFont="1" applyFill="1" applyBorder="1" applyAlignment="1" applyProtection="1">
      <alignment horizontal="center" vertical="center"/>
      <protection hidden="1"/>
    </xf>
    <xf numFmtId="0" fontId="5" fillId="2" borderId="121" xfId="0" applyFont="1" applyFill="1" applyBorder="1" applyAlignment="1" applyProtection="1">
      <alignment horizontal="center" vertical="center"/>
      <protection hidden="1"/>
    </xf>
    <xf numFmtId="0" fontId="5" fillId="2" borderId="122" xfId="0" applyFont="1" applyFill="1" applyBorder="1" applyAlignment="1" applyProtection="1">
      <alignment horizontal="center" vertical="center"/>
      <protection hidden="1"/>
    </xf>
    <xf numFmtId="0" fontId="5" fillId="2" borderId="345" xfId="0" applyFont="1" applyFill="1" applyBorder="1" applyAlignment="1" applyProtection="1">
      <alignment horizontal="center" vertical="center"/>
      <protection hidden="1"/>
    </xf>
    <xf numFmtId="0" fontId="5" fillId="2" borderId="346" xfId="0" applyFont="1" applyFill="1" applyBorder="1" applyAlignment="1" applyProtection="1">
      <alignment horizontal="center" vertical="center"/>
      <protection hidden="1"/>
    </xf>
    <xf numFmtId="0" fontId="5" fillId="2" borderId="347" xfId="0" applyFont="1" applyFill="1" applyBorder="1" applyAlignment="1" applyProtection="1">
      <alignment horizontal="center" vertical="center"/>
      <protection hidden="1"/>
    </xf>
    <xf numFmtId="0" fontId="2" fillId="2" borderId="3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2" borderId="33" xfId="0" applyFont="1" applyFill="1" applyBorder="1" applyAlignment="1">
      <alignment horizontal="left" vertical="center"/>
    </xf>
    <xf numFmtId="0" fontId="5" fillId="2" borderId="131" xfId="0" applyFont="1" applyFill="1" applyBorder="1" applyAlignment="1" applyProtection="1">
      <alignment horizontal="center" vertical="center"/>
      <protection hidden="1"/>
    </xf>
    <xf numFmtId="0" fontId="5" fillId="2" borderId="132" xfId="0" applyFont="1" applyFill="1" applyBorder="1" applyAlignment="1" applyProtection="1">
      <alignment horizontal="center" vertical="center"/>
      <protection hidden="1"/>
    </xf>
    <xf numFmtId="0" fontId="5" fillId="2" borderId="133" xfId="0" applyFont="1" applyFill="1" applyBorder="1" applyAlignment="1" applyProtection="1">
      <alignment horizontal="center" vertical="center"/>
      <protection hidden="1"/>
    </xf>
    <xf numFmtId="10" fontId="14" fillId="2" borderId="348" xfId="0" applyNumberFormat="1" applyFont="1" applyFill="1" applyBorder="1" applyAlignment="1" applyProtection="1">
      <alignment horizontal="center" vertical="center"/>
      <protection hidden="1"/>
    </xf>
    <xf numFmtId="10" fontId="14" fillId="2" borderId="336" xfId="0" applyNumberFormat="1" applyFont="1" applyFill="1" applyBorder="1" applyAlignment="1" applyProtection="1">
      <alignment horizontal="center" vertical="center"/>
      <protection hidden="1"/>
    </xf>
    <xf numFmtId="10" fontId="14" fillId="2" borderId="338" xfId="0" applyNumberFormat="1" applyFont="1" applyFill="1" applyBorder="1" applyAlignment="1" applyProtection="1">
      <alignment horizontal="center" vertical="center"/>
      <protection hidden="1"/>
    </xf>
    <xf numFmtId="164" fontId="14" fillId="2" borderId="335" xfId="0" applyNumberFormat="1" applyFont="1" applyFill="1" applyBorder="1" applyAlignment="1" applyProtection="1">
      <alignment horizontal="center" vertical="center"/>
      <protection hidden="1"/>
    </xf>
    <xf numFmtId="164" fontId="14" fillId="2" borderId="336" xfId="0" applyNumberFormat="1" applyFont="1" applyFill="1" applyBorder="1" applyAlignment="1" applyProtection="1">
      <alignment horizontal="center" vertical="center"/>
      <protection hidden="1"/>
    </xf>
    <xf numFmtId="164" fontId="14" fillId="2" borderId="339" xfId="0" applyNumberFormat="1" applyFont="1" applyFill="1" applyBorder="1" applyAlignment="1" applyProtection="1">
      <alignment horizontal="center" vertical="center"/>
      <protection hidden="1"/>
    </xf>
    <xf numFmtId="0" fontId="38" fillId="7" borderId="325" xfId="0" applyFont="1" applyFill="1" applyBorder="1" applyAlignment="1" applyProtection="1">
      <alignment horizontal="center" vertical="center"/>
      <protection hidden="1"/>
    </xf>
    <xf numFmtId="0" fontId="5" fillId="2" borderId="349" xfId="0" applyFont="1" applyFill="1" applyBorder="1" applyAlignment="1" applyProtection="1">
      <alignment horizontal="center" vertical="center"/>
      <protection hidden="1"/>
    </xf>
    <xf numFmtId="0" fontId="5" fillId="2" borderId="350" xfId="0" applyFont="1" applyFill="1" applyBorder="1" applyAlignment="1" applyProtection="1">
      <alignment horizontal="center" vertical="center"/>
      <protection hidden="1"/>
    </xf>
    <xf numFmtId="10" fontId="14" fillId="2" borderId="351" xfId="0" applyNumberFormat="1" applyFont="1" applyFill="1" applyBorder="1" applyAlignment="1" applyProtection="1">
      <alignment horizontal="center" vertical="center"/>
      <protection hidden="1"/>
    </xf>
    <xf numFmtId="10" fontId="14" fillId="2" borderId="352" xfId="0" applyNumberFormat="1" applyFont="1" applyFill="1" applyBorder="1" applyAlignment="1" applyProtection="1">
      <alignment horizontal="center" vertical="center"/>
      <protection hidden="1"/>
    </xf>
    <xf numFmtId="10" fontId="14" fillId="2" borderId="353" xfId="0" applyNumberFormat="1" applyFont="1" applyFill="1" applyBorder="1" applyAlignment="1" applyProtection="1">
      <alignment horizontal="center" vertical="center"/>
      <protection hidden="1"/>
    </xf>
    <xf numFmtId="164" fontId="14" fillId="2" borderId="354" xfId="0" applyNumberFormat="1" applyFont="1" applyFill="1" applyBorder="1" applyAlignment="1" applyProtection="1">
      <alignment horizontal="center" vertical="center"/>
      <protection hidden="1"/>
    </xf>
    <xf numFmtId="164" fontId="14" fillId="2" borderId="352" xfId="0" applyNumberFormat="1" applyFont="1" applyFill="1" applyBorder="1" applyAlignment="1" applyProtection="1">
      <alignment horizontal="center" vertical="center"/>
      <protection hidden="1"/>
    </xf>
    <xf numFmtId="164" fontId="14" fillId="2" borderId="355" xfId="0" applyNumberFormat="1" applyFont="1" applyFill="1" applyBorder="1" applyAlignment="1" applyProtection="1">
      <alignment horizontal="center" vertical="center"/>
      <protection hidden="1"/>
    </xf>
    <xf numFmtId="0" fontId="5" fillId="2" borderId="120" xfId="0" applyFont="1" applyFill="1" applyBorder="1" applyAlignment="1">
      <alignment horizontal="left" vertical="center"/>
    </xf>
    <xf numFmtId="0" fontId="5" fillId="2" borderId="121" xfId="0" applyFont="1" applyFill="1" applyBorder="1" applyAlignment="1">
      <alignment horizontal="left" vertical="center"/>
    </xf>
    <xf numFmtId="0" fontId="5" fillId="2" borderId="122" xfId="0" applyFont="1" applyFill="1" applyBorder="1" applyAlignment="1">
      <alignment horizontal="left" vertical="center"/>
    </xf>
    <xf numFmtId="0" fontId="5" fillId="2" borderId="31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120" xfId="0" applyFont="1" applyFill="1" applyBorder="1" applyAlignment="1">
      <alignment horizontal="center" vertical="center"/>
    </xf>
    <xf numFmtId="0" fontId="5" fillId="2" borderId="121" xfId="0" applyFont="1" applyFill="1" applyBorder="1" applyAlignment="1">
      <alignment horizontal="center" vertical="center"/>
    </xf>
    <xf numFmtId="0" fontId="5" fillId="2" borderId="122" xfId="0" applyFont="1" applyFill="1" applyBorder="1" applyAlignment="1">
      <alignment horizontal="center" vertical="center"/>
    </xf>
    <xf numFmtId="0" fontId="1" fillId="6" borderId="302" xfId="0" applyFont="1" applyFill="1" applyBorder="1" applyAlignment="1" applyProtection="1">
      <alignment vertical="center"/>
      <protection hidden="1"/>
    </xf>
    <xf numFmtId="0" fontId="1" fillId="2" borderId="171" xfId="0" applyFont="1" applyFill="1" applyBorder="1" applyAlignment="1">
      <alignment vertical="center"/>
    </xf>
    <xf numFmtId="0" fontId="5" fillId="4" borderId="132" xfId="0" applyFont="1" applyFill="1" applyBorder="1" applyAlignment="1">
      <alignment horizontal="center" vertical="center"/>
    </xf>
    <xf numFmtId="164" fontId="5" fillId="4" borderId="32" xfId="0" applyNumberFormat="1" applyFont="1" applyFill="1" applyBorder="1" applyAlignment="1">
      <alignment horizontal="center" vertical="center"/>
    </xf>
    <xf numFmtId="164" fontId="5" fillId="4" borderId="33" xfId="0" applyNumberFormat="1" applyFont="1" applyFill="1" applyBorder="1" applyAlignment="1">
      <alignment horizontal="center" vertical="center"/>
    </xf>
    <xf numFmtId="164" fontId="5" fillId="4" borderId="31" xfId="0" applyNumberFormat="1" applyFont="1" applyFill="1" applyBorder="1" applyAlignment="1">
      <alignment horizontal="center" vertical="center"/>
    </xf>
    <xf numFmtId="0" fontId="42" fillId="2" borderId="0" xfId="0" applyFont="1" applyFill="1" applyAlignment="1">
      <alignment vertical="center"/>
    </xf>
    <xf numFmtId="0" fontId="43" fillId="2" borderId="0" xfId="0" applyFont="1" applyFill="1" applyAlignment="1">
      <alignment vertical="center"/>
    </xf>
    <xf numFmtId="164" fontId="1" fillId="2" borderId="0" xfId="0" applyNumberFormat="1" applyFont="1" applyFill="1" applyAlignment="1" applyProtection="1">
      <alignment vertical="center"/>
      <protection hidden="1"/>
    </xf>
    <xf numFmtId="0" fontId="1" fillId="2" borderId="330" xfId="0" applyFont="1" applyFill="1" applyBorder="1" applyAlignment="1">
      <alignment vertical="center"/>
    </xf>
    <xf numFmtId="0" fontId="1" fillId="2" borderId="346" xfId="0" applyFont="1" applyFill="1" applyBorder="1" applyAlignment="1">
      <alignment horizontal="left" vertical="center" shrinkToFit="1"/>
    </xf>
    <xf numFmtId="164" fontId="1" fillId="2" borderId="346" xfId="0" applyNumberFormat="1" applyFont="1" applyFill="1" applyBorder="1" applyAlignment="1">
      <alignment vertical="center"/>
    </xf>
    <xf numFmtId="164" fontId="5" fillId="2" borderId="356" xfId="0" applyNumberFormat="1" applyFont="1" applyFill="1" applyBorder="1" applyAlignment="1">
      <alignment horizontal="center" vertical="center"/>
    </xf>
    <xf numFmtId="164" fontId="5" fillId="2" borderId="357" xfId="0" applyNumberFormat="1" applyFont="1" applyFill="1" applyBorder="1" applyAlignment="1">
      <alignment horizontal="center" vertical="center"/>
    </xf>
    <xf numFmtId="164" fontId="5" fillId="2" borderId="358" xfId="0" applyNumberFormat="1" applyFont="1" applyFill="1" applyBorder="1" applyAlignment="1">
      <alignment horizontal="center" vertical="center"/>
    </xf>
    <xf numFmtId="164" fontId="1" fillId="2" borderId="323" xfId="0" applyNumberFormat="1" applyFont="1" applyFill="1" applyBorder="1" applyAlignment="1">
      <alignment horizontal="center" vertical="center"/>
    </xf>
    <xf numFmtId="164" fontId="1" fillId="2" borderId="324" xfId="0" applyNumberFormat="1" applyFont="1" applyFill="1" applyBorder="1" applyAlignment="1">
      <alignment horizontal="center" vertical="center"/>
    </xf>
    <xf numFmtId="164" fontId="1" fillId="2" borderId="359" xfId="0" applyNumberFormat="1" applyFont="1" applyFill="1" applyBorder="1" applyAlignment="1">
      <alignment horizontal="center" vertical="center"/>
    </xf>
    <xf numFmtId="0" fontId="1" fillId="2" borderId="360" xfId="0" applyFont="1" applyFill="1" applyBorder="1" applyAlignment="1">
      <alignment horizontal="left" vertical="center" shrinkToFit="1"/>
    </xf>
    <xf numFmtId="164" fontId="1" fillId="2" borderId="360" xfId="0" applyNumberFormat="1" applyFont="1" applyFill="1" applyBorder="1" applyAlignment="1">
      <alignment vertical="center"/>
    </xf>
    <xf numFmtId="164" fontId="5" fillId="2" borderId="361" xfId="0" applyNumberFormat="1" applyFont="1" applyFill="1" applyBorder="1" applyAlignment="1">
      <alignment horizontal="center" vertical="center"/>
    </xf>
    <xf numFmtId="164" fontId="5" fillId="2" borderId="362" xfId="0" applyNumberFormat="1" applyFont="1" applyFill="1" applyBorder="1" applyAlignment="1">
      <alignment horizontal="center" vertical="center"/>
    </xf>
    <xf numFmtId="164" fontId="5" fillId="2" borderId="363" xfId="0" applyNumberFormat="1" applyFont="1" applyFill="1" applyBorder="1" applyAlignment="1">
      <alignment horizontal="center" vertical="center"/>
    </xf>
    <xf numFmtId="164" fontId="1" fillId="2" borderId="361" xfId="0" applyNumberFormat="1" applyFont="1" applyFill="1" applyBorder="1" applyAlignment="1">
      <alignment horizontal="center" vertical="center"/>
    </xf>
    <xf numFmtId="164" fontId="1" fillId="2" borderId="362" xfId="0" applyNumberFormat="1" applyFont="1" applyFill="1" applyBorder="1" applyAlignment="1">
      <alignment horizontal="center" vertical="center"/>
    </xf>
    <xf numFmtId="164" fontId="1" fillId="2" borderId="363" xfId="0" applyNumberFormat="1" applyFont="1" applyFill="1" applyBorder="1" applyAlignment="1">
      <alignment horizontal="center" vertical="center"/>
    </xf>
    <xf numFmtId="49" fontId="28" fillId="2" borderId="0" xfId="0" applyNumberFormat="1" applyFont="1" applyFill="1" applyAlignment="1" applyProtection="1">
      <alignment horizontal="center" vertical="center" wrapText="1"/>
      <protection hidden="1"/>
    </xf>
    <xf numFmtId="164" fontId="5" fillId="2" borderId="170" xfId="0" applyNumberFormat="1" applyFont="1" applyFill="1" applyBorder="1" applyAlignment="1" applyProtection="1">
      <alignment horizontal="center" vertical="center"/>
      <protection hidden="1"/>
    </xf>
    <xf numFmtId="0" fontId="5" fillId="2" borderId="170" xfId="0" applyFont="1" applyFill="1" applyBorder="1" applyAlignment="1" applyProtection="1">
      <alignment horizontal="center" vertical="center"/>
      <protection hidden="1"/>
    </xf>
    <xf numFmtId="165" fontId="1" fillId="2" borderId="360" xfId="0" applyNumberFormat="1" applyFont="1" applyFill="1" applyBorder="1" applyAlignment="1">
      <alignment vertical="center"/>
    </xf>
    <xf numFmtId="165" fontId="1" fillId="2" borderId="361" xfId="0" applyNumberFormat="1" applyFont="1" applyFill="1" applyBorder="1" applyAlignment="1">
      <alignment horizontal="right" vertical="center"/>
    </xf>
    <xf numFmtId="165" fontId="1" fillId="2" borderId="362" xfId="0" applyNumberFormat="1" applyFont="1" applyFill="1" applyBorder="1" applyAlignment="1">
      <alignment horizontal="right" vertical="center"/>
    </xf>
    <xf numFmtId="165" fontId="1" fillId="2" borderId="363" xfId="0" applyNumberFormat="1" applyFont="1" applyFill="1" applyBorder="1" applyAlignment="1">
      <alignment horizontal="right" vertical="center"/>
    </xf>
    <xf numFmtId="164" fontId="5" fillId="8" borderId="170" xfId="0" applyNumberFormat="1" applyFont="1" applyFill="1" applyBorder="1" applyAlignment="1" applyProtection="1">
      <alignment horizontal="center" vertical="center"/>
      <protection hidden="1"/>
    </xf>
    <xf numFmtId="164" fontId="1" fillId="2" borderId="0" xfId="0" applyNumberFormat="1" applyFont="1" applyFill="1" applyAlignment="1" applyProtection="1">
      <alignment horizontal="center" vertical="center"/>
      <protection hidden="1"/>
    </xf>
    <xf numFmtId="0" fontId="1" fillId="2" borderId="361" xfId="0" applyFont="1" applyFill="1" applyBorder="1" applyAlignment="1">
      <alignment horizontal="left" vertical="center" shrinkToFit="1"/>
    </xf>
    <xf numFmtId="0" fontId="1" fillId="2" borderId="362" xfId="0" applyFont="1" applyFill="1" applyBorder="1" applyAlignment="1">
      <alignment horizontal="left" vertical="center" shrinkToFit="1"/>
    </xf>
    <xf numFmtId="0" fontId="1" fillId="2" borderId="363" xfId="0" applyFont="1" applyFill="1" applyBorder="1" applyAlignment="1">
      <alignment horizontal="left" vertical="center" shrinkToFit="1"/>
    </xf>
    <xf numFmtId="164" fontId="1" fillId="2" borderId="121" xfId="0" applyNumberFormat="1" applyFont="1" applyFill="1" applyBorder="1" applyAlignment="1" applyProtection="1">
      <alignment horizontal="center" vertical="center"/>
      <protection hidden="1"/>
    </xf>
    <xf numFmtId="9" fontId="1" fillId="2" borderId="121" xfId="0" applyNumberFormat="1" applyFont="1" applyFill="1" applyBorder="1" applyAlignment="1" applyProtection="1">
      <alignment horizontal="center" vertical="center"/>
      <protection hidden="1"/>
    </xf>
    <xf numFmtId="0" fontId="1" fillId="2" borderId="121" xfId="0" applyFont="1" applyFill="1" applyBorder="1" applyAlignment="1" applyProtection="1">
      <alignment horizontal="center" vertical="center"/>
      <protection hidden="1"/>
    </xf>
    <xf numFmtId="0" fontId="2" fillId="2" borderId="360" xfId="0" applyFont="1" applyFill="1" applyBorder="1" applyAlignment="1">
      <alignment horizontal="left" vertical="center" shrinkToFit="1"/>
    </xf>
    <xf numFmtId="164" fontId="41" fillId="2" borderId="361" xfId="0" applyNumberFormat="1" applyFont="1" applyFill="1" applyBorder="1" applyAlignment="1">
      <alignment horizontal="center" vertical="center"/>
    </xf>
    <xf numFmtId="164" fontId="41" fillId="2" borderId="362" xfId="0" applyNumberFormat="1" applyFont="1" applyFill="1" applyBorder="1" applyAlignment="1">
      <alignment horizontal="center" vertical="center"/>
    </xf>
    <xf numFmtId="164" fontId="41" fillId="2" borderId="363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Alignment="1" applyProtection="1">
      <alignment vertical="center"/>
      <protection hidden="1"/>
    </xf>
    <xf numFmtId="0" fontId="2" fillId="2" borderId="361" xfId="0" applyFont="1" applyFill="1" applyBorder="1" applyAlignment="1">
      <alignment horizontal="left" vertical="center" shrinkToFit="1"/>
    </xf>
    <xf numFmtId="0" fontId="2" fillId="2" borderId="362" xfId="0" applyFont="1" applyFill="1" applyBorder="1" applyAlignment="1">
      <alignment horizontal="left" vertical="center" shrinkToFit="1"/>
    </xf>
    <xf numFmtId="0" fontId="2" fillId="2" borderId="363" xfId="0" applyFont="1" applyFill="1" applyBorder="1" applyAlignment="1">
      <alignment horizontal="left" vertical="center" shrinkToFit="1"/>
    </xf>
    <xf numFmtId="164" fontId="1" fillId="2" borderId="361" xfId="0" applyNumberFormat="1" applyFont="1" applyFill="1" applyBorder="1" applyAlignment="1">
      <alignment vertical="center"/>
    </xf>
    <xf numFmtId="164" fontId="1" fillId="2" borderId="362" xfId="0" applyNumberFormat="1" applyFont="1" applyFill="1" applyBorder="1" applyAlignment="1">
      <alignment vertical="center"/>
    </xf>
    <xf numFmtId="164" fontId="1" fillId="2" borderId="363" xfId="0" applyNumberFormat="1" applyFont="1" applyFill="1" applyBorder="1" applyAlignment="1">
      <alignment vertical="center"/>
    </xf>
    <xf numFmtId="0" fontId="1" fillId="2" borderId="322" xfId="0" applyFont="1" applyFill="1" applyBorder="1" applyAlignment="1">
      <alignment vertical="center"/>
    </xf>
    <xf numFmtId="0" fontId="2" fillId="2" borderId="322" xfId="0" applyFont="1" applyFill="1" applyBorder="1" applyAlignment="1">
      <alignment horizontal="left" vertical="center" shrinkToFit="1"/>
    </xf>
    <xf numFmtId="164" fontId="1" fillId="2" borderId="322" xfId="0" applyNumberFormat="1" applyFont="1" applyFill="1" applyBorder="1" applyAlignment="1">
      <alignment vertical="center"/>
    </xf>
    <xf numFmtId="164" fontId="41" fillId="2" borderId="131" xfId="0" applyNumberFormat="1" applyFont="1" applyFill="1" applyBorder="1" applyAlignment="1">
      <alignment horizontal="center" vertical="center"/>
    </xf>
    <xf numFmtId="164" fontId="41" fillId="2" borderId="132" xfId="0" applyNumberFormat="1" applyFont="1" applyFill="1" applyBorder="1" applyAlignment="1">
      <alignment horizontal="center" vertical="center"/>
    </xf>
    <xf numFmtId="164" fontId="41" fillId="2" borderId="133" xfId="0" applyNumberFormat="1" applyFont="1" applyFill="1" applyBorder="1" applyAlignment="1">
      <alignment horizontal="center" vertical="center"/>
    </xf>
    <xf numFmtId="164" fontId="1" fillId="2" borderId="131" xfId="0" applyNumberFormat="1" applyFont="1" applyFill="1" applyBorder="1" applyAlignment="1">
      <alignment horizontal="center" vertical="center"/>
    </xf>
    <xf numFmtId="164" fontId="1" fillId="2" borderId="132" xfId="0" applyNumberFormat="1" applyFont="1" applyFill="1" applyBorder="1" applyAlignment="1">
      <alignment horizontal="center" vertical="center"/>
    </xf>
    <xf numFmtId="164" fontId="1" fillId="2" borderId="133" xfId="0" applyNumberFormat="1" applyFont="1" applyFill="1" applyBorder="1" applyAlignment="1">
      <alignment horizontal="center" vertical="center"/>
    </xf>
    <xf numFmtId="164" fontId="5" fillId="2" borderId="170" xfId="0" applyNumberFormat="1" applyFont="1" applyFill="1" applyBorder="1" applyAlignment="1">
      <alignment horizontal="left" vertical="center"/>
    </xf>
    <xf numFmtId="176" fontId="1" fillId="2" borderId="0" xfId="0" applyNumberFormat="1" applyFont="1" applyFill="1" applyAlignment="1" applyProtection="1">
      <alignment horizontal="center" vertical="center"/>
      <protection hidden="1"/>
    </xf>
    <xf numFmtId="165" fontId="2" fillId="2" borderId="0" xfId="0" applyNumberFormat="1" applyFont="1" applyFill="1" applyAlignment="1">
      <alignment vertical="center"/>
    </xf>
    <xf numFmtId="0" fontId="1" fillId="2" borderId="140" xfId="0" applyFont="1" applyFill="1" applyBorder="1" applyAlignment="1">
      <alignment horizontal="center" vertical="center"/>
    </xf>
    <xf numFmtId="9" fontId="1" fillId="2" borderId="0" xfId="0" applyNumberFormat="1" applyFont="1" applyFill="1" applyAlignment="1" applyProtection="1">
      <alignment vertical="center"/>
      <protection hidden="1"/>
    </xf>
    <xf numFmtId="165" fontId="1" fillId="2" borderId="0" xfId="0" applyNumberFormat="1" applyFont="1" applyFill="1" applyAlignment="1">
      <alignment vertical="center"/>
    </xf>
    <xf numFmtId="10" fontId="2" fillId="2" borderId="0" xfId="0" applyNumberFormat="1" applyFont="1" applyFill="1" applyAlignment="1">
      <alignment vertical="center"/>
    </xf>
    <xf numFmtId="10" fontId="2" fillId="2" borderId="0" xfId="0" applyNumberFormat="1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44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6" fillId="2" borderId="0" xfId="0" applyFont="1" applyFill="1" applyAlignment="1">
      <alignment horizontal="left" vertical="center"/>
    </xf>
    <xf numFmtId="0" fontId="5" fillId="7" borderId="364" xfId="0" applyFont="1" applyFill="1" applyBorder="1" applyAlignment="1">
      <alignment horizontal="center" vertical="center"/>
    </xf>
    <xf numFmtId="0" fontId="5" fillId="7" borderId="365" xfId="0" applyFont="1" applyFill="1" applyBorder="1" applyAlignment="1">
      <alignment horizontal="center" vertical="center"/>
    </xf>
    <xf numFmtId="0" fontId="5" fillId="7" borderId="366" xfId="0" applyFont="1" applyFill="1" applyBorder="1" applyAlignment="1">
      <alignment horizontal="center" vertical="center"/>
    </xf>
    <xf numFmtId="0" fontId="1" fillId="2" borderId="364" xfId="0" applyFont="1" applyFill="1" applyBorder="1" applyAlignment="1">
      <alignment horizontal="center" vertical="center"/>
    </xf>
    <xf numFmtId="0" fontId="1" fillId="2" borderId="365" xfId="0" applyFont="1" applyFill="1" applyBorder="1" applyAlignment="1">
      <alignment horizontal="center" vertical="center"/>
    </xf>
    <xf numFmtId="0" fontId="1" fillId="2" borderId="366" xfId="0" applyFont="1" applyFill="1" applyBorder="1" applyAlignment="1">
      <alignment horizontal="center" vertical="center"/>
    </xf>
    <xf numFmtId="0" fontId="5" fillId="7" borderId="367" xfId="0" applyFont="1" applyFill="1" applyBorder="1" applyAlignment="1">
      <alignment horizontal="center" vertical="center" wrapText="1"/>
    </xf>
    <xf numFmtId="0" fontId="5" fillId="7" borderId="367" xfId="0" applyFont="1" applyFill="1" applyBorder="1" applyAlignment="1">
      <alignment horizontal="center" vertical="center"/>
    </xf>
    <xf numFmtId="164" fontId="2" fillId="15" borderId="367" xfId="0" applyNumberFormat="1" applyFont="1" applyFill="1" applyBorder="1" applyAlignment="1">
      <alignment horizontal="center" vertical="center"/>
    </xf>
    <xf numFmtId="164" fontId="1" fillId="2" borderId="368" xfId="0" applyNumberFormat="1" applyFont="1" applyFill="1" applyBorder="1" applyAlignment="1">
      <alignment horizontal="center" vertical="center"/>
    </xf>
    <xf numFmtId="164" fontId="1" fillId="2" borderId="369" xfId="0" applyNumberFormat="1" applyFont="1" applyFill="1" applyBorder="1" applyAlignment="1">
      <alignment horizontal="center" vertical="center"/>
    </xf>
    <xf numFmtId="164" fontId="1" fillId="2" borderId="370" xfId="0" applyNumberFormat="1" applyFont="1" applyFill="1" applyBorder="1" applyAlignment="1">
      <alignment horizontal="center" vertical="center"/>
    </xf>
    <xf numFmtId="0" fontId="5" fillId="7" borderId="371" xfId="0" applyFont="1" applyFill="1" applyBorder="1" applyAlignment="1">
      <alignment horizontal="center" vertical="center"/>
    </xf>
    <xf numFmtId="0" fontId="5" fillId="7" borderId="372" xfId="0" applyFont="1" applyFill="1" applyBorder="1" applyAlignment="1">
      <alignment horizontal="center" vertical="center"/>
    </xf>
    <xf numFmtId="0" fontId="5" fillId="7" borderId="373" xfId="0" applyFont="1" applyFill="1" applyBorder="1" applyAlignment="1">
      <alignment horizontal="center" vertical="center"/>
    </xf>
    <xf numFmtId="0" fontId="1" fillId="2" borderId="371" xfId="0" applyFont="1" applyFill="1" applyBorder="1" applyAlignment="1">
      <alignment horizontal="center" vertical="center"/>
    </xf>
    <xf numFmtId="0" fontId="1" fillId="2" borderId="372" xfId="0" applyFont="1" applyFill="1" applyBorder="1" applyAlignment="1">
      <alignment horizontal="center" vertical="center"/>
    </xf>
    <xf numFmtId="0" fontId="1" fillId="2" borderId="373" xfId="0" applyFont="1" applyFill="1" applyBorder="1" applyAlignment="1">
      <alignment horizontal="center" vertical="center"/>
    </xf>
    <xf numFmtId="0" fontId="2" fillId="15" borderId="367" xfId="0" applyFont="1" applyFill="1" applyBorder="1" applyAlignment="1">
      <alignment horizontal="center" vertical="center"/>
    </xf>
    <xf numFmtId="167" fontId="1" fillId="2" borderId="368" xfId="0" applyNumberFormat="1" applyFont="1" applyFill="1" applyBorder="1" applyAlignment="1">
      <alignment horizontal="center" vertical="center"/>
    </xf>
    <xf numFmtId="167" fontId="1" fillId="2" borderId="369" xfId="0" applyNumberFormat="1" applyFont="1" applyFill="1" applyBorder="1" applyAlignment="1">
      <alignment horizontal="center" vertical="center"/>
    </xf>
    <xf numFmtId="167" fontId="1" fillId="2" borderId="370" xfId="0" applyNumberFormat="1" applyFont="1" applyFill="1" applyBorder="1" applyAlignment="1">
      <alignment horizontal="center" vertical="center"/>
    </xf>
    <xf numFmtId="0" fontId="5" fillId="7" borderId="368" xfId="0" applyFont="1" applyFill="1" applyBorder="1" applyAlignment="1">
      <alignment horizontal="center" vertical="center"/>
    </xf>
    <xf numFmtId="0" fontId="5" fillId="7" borderId="369" xfId="0" applyFont="1" applyFill="1" applyBorder="1" applyAlignment="1">
      <alignment horizontal="center" vertical="center"/>
    </xf>
    <xf numFmtId="0" fontId="5" fillId="7" borderId="370" xfId="0" applyFont="1" applyFill="1" applyBorder="1" applyAlignment="1">
      <alignment horizontal="center" vertical="center"/>
    </xf>
    <xf numFmtId="0" fontId="1" fillId="2" borderId="368" xfId="0" applyFont="1" applyFill="1" applyBorder="1" applyAlignment="1">
      <alignment horizontal="center" vertical="center" shrinkToFit="1"/>
    </xf>
    <xf numFmtId="0" fontId="1" fillId="2" borderId="369" xfId="0" applyFont="1" applyFill="1" applyBorder="1" applyAlignment="1">
      <alignment horizontal="center" vertical="center" shrinkToFit="1"/>
    </xf>
    <xf numFmtId="0" fontId="1" fillId="2" borderId="370" xfId="0" applyFont="1" applyFill="1" applyBorder="1" applyAlignment="1">
      <alignment horizontal="center" vertical="center" shrinkToFit="1"/>
    </xf>
    <xf numFmtId="164" fontId="1" fillId="2" borderId="368" xfId="0" applyNumberFormat="1" applyFont="1" applyFill="1" applyBorder="1" applyAlignment="1">
      <alignment horizontal="center" vertical="center" shrinkToFit="1"/>
    </xf>
    <xf numFmtId="164" fontId="1" fillId="2" borderId="364" xfId="0" applyNumberFormat="1" applyFont="1" applyFill="1" applyBorder="1" applyAlignment="1">
      <alignment horizontal="center" vertical="center" shrinkToFit="1"/>
    </xf>
    <xf numFmtId="164" fontId="1" fillId="2" borderId="365" xfId="0" applyNumberFormat="1" applyFont="1" applyFill="1" applyBorder="1" applyAlignment="1">
      <alignment horizontal="center" vertical="center" shrinkToFit="1"/>
    </xf>
    <xf numFmtId="164" fontId="1" fillId="2" borderId="366" xfId="0" applyNumberFormat="1" applyFont="1" applyFill="1" applyBorder="1" applyAlignment="1">
      <alignment horizontal="center" vertical="center" shrinkToFit="1"/>
    </xf>
    <xf numFmtId="164" fontId="1" fillId="2" borderId="371" xfId="0" applyNumberFormat="1" applyFont="1" applyFill="1" applyBorder="1" applyAlignment="1">
      <alignment horizontal="center" vertical="center" shrinkToFit="1"/>
    </xf>
    <xf numFmtId="164" fontId="1" fillId="2" borderId="372" xfId="0" applyNumberFormat="1" applyFont="1" applyFill="1" applyBorder="1" applyAlignment="1">
      <alignment horizontal="center" vertical="center" shrinkToFit="1"/>
    </xf>
    <xf numFmtId="164" fontId="1" fillId="2" borderId="373" xfId="0" applyNumberFormat="1" applyFont="1" applyFill="1" applyBorder="1" applyAlignment="1">
      <alignment horizontal="center" vertical="center" shrinkToFit="1"/>
    </xf>
    <xf numFmtId="170" fontId="1" fillId="2" borderId="368" xfId="0" applyNumberFormat="1" applyFont="1" applyFill="1" applyBorder="1" applyAlignment="1">
      <alignment horizontal="center" vertical="center" shrinkToFit="1"/>
    </xf>
    <xf numFmtId="164" fontId="1" fillId="2" borderId="367" xfId="0" applyNumberFormat="1" applyFont="1" applyFill="1" applyBorder="1" applyAlignment="1">
      <alignment horizontal="center" vertical="center" shrinkToFit="1"/>
    </xf>
    <xf numFmtId="0" fontId="1" fillId="2" borderId="367" xfId="0" applyFont="1" applyFill="1" applyBorder="1" applyAlignment="1">
      <alignment horizontal="center" vertical="center" shrinkToFit="1"/>
    </xf>
    <xf numFmtId="0" fontId="5" fillId="7" borderId="368" xfId="0" applyFont="1" applyFill="1" applyBorder="1" applyAlignment="1">
      <alignment horizontal="center" vertical="center" shrinkToFit="1"/>
    </xf>
    <xf numFmtId="0" fontId="5" fillId="7" borderId="369" xfId="0" applyFont="1" applyFill="1" applyBorder="1" applyAlignment="1">
      <alignment horizontal="center" vertical="center" shrinkToFit="1"/>
    </xf>
    <xf numFmtId="0" fontId="5" fillId="7" borderId="370" xfId="0" applyFont="1" applyFill="1" applyBorder="1" applyAlignment="1">
      <alignment horizontal="center" vertical="center" shrinkToFit="1"/>
    </xf>
    <xf numFmtId="164" fontId="1" fillId="2" borderId="369" xfId="0" applyNumberFormat="1" applyFont="1" applyFill="1" applyBorder="1" applyAlignment="1">
      <alignment horizontal="center" vertical="center" shrinkToFit="1"/>
    </xf>
    <xf numFmtId="164" fontId="1" fillId="2" borderId="370" xfId="0" applyNumberFormat="1" applyFont="1" applyFill="1" applyBorder="1" applyAlignment="1">
      <alignment horizontal="center" vertical="center" shrinkToFit="1"/>
    </xf>
    <xf numFmtId="0" fontId="5" fillId="7" borderId="368" xfId="0" applyFont="1" applyFill="1" applyBorder="1" applyAlignment="1" applyProtection="1">
      <alignment horizontal="center" vertical="center"/>
      <protection hidden="1"/>
    </xf>
    <xf numFmtId="0" fontId="5" fillId="7" borderId="369" xfId="0" applyFont="1" applyFill="1" applyBorder="1" applyAlignment="1" applyProtection="1">
      <alignment horizontal="center" vertical="center"/>
      <protection hidden="1"/>
    </xf>
    <xf numFmtId="0" fontId="5" fillId="7" borderId="370" xfId="0" applyFont="1" applyFill="1" applyBorder="1" applyAlignment="1" applyProtection="1">
      <alignment horizontal="center" vertical="center"/>
      <protection hidden="1"/>
    </xf>
    <xf numFmtId="0" fontId="1" fillId="15" borderId="368" xfId="0" applyFont="1" applyFill="1" applyBorder="1" applyAlignment="1" applyProtection="1">
      <alignment horizontal="center" vertical="center"/>
      <protection hidden="1"/>
    </xf>
    <xf numFmtId="0" fontId="1" fillId="15" borderId="369" xfId="0" applyFont="1" applyFill="1" applyBorder="1" applyAlignment="1" applyProtection="1">
      <alignment horizontal="center" vertical="center"/>
      <protection hidden="1"/>
    </xf>
    <xf numFmtId="0" fontId="1" fillId="2" borderId="368" xfId="0" applyFont="1" applyFill="1" applyBorder="1" applyAlignment="1" applyProtection="1">
      <alignment horizontal="center" vertical="center" shrinkToFit="1"/>
      <protection hidden="1"/>
    </xf>
    <xf numFmtId="0" fontId="1" fillId="2" borderId="369" xfId="0" applyFont="1" applyFill="1" applyBorder="1" applyAlignment="1" applyProtection="1">
      <alignment horizontal="center" vertical="center" shrinkToFit="1"/>
      <protection hidden="1"/>
    </xf>
    <xf numFmtId="0" fontId="1" fillId="2" borderId="374" xfId="0" applyFont="1" applyFill="1" applyBorder="1" applyAlignment="1" applyProtection="1">
      <alignment horizontal="center" vertical="center" shrinkToFit="1"/>
      <protection hidden="1"/>
    </xf>
    <xf numFmtId="9" fontId="1" fillId="2" borderId="369" xfId="0" applyNumberFormat="1" applyFont="1" applyFill="1" applyBorder="1" applyAlignment="1" applyProtection="1">
      <alignment horizontal="center" vertical="center" shrinkToFit="1"/>
      <protection hidden="1"/>
    </xf>
    <xf numFmtId="0" fontId="1" fillId="2" borderId="370" xfId="0" applyFont="1" applyFill="1" applyBorder="1" applyAlignment="1" applyProtection="1">
      <alignment horizontal="center" vertical="center" shrinkToFit="1"/>
      <protection hidden="1"/>
    </xf>
    <xf numFmtId="164" fontId="1" fillId="2" borderId="368" xfId="0" applyNumberFormat="1" applyFont="1" applyFill="1" applyBorder="1" applyAlignment="1" applyProtection="1">
      <alignment horizontal="center" vertical="center" shrinkToFit="1"/>
      <protection hidden="1"/>
    </xf>
    <xf numFmtId="0" fontId="1" fillId="15" borderId="370" xfId="0" applyFont="1" applyFill="1" applyBorder="1" applyAlignment="1" applyProtection="1">
      <alignment horizontal="center" vertical="center"/>
      <protection hidden="1"/>
    </xf>
    <xf numFmtId="164" fontId="1" fillId="2" borderId="369" xfId="0" applyNumberFormat="1" applyFont="1" applyFill="1" applyBorder="1" applyAlignment="1" applyProtection="1">
      <alignment horizontal="center" vertical="center" shrinkToFit="1"/>
      <protection hidden="1"/>
    </xf>
    <xf numFmtId="164" fontId="1" fillId="2" borderId="370" xfId="0" applyNumberFormat="1" applyFont="1" applyFill="1" applyBorder="1" applyAlignment="1" applyProtection="1">
      <alignment horizontal="center" vertical="center" shrinkToFit="1"/>
      <protection hidden="1"/>
    </xf>
    <xf numFmtId="0" fontId="5" fillId="7" borderId="368" xfId="0" applyFont="1" applyFill="1" applyBorder="1" applyAlignment="1" applyProtection="1">
      <alignment horizontal="center" vertical="center" shrinkToFit="1"/>
      <protection hidden="1"/>
    </xf>
    <xf numFmtId="0" fontId="5" fillId="7" borderId="369" xfId="0" applyFont="1" applyFill="1" applyBorder="1" applyAlignment="1" applyProtection="1">
      <alignment horizontal="center" vertical="center" shrinkToFit="1"/>
      <protection hidden="1"/>
    </xf>
    <xf numFmtId="0" fontId="5" fillId="7" borderId="370" xfId="0" applyFont="1" applyFill="1" applyBorder="1" applyAlignment="1" applyProtection="1">
      <alignment horizontal="center" vertical="center" shrinkToFit="1"/>
      <protection hidden="1"/>
    </xf>
    <xf numFmtId="0" fontId="1" fillId="15" borderId="368" xfId="0" applyFont="1" applyFill="1" applyBorder="1" applyAlignment="1">
      <alignment horizontal="center" vertical="center"/>
    </xf>
    <xf numFmtId="0" fontId="1" fillId="15" borderId="369" xfId="0" applyFont="1" applyFill="1" applyBorder="1" applyAlignment="1">
      <alignment horizontal="center" vertical="center"/>
    </xf>
    <xf numFmtId="0" fontId="1" fillId="15" borderId="370" xfId="0" applyFont="1" applyFill="1" applyBorder="1" applyAlignment="1">
      <alignment horizontal="center" vertical="center"/>
    </xf>
    <xf numFmtId="164" fontId="1" fillId="2" borderId="368" xfId="0" applyNumberFormat="1" applyFont="1" applyFill="1" applyBorder="1" applyAlignment="1" applyProtection="1">
      <alignment horizontal="center" vertical="center" shrinkToFit="1"/>
      <protection locked="0"/>
    </xf>
    <xf numFmtId="164" fontId="1" fillId="2" borderId="369" xfId="0" applyNumberFormat="1" applyFont="1" applyFill="1" applyBorder="1" applyAlignment="1" applyProtection="1">
      <alignment horizontal="center" vertical="center" shrinkToFit="1"/>
      <protection locked="0"/>
    </xf>
    <xf numFmtId="164" fontId="1" fillId="2" borderId="370" xfId="0" applyNumberFormat="1" applyFont="1" applyFill="1" applyBorder="1" applyAlignment="1" applyProtection="1">
      <alignment horizontal="center" vertical="center" shrinkToFit="1"/>
      <protection locked="0"/>
    </xf>
    <xf numFmtId="0" fontId="1" fillId="15" borderId="367" xfId="0" applyFont="1" applyFill="1" applyBorder="1" applyAlignment="1">
      <alignment horizontal="center" vertical="center"/>
    </xf>
    <xf numFmtId="167" fontId="1" fillId="2" borderId="367" xfId="0" applyNumberFormat="1" applyFont="1" applyFill="1" applyBorder="1" applyAlignment="1" applyProtection="1">
      <alignment horizontal="center" vertical="center" shrinkToFit="1"/>
      <protection locked="0"/>
    </xf>
    <xf numFmtId="167" fontId="1" fillId="2" borderId="368" xfId="0" applyNumberFormat="1" applyFont="1" applyFill="1" applyBorder="1" applyAlignment="1" applyProtection="1">
      <alignment horizontal="center" vertical="center" shrinkToFit="1"/>
      <protection locked="0"/>
    </xf>
    <xf numFmtId="167" fontId="1" fillId="2" borderId="369" xfId="0" applyNumberFormat="1" applyFont="1" applyFill="1" applyBorder="1" applyAlignment="1" applyProtection="1">
      <alignment horizontal="center" vertical="center" shrinkToFit="1"/>
      <protection locked="0"/>
    </xf>
    <xf numFmtId="167" fontId="1" fillId="2" borderId="370" xfId="0" applyNumberFormat="1" applyFont="1" applyFill="1" applyBorder="1" applyAlignment="1" applyProtection="1">
      <alignment horizontal="center" vertical="center" shrinkToFit="1"/>
      <protection locked="0"/>
    </xf>
    <xf numFmtId="0" fontId="1" fillId="2" borderId="368" xfId="0" applyFont="1" applyFill="1" applyBorder="1" applyAlignment="1" applyProtection="1">
      <alignment horizontal="left" vertical="center" shrinkToFit="1"/>
      <protection locked="0"/>
    </xf>
    <xf numFmtId="0" fontId="1" fillId="2" borderId="369" xfId="0" applyFont="1" applyFill="1" applyBorder="1" applyAlignment="1" applyProtection="1">
      <alignment horizontal="left" vertical="center" shrinkToFit="1"/>
      <protection locked="0"/>
    </xf>
    <xf numFmtId="0" fontId="1" fillId="2" borderId="370" xfId="0" applyFont="1" applyFill="1" applyBorder="1" applyAlignment="1" applyProtection="1">
      <alignment horizontal="left" vertical="center" shrinkToFit="1"/>
      <protection locked="0"/>
    </xf>
    <xf numFmtId="0" fontId="45" fillId="2" borderId="0" xfId="0" applyFont="1" applyFill="1" applyAlignment="1">
      <alignment horizontal="center" vertical="center"/>
    </xf>
    <xf numFmtId="0" fontId="46" fillId="2" borderId="0" xfId="0" applyFont="1" applyFill="1" applyAlignment="1">
      <alignment horizontal="center" vertical="center"/>
    </xf>
    <xf numFmtId="177" fontId="20" fillId="2" borderId="0" xfId="0" applyNumberFormat="1" applyFont="1" applyFill="1" applyAlignment="1" applyProtection="1">
      <alignment horizontal="right" vertical="center"/>
      <protection locked="0"/>
    </xf>
    <xf numFmtId="177" fontId="21" fillId="2" borderId="0" xfId="0" applyNumberFormat="1" applyFont="1" applyFill="1" applyAlignment="1" applyProtection="1">
      <alignment horizontal="right" vertical="center"/>
      <protection locked="0"/>
    </xf>
    <xf numFmtId="0" fontId="20" fillId="2" borderId="0" xfId="0" applyFont="1" applyFill="1" applyAlignment="1">
      <alignment horizontal="right" vertical="center"/>
    </xf>
    <xf numFmtId="0" fontId="21" fillId="2" borderId="0" xfId="0" applyFont="1" applyFill="1" applyAlignment="1">
      <alignment horizontal="right" vertical="center"/>
    </xf>
    <xf numFmtId="0" fontId="21" fillId="2" borderId="0" xfId="0" applyFont="1" applyFill="1" applyAlignment="1">
      <alignment horizontal="left" vertical="center"/>
    </xf>
    <xf numFmtId="0" fontId="21" fillId="15" borderId="0" xfId="0" applyFont="1" applyFill="1" applyAlignment="1" applyProtection="1">
      <alignment horizontal="center" vertical="center" shrinkToFit="1"/>
      <protection locked="0"/>
    </xf>
    <xf numFmtId="0" fontId="8" fillId="2" borderId="0" xfId="0" applyFont="1" applyFill="1" applyAlignment="1">
      <alignment vertical="center"/>
    </xf>
    <xf numFmtId="0" fontId="47" fillId="2" borderId="0" xfId="0" applyFont="1" applyFill="1" applyAlignment="1">
      <alignment horizontal="center" vertical="center"/>
    </xf>
    <xf numFmtId="0" fontId="16" fillId="16" borderId="368" xfId="0" applyFont="1" applyFill="1" applyBorder="1" applyAlignment="1">
      <alignment horizontal="center" vertical="center"/>
    </xf>
    <xf numFmtId="0" fontId="16" fillId="16" borderId="369" xfId="0" applyFont="1" applyFill="1" applyBorder="1" applyAlignment="1">
      <alignment horizontal="center" vertical="center"/>
    </xf>
    <xf numFmtId="0" fontId="16" fillId="16" borderId="370" xfId="0" applyFont="1" applyFill="1" applyBorder="1" applyAlignment="1">
      <alignment horizontal="center" vertical="center"/>
    </xf>
    <xf numFmtId="0" fontId="1" fillId="2" borderId="368" xfId="0" applyFont="1" applyFill="1" applyBorder="1" applyAlignment="1">
      <alignment horizontal="center" vertical="center"/>
    </xf>
    <xf numFmtId="0" fontId="1" fillId="2" borderId="369" xfId="0" applyFont="1" applyFill="1" applyBorder="1" applyAlignment="1">
      <alignment horizontal="center" vertical="center"/>
    </xf>
    <xf numFmtId="0" fontId="1" fillId="2" borderId="370" xfId="0" applyFont="1" applyFill="1" applyBorder="1" applyAlignment="1">
      <alignment horizontal="center" vertical="center"/>
    </xf>
    <xf numFmtId="0" fontId="16" fillId="16" borderId="364" xfId="0" applyFont="1" applyFill="1" applyBorder="1" applyAlignment="1">
      <alignment horizontal="center" vertical="center" wrapText="1"/>
    </xf>
    <xf numFmtId="0" fontId="16" fillId="16" borderId="365" xfId="0" applyFont="1" applyFill="1" applyBorder="1" applyAlignment="1">
      <alignment horizontal="center" vertical="center"/>
    </xf>
    <xf numFmtId="0" fontId="16" fillId="16" borderId="366" xfId="0" applyFont="1" applyFill="1" applyBorder="1" applyAlignment="1">
      <alignment horizontal="center" vertical="center"/>
    </xf>
    <xf numFmtId="0" fontId="16" fillId="16" borderId="371" xfId="0" applyFont="1" applyFill="1" applyBorder="1" applyAlignment="1">
      <alignment horizontal="center" vertical="center"/>
    </xf>
    <xf numFmtId="0" fontId="16" fillId="16" borderId="372" xfId="0" applyFont="1" applyFill="1" applyBorder="1" applyAlignment="1">
      <alignment horizontal="center" vertical="center"/>
    </xf>
    <xf numFmtId="0" fontId="16" fillId="16" borderId="373" xfId="0" applyFont="1" applyFill="1" applyBorder="1" applyAlignment="1">
      <alignment horizontal="center" vertical="center"/>
    </xf>
    <xf numFmtId="0" fontId="16" fillId="16" borderId="364" xfId="0" applyFont="1" applyFill="1" applyBorder="1" applyAlignment="1">
      <alignment horizontal="center" vertical="center"/>
    </xf>
    <xf numFmtId="0" fontId="5" fillId="2" borderId="365" xfId="0" applyFont="1" applyFill="1" applyBorder="1" applyAlignment="1">
      <alignment horizontal="center" vertical="center"/>
    </xf>
    <xf numFmtId="0" fontId="5" fillId="2" borderId="366" xfId="0" applyFont="1" applyFill="1" applyBorder="1" applyAlignment="1">
      <alignment horizontal="center" vertical="center"/>
    </xf>
    <xf numFmtId="0" fontId="5" fillId="7" borderId="375" xfId="0" applyFont="1" applyFill="1" applyBorder="1" applyAlignment="1">
      <alignment horizontal="center" vertical="center"/>
    </xf>
    <xf numFmtId="0" fontId="5" fillId="7" borderId="376" xfId="0" applyFont="1" applyFill="1" applyBorder="1" applyAlignment="1">
      <alignment horizontal="center" vertical="center"/>
    </xf>
    <xf numFmtId="0" fontId="5" fillId="7" borderId="377" xfId="0" applyFont="1" applyFill="1" applyBorder="1" applyAlignment="1">
      <alignment horizontal="center" vertical="center"/>
    </xf>
    <xf numFmtId="0" fontId="1" fillId="2" borderId="376" xfId="0" applyFont="1" applyFill="1" applyBorder="1" applyAlignment="1">
      <alignment vertical="center"/>
    </xf>
    <xf numFmtId="0" fontId="1" fillId="2" borderId="377" xfId="0" applyFont="1" applyFill="1" applyBorder="1" applyAlignment="1">
      <alignment vertical="center"/>
    </xf>
    <xf numFmtId="0" fontId="1" fillId="2" borderId="375" xfId="0" applyFont="1" applyFill="1" applyBorder="1" applyAlignment="1">
      <alignment horizontal="center" vertical="center"/>
    </xf>
    <xf numFmtId="0" fontId="1" fillId="2" borderId="376" xfId="0" applyFont="1" applyFill="1" applyBorder="1" applyAlignment="1">
      <alignment horizontal="center" vertical="center"/>
    </xf>
    <xf numFmtId="0" fontId="1" fillId="2" borderId="377" xfId="0" applyFont="1" applyFill="1" applyBorder="1" applyAlignment="1">
      <alignment horizontal="center" vertical="center"/>
    </xf>
    <xf numFmtId="0" fontId="16" fillId="16" borderId="367" xfId="0" applyFont="1" applyFill="1" applyBorder="1" applyAlignment="1">
      <alignment horizontal="center" vertical="center" wrapText="1"/>
    </xf>
    <xf numFmtId="0" fontId="1" fillId="2" borderId="367" xfId="0" applyFont="1" applyFill="1" applyBorder="1" applyAlignment="1">
      <alignment horizontal="left" vertical="center" wrapText="1" indent="1"/>
    </xf>
    <xf numFmtId="0" fontId="1" fillId="2" borderId="367" xfId="0" applyFont="1" applyFill="1" applyBorder="1" applyAlignment="1">
      <alignment horizontal="left" vertical="center" indent="1"/>
    </xf>
    <xf numFmtId="0" fontId="1" fillId="2" borderId="378" xfId="0" applyFont="1" applyFill="1" applyBorder="1" applyAlignment="1">
      <alignment horizontal="left" vertical="center" indent="1"/>
    </xf>
    <xf numFmtId="0" fontId="1" fillId="2" borderId="379" xfId="0" applyFont="1" applyFill="1" applyBorder="1" applyAlignment="1">
      <alignment horizontal="left" vertical="center" indent="1"/>
    </xf>
    <xf numFmtId="0" fontId="16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indent="1"/>
    </xf>
    <xf numFmtId="0" fontId="14" fillId="2" borderId="0" xfId="0" applyFont="1" applyFill="1" applyAlignment="1">
      <alignment vertical="center"/>
    </xf>
    <xf numFmtId="0" fontId="16" fillId="2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0" fontId="48" fillId="15" borderId="367" xfId="0" applyFont="1" applyFill="1" applyBorder="1" applyAlignment="1">
      <alignment horizontal="center" vertical="center" wrapText="1"/>
    </xf>
    <xf numFmtId="0" fontId="48" fillId="15" borderId="368" xfId="0" applyFont="1" applyFill="1" applyBorder="1" applyAlignment="1">
      <alignment horizontal="center" vertical="center" wrapText="1"/>
    </xf>
    <xf numFmtId="0" fontId="48" fillId="15" borderId="380" xfId="0" applyFont="1" applyFill="1" applyBorder="1" applyAlignment="1">
      <alignment horizontal="center" vertical="center" wrapText="1"/>
    </xf>
    <xf numFmtId="0" fontId="48" fillId="15" borderId="381" xfId="0" applyFont="1" applyFill="1" applyBorder="1" applyAlignment="1">
      <alignment horizontal="center" vertical="center" wrapText="1"/>
    </xf>
    <xf numFmtId="0" fontId="48" fillId="15" borderId="378" xfId="0" applyFont="1" applyFill="1" applyBorder="1" applyAlignment="1">
      <alignment horizontal="left" vertical="center" wrapText="1" indent="1"/>
    </xf>
    <xf numFmtId="9" fontId="49" fillId="0" borderId="364" xfId="0" applyNumberFormat="1" applyFont="1" applyBorder="1" applyAlignment="1">
      <alignment horizontal="center" vertical="center" wrapText="1"/>
    </xf>
    <xf numFmtId="9" fontId="49" fillId="0" borderId="382" xfId="0" applyNumberFormat="1" applyFont="1" applyBorder="1" applyAlignment="1">
      <alignment horizontal="center" vertical="center" wrapText="1"/>
    </xf>
    <xf numFmtId="9" fontId="49" fillId="0" borderId="383" xfId="0" applyNumberFormat="1" applyFont="1" applyBorder="1" applyAlignment="1">
      <alignment horizontal="center" vertical="center" wrapText="1"/>
    </xf>
    <xf numFmtId="0" fontId="48" fillId="15" borderId="384" xfId="0" applyFont="1" applyFill="1" applyBorder="1" applyAlignment="1">
      <alignment horizontal="left" vertical="center" wrapText="1" indent="1"/>
    </xf>
    <xf numFmtId="9" fontId="21" fillId="0" borderId="385" xfId="0" applyNumberFormat="1" applyFont="1" applyBorder="1" applyAlignment="1">
      <alignment horizontal="center" vertical="center" wrapText="1"/>
    </xf>
    <xf numFmtId="9" fontId="21" fillId="0" borderId="386" xfId="0" applyNumberFormat="1" applyFont="1" applyBorder="1" applyAlignment="1">
      <alignment horizontal="center" vertical="center" wrapText="1"/>
    </xf>
    <xf numFmtId="9" fontId="21" fillId="0" borderId="387" xfId="0" applyNumberFormat="1" applyFont="1" applyBorder="1" applyAlignment="1">
      <alignment horizontal="center" vertical="center" wrapText="1"/>
    </xf>
    <xf numFmtId="0" fontId="49" fillId="0" borderId="385" xfId="0" applyFont="1" applyBorder="1" applyAlignment="1">
      <alignment horizontal="center" vertical="center" wrapText="1"/>
    </xf>
    <xf numFmtId="0" fontId="49" fillId="0" borderId="386" xfId="0" applyFont="1" applyBorder="1" applyAlignment="1">
      <alignment horizontal="center" vertical="center" wrapText="1"/>
    </xf>
    <xf numFmtId="0" fontId="48" fillId="15" borderId="388" xfId="0" applyFont="1" applyFill="1" applyBorder="1" applyAlignment="1">
      <alignment horizontal="left" vertical="center" wrapText="1" indent="1"/>
    </xf>
    <xf numFmtId="0" fontId="49" fillId="0" borderId="375" xfId="0" applyFont="1" applyBorder="1" applyAlignment="1">
      <alignment horizontal="center" vertical="center" wrapText="1"/>
    </xf>
    <xf numFmtId="0" fontId="49" fillId="0" borderId="389" xfId="0" applyFont="1" applyBorder="1" applyAlignment="1">
      <alignment horizontal="center" vertical="center" wrapText="1"/>
    </xf>
    <xf numFmtId="9" fontId="21" fillId="0" borderId="390" xfId="0" applyNumberFormat="1" applyFont="1" applyBorder="1" applyAlignment="1">
      <alignment horizontal="center" vertical="center" wrapText="1"/>
    </xf>
    <xf numFmtId="0" fontId="23" fillId="2" borderId="0" xfId="0" applyFont="1" applyFill="1" applyAlignment="1">
      <alignment vertical="center"/>
    </xf>
    <xf numFmtId="0" fontId="50" fillId="2" borderId="0" xfId="0" applyFont="1" applyFill="1" applyAlignment="1">
      <alignment vertical="center"/>
    </xf>
    <xf numFmtId="0" fontId="50" fillId="2" borderId="0" xfId="0" applyFont="1" applyFill="1" applyAlignment="1">
      <alignment horizontal="left" vertical="center"/>
    </xf>
    <xf numFmtId="0" fontId="17" fillId="17" borderId="170" xfId="0" applyFont="1" applyFill="1" applyBorder="1" applyAlignment="1">
      <alignment horizontal="center" vertical="center" wrapText="1"/>
    </xf>
    <xf numFmtId="0" fontId="17" fillId="17" borderId="120" xfId="0" applyFont="1" applyFill="1" applyBorder="1" applyAlignment="1">
      <alignment horizontal="center" vertical="center" wrapText="1"/>
    </xf>
    <xf numFmtId="0" fontId="17" fillId="17" borderId="122" xfId="0" applyFont="1" applyFill="1" applyBorder="1" applyAlignment="1">
      <alignment horizontal="center" vertical="center" wrapText="1"/>
    </xf>
    <xf numFmtId="0" fontId="17" fillId="17" borderId="346" xfId="0" applyFont="1" applyFill="1" applyBorder="1" applyAlignment="1">
      <alignment horizontal="center" vertical="center" wrapText="1"/>
    </xf>
    <xf numFmtId="0" fontId="17" fillId="17" borderId="131" xfId="0" applyFont="1" applyFill="1" applyBorder="1" applyAlignment="1">
      <alignment horizontal="center" vertical="center" wrapText="1"/>
    </xf>
    <xf numFmtId="0" fontId="17" fillId="17" borderId="133" xfId="0" applyFont="1" applyFill="1" applyBorder="1" applyAlignment="1">
      <alignment horizontal="center" vertical="center" wrapText="1"/>
    </xf>
    <xf numFmtId="0" fontId="23" fillId="2" borderId="346" xfId="0" applyFont="1" applyFill="1" applyBorder="1" applyAlignment="1">
      <alignment horizontal="left" vertical="center" wrapText="1" indent="1"/>
    </xf>
    <xf numFmtId="0" fontId="23" fillId="2" borderId="170" xfId="0" applyFont="1" applyFill="1" applyBorder="1" applyAlignment="1">
      <alignment horizontal="center" vertical="center" wrapText="1"/>
    </xf>
    <xf numFmtId="0" fontId="23" fillId="2" borderId="120" xfId="0" applyFont="1" applyFill="1" applyBorder="1" applyAlignment="1">
      <alignment horizontal="center" vertical="center" wrapText="1"/>
    </xf>
    <xf numFmtId="0" fontId="23" fillId="2" borderId="391" xfId="0" applyFont="1" applyFill="1" applyBorder="1" applyAlignment="1">
      <alignment horizontal="center" vertical="center" wrapText="1"/>
    </xf>
    <xf numFmtId="0" fontId="23" fillId="2" borderId="122" xfId="0" applyFont="1" applyFill="1" applyBorder="1" applyAlignment="1">
      <alignment horizontal="center" vertical="center" wrapText="1"/>
    </xf>
    <xf numFmtId="0" fontId="23" fillId="2" borderId="391" xfId="0" applyFont="1" applyFill="1" applyBorder="1" applyAlignment="1">
      <alignment horizontal="left" vertical="center" wrapText="1" indent="1"/>
    </xf>
    <xf numFmtId="0" fontId="23" fillId="2" borderId="31" xfId="0" applyFont="1" applyFill="1" applyBorder="1" applyAlignment="1">
      <alignment horizontal="center" vertical="center" wrapText="1"/>
    </xf>
    <xf numFmtId="0" fontId="23" fillId="2" borderId="392" xfId="0" applyFont="1" applyFill="1" applyBorder="1" applyAlignment="1">
      <alignment horizontal="center" vertical="center" wrapText="1"/>
    </xf>
    <xf numFmtId="0" fontId="23" fillId="2" borderId="131" xfId="0" applyFont="1" applyFill="1" applyBorder="1" applyAlignment="1">
      <alignment horizontal="center" vertical="center" wrapText="1"/>
    </xf>
    <xf numFmtId="0" fontId="23" fillId="2" borderId="133" xfId="0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left" vertical="center" wrapText="1"/>
    </xf>
    <xf numFmtId="0" fontId="51" fillId="2" borderId="0" xfId="0" applyFont="1" applyFill="1" applyAlignment="1">
      <alignment vertical="center"/>
    </xf>
    <xf numFmtId="0" fontId="51" fillId="2" borderId="0" xfId="0" applyFont="1" applyFill="1" applyAlignment="1">
      <alignment horizontal="left" vertical="center"/>
    </xf>
    <xf numFmtId="0" fontId="23" fillId="2" borderId="0" xfId="0" applyFont="1" applyFill="1" applyAlignment="1">
      <alignment horizontal="left" vertical="center"/>
    </xf>
    <xf numFmtId="0" fontId="17" fillId="17" borderId="31" xfId="0" applyFont="1" applyFill="1" applyBorder="1" applyAlignment="1">
      <alignment horizontal="center" vertical="center" wrapText="1"/>
    </xf>
    <xf numFmtId="0" fontId="17" fillId="17" borderId="184" xfId="0" applyFont="1" applyFill="1" applyBorder="1" applyAlignment="1">
      <alignment horizontal="center" vertical="center" wrapText="1"/>
    </xf>
    <xf numFmtId="0" fontId="17" fillId="17" borderId="393" xfId="0" applyFont="1" applyFill="1" applyBorder="1" applyAlignment="1">
      <alignment horizontal="center" vertical="center" wrapText="1"/>
    </xf>
    <xf numFmtId="0" fontId="17" fillId="17" borderId="33" xfId="0" applyFont="1" applyFill="1" applyBorder="1" applyAlignment="1">
      <alignment horizontal="center" vertical="center" wrapText="1"/>
    </xf>
    <xf numFmtId="0" fontId="23" fillId="2" borderId="346" xfId="0" applyFont="1" applyFill="1" applyBorder="1" applyAlignment="1">
      <alignment horizontal="center" vertical="center" wrapText="1"/>
    </xf>
    <xf numFmtId="0" fontId="23" fillId="2" borderId="394" xfId="0" applyFont="1" applyFill="1" applyBorder="1" applyAlignment="1">
      <alignment horizontal="center" vertical="center" wrapText="1"/>
    </xf>
    <xf numFmtId="0" fontId="23" fillId="2" borderId="395" xfId="0" applyFont="1" applyFill="1" applyBorder="1" applyAlignment="1">
      <alignment horizontal="center" vertical="center" wrapText="1"/>
    </xf>
    <xf numFmtId="0" fontId="23" fillId="2" borderId="360" xfId="0" applyFont="1" applyFill="1" applyBorder="1" applyAlignment="1">
      <alignment horizontal="left" vertical="center" wrapText="1" indent="1"/>
    </xf>
    <xf numFmtId="0" fontId="17" fillId="2" borderId="360" xfId="0" applyFont="1" applyFill="1" applyBorder="1" applyAlignment="1">
      <alignment horizontal="center" vertical="center" wrapText="1"/>
    </xf>
    <xf numFmtId="0" fontId="23" fillId="2" borderId="361" xfId="0" applyFont="1" applyFill="1" applyBorder="1" applyAlignment="1">
      <alignment horizontal="center" vertical="center" wrapText="1"/>
    </xf>
    <xf numFmtId="0" fontId="23" fillId="2" borderId="396" xfId="0" applyFont="1" applyFill="1" applyBorder="1" applyAlignment="1">
      <alignment horizontal="center" vertical="center" wrapText="1"/>
    </xf>
    <xf numFmtId="0" fontId="23" fillId="2" borderId="397" xfId="0" applyFont="1" applyFill="1" applyBorder="1" applyAlignment="1">
      <alignment horizontal="center" vertical="center" wrapText="1"/>
    </xf>
    <xf numFmtId="0" fontId="23" fillId="2" borderId="363" xfId="0" applyFont="1" applyFill="1" applyBorder="1" applyAlignment="1">
      <alignment horizontal="center" vertical="center" wrapText="1"/>
    </xf>
    <xf numFmtId="0" fontId="23" fillId="2" borderId="360" xfId="0" applyFont="1" applyFill="1" applyBorder="1" applyAlignment="1">
      <alignment horizontal="center" vertical="center" wrapText="1"/>
    </xf>
    <xf numFmtId="0" fontId="17" fillId="2" borderId="361" xfId="0" applyFont="1" applyFill="1" applyBorder="1" applyAlignment="1">
      <alignment horizontal="center" vertical="center" wrapText="1"/>
    </xf>
    <xf numFmtId="0" fontId="17" fillId="2" borderId="397" xfId="0" applyFont="1" applyFill="1" applyBorder="1" applyAlignment="1">
      <alignment horizontal="center" vertical="center" wrapText="1"/>
    </xf>
    <xf numFmtId="0" fontId="17" fillId="2" borderId="363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vertical="center"/>
    </xf>
    <xf numFmtId="0" fontId="23" fillId="18" borderId="346" xfId="0" applyFont="1" applyFill="1" applyBorder="1" applyAlignment="1">
      <alignment horizontal="left" vertical="center" wrapText="1" indent="1"/>
    </xf>
    <xf numFmtId="0" fontId="23" fillId="18" borderId="360" xfId="0" applyFont="1" applyFill="1" applyBorder="1" applyAlignment="1">
      <alignment horizontal="left" vertical="center" wrapText="1" indent="1"/>
    </xf>
    <xf numFmtId="3" fontId="23" fillId="18" borderId="360" xfId="0" applyNumberFormat="1" applyFont="1" applyFill="1" applyBorder="1" applyAlignment="1">
      <alignment horizontal="left" vertical="center" wrapText="1" indent="1"/>
    </xf>
    <xf numFmtId="0" fontId="23" fillId="18" borderId="330" xfId="0" applyFont="1" applyFill="1" applyBorder="1" applyAlignment="1">
      <alignment horizontal="left" vertical="center" wrapText="1" indent="1"/>
    </xf>
    <xf numFmtId="0" fontId="23" fillId="18" borderId="171" xfId="0" applyFont="1" applyFill="1" applyBorder="1" applyAlignment="1">
      <alignment horizontal="left" vertical="center" wrapText="1" indent="1"/>
    </xf>
    <xf numFmtId="0" fontId="23" fillId="18" borderId="172" xfId="0" applyFont="1" applyFill="1" applyBorder="1" applyAlignment="1">
      <alignment horizontal="left" vertical="center" wrapText="1" indent="1"/>
    </xf>
    <xf numFmtId="0" fontId="23" fillId="18" borderId="322" xfId="0" applyFont="1" applyFill="1" applyBorder="1" applyAlignment="1">
      <alignment horizontal="left" vertical="center" wrapText="1" indent="1"/>
    </xf>
    <xf numFmtId="0" fontId="23" fillId="18" borderId="322" xfId="0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vertical="center"/>
    </xf>
    <xf numFmtId="164" fontId="2" fillId="4" borderId="0" xfId="0" applyNumberFormat="1" applyFont="1" applyFill="1" applyAlignment="1">
      <alignment vertical="center"/>
    </xf>
    <xf numFmtId="164" fontId="2" fillId="4" borderId="0" xfId="0" applyNumberFormat="1" applyFont="1" applyFill="1" applyAlignment="1">
      <alignment horizontal="center" vertical="center"/>
    </xf>
    <xf numFmtId="0" fontId="17" fillId="17" borderId="398" xfId="0" applyFont="1" applyFill="1" applyBorder="1" applyAlignment="1" applyProtection="1">
      <alignment horizontal="center" vertical="center"/>
      <protection hidden="1"/>
    </xf>
    <xf numFmtId="165" fontId="17" fillId="17" borderId="399" xfId="0" applyNumberFormat="1" applyFont="1" applyFill="1" applyBorder="1" applyAlignment="1" applyProtection="1">
      <alignment horizontal="center" vertical="center"/>
      <protection hidden="1"/>
    </xf>
    <xf numFmtId="0" fontId="5" fillId="17" borderId="399" xfId="0" applyFont="1" applyFill="1" applyBorder="1" applyAlignment="1">
      <alignment horizontal="center" vertical="center"/>
    </xf>
    <xf numFmtId="0" fontId="17" fillId="2" borderId="398" xfId="0" applyFont="1" applyFill="1" applyBorder="1" applyAlignment="1" applyProtection="1">
      <alignment horizontal="center" vertical="center"/>
      <protection hidden="1"/>
    </xf>
    <xf numFmtId="0" fontId="23" fillId="2" borderId="398" xfId="0" applyFont="1" applyFill="1" applyBorder="1" applyAlignment="1" applyProtection="1">
      <alignment vertical="center"/>
      <protection hidden="1"/>
    </xf>
    <xf numFmtId="178" fontId="23" fillId="2" borderId="398" xfId="0" applyNumberFormat="1" applyFont="1" applyFill="1" applyBorder="1" applyAlignment="1" applyProtection="1">
      <alignment horizontal="center" vertical="center"/>
      <protection hidden="1"/>
    </xf>
    <xf numFmtId="0" fontId="23" fillId="2" borderId="398" xfId="0" applyFont="1" applyFill="1" applyBorder="1" applyAlignment="1" applyProtection="1">
      <alignment horizontal="center" vertical="center"/>
      <protection hidden="1"/>
    </xf>
    <xf numFmtId="0" fontId="23" fillId="2" borderId="398" xfId="0" applyFont="1" applyFill="1" applyBorder="1" applyAlignment="1" applyProtection="1">
      <alignment horizontal="right" vertical="center"/>
      <protection hidden="1"/>
    </xf>
    <xf numFmtId="165" fontId="23" fillId="2" borderId="398" xfId="0" applyNumberFormat="1" applyFont="1" applyFill="1" applyBorder="1" applyAlignment="1">
      <alignment vertical="center"/>
    </xf>
    <xf numFmtId="179" fontId="23" fillId="2" borderId="398" xfId="0" applyNumberFormat="1" applyFont="1" applyFill="1" applyBorder="1" applyAlignment="1" applyProtection="1">
      <alignment horizontal="center" vertical="center"/>
      <protection hidden="1"/>
    </xf>
    <xf numFmtId="0" fontId="2" fillId="2" borderId="398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17" fillId="0" borderId="398" xfId="0" applyFont="1" applyBorder="1" applyAlignment="1" applyProtection="1">
      <alignment horizontal="center" vertical="center"/>
      <protection hidden="1"/>
    </xf>
    <xf numFmtId="0" fontId="23" fillId="0" borderId="398" xfId="0" applyFont="1" applyBorder="1" applyAlignment="1" applyProtection="1">
      <alignment vertical="center"/>
      <protection hidden="1"/>
    </xf>
    <xf numFmtId="178" fontId="23" fillId="0" borderId="398" xfId="0" applyNumberFormat="1" applyFont="1" applyBorder="1" applyAlignment="1" applyProtection="1">
      <alignment horizontal="center" vertical="center"/>
      <protection hidden="1"/>
    </xf>
    <xf numFmtId="0" fontId="23" fillId="0" borderId="398" xfId="0" applyFont="1" applyBorder="1" applyAlignment="1" applyProtection="1">
      <alignment horizontal="center" vertical="center"/>
      <protection hidden="1"/>
    </xf>
    <xf numFmtId="0" fontId="23" fillId="0" borderId="398" xfId="0" applyFont="1" applyBorder="1" applyAlignment="1" applyProtection="1">
      <alignment horizontal="right" vertical="center"/>
      <protection hidden="1"/>
    </xf>
    <xf numFmtId="165" fontId="23" fillId="0" borderId="398" xfId="0" applyNumberFormat="1" applyFont="1" applyBorder="1" applyAlignment="1">
      <alignment vertical="center"/>
    </xf>
    <xf numFmtId="179" fontId="23" fillId="0" borderId="398" xfId="0" applyNumberFormat="1" applyFont="1" applyBorder="1" applyAlignment="1" applyProtection="1">
      <alignment horizontal="center" vertical="center"/>
      <protection hidden="1"/>
    </xf>
    <xf numFmtId="0" fontId="23" fillId="0" borderId="398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52" fillId="0" borderId="0" xfId="0" applyFont="1" applyAlignment="1">
      <alignment vertical="center"/>
    </xf>
    <xf numFmtId="164" fontId="23" fillId="0" borderId="0" xfId="0" applyNumberFormat="1" applyFont="1" applyAlignment="1">
      <alignment horizontal="center" vertical="center"/>
    </xf>
    <xf numFmtId="164" fontId="52" fillId="0" borderId="0" xfId="0" applyNumberFormat="1" applyFont="1" applyAlignment="1">
      <alignment vertical="center"/>
    </xf>
    <xf numFmtId="0" fontId="23" fillId="2" borderId="398" xfId="0" applyFont="1" applyFill="1" applyBorder="1" applyAlignment="1">
      <alignment horizontal="center" vertical="center"/>
    </xf>
    <xf numFmtId="0" fontId="52" fillId="2" borderId="398" xfId="0" applyFont="1" applyFill="1" applyBorder="1" applyAlignment="1" applyProtection="1">
      <alignment horizontal="center" vertical="center"/>
      <protection hidden="1"/>
    </xf>
    <xf numFmtId="0" fontId="52" fillId="2" borderId="398" xfId="0" applyFont="1" applyFill="1" applyBorder="1" applyAlignment="1" applyProtection="1">
      <alignment horizontal="right" vertical="center"/>
      <protection hidden="1"/>
    </xf>
    <xf numFmtId="165" fontId="2" fillId="2" borderId="398" xfId="0" applyNumberFormat="1" applyFont="1" applyFill="1" applyBorder="1" applyAlignment="1">
      <alignment vertical="center"/>
    </xf>
    <xf numFmtId="164" fontId="23" fillId="2" borderId="0" xfId="0" applyNumberFormat="1" applyFont="1" applyFill="1" applyAlignment="1">
      <alignment horizontal="center" vertical="center"/>
    </xf>
    <xf numFmtId="164" fontId="23" fillId="4" borderId="0" xfId="0" applyNumberFormat="1" applyFont="1" applyFill="1" applyAlignment="1">
      <alignment vertical="center"/>
    </xf>
    <xf numFmtId="0" fontId="52" fillId="2" borderId="0" xfId="0" applyFont="1" applyFill="1" applyAlignment="1">
      <alignment vertical="center"/>
    </xf>
    <xf numFmtId="164" fontId="23" fillId="0" borderId="0" xfId="0" applyNumberFormat="1" applyFont="1" applyAlignment="1">
      <alignment vertical="center"/>
    </xf>
    <xf numFmtId="0" fontId="2" fillId="0" borderId="398" xfId="0" applyFont="1" applyBorder="1" applyAlignment="1">
      <alignment horizontal="center" vertical="center"/>
    </xf>
    <xf numFmtId="0" fontId="2" fillId="10" borderId="0" xfId="0" applyFont="1" applyFill="1" applyAlignment="1">
      <alignment vertical="center"/>
    </xf>
    <xf numFmtId="0" fontId="17" fillId="10" borderId="398" xfId="0" applyFont="1" applyFill="1" applyBorder="1" applyAlignment="1" applyProtection="1">
      <alignment horizontal="center" vertical="center"/>
      <protection hidden="1"/>
    </xf>
    <xf numFmtId="0" fontId="23" fillId="10" borderId="398" xfId="0" applyFont="1" applyFill="1" applyBorder="1" applyAlignment="1" applyProtection="1">
      <alignment vertical="center"/>
      <protection hidden="1"/>
    </xf>
    <xf numFmtId="178" fontId="23" fillId="10" borderId="398" xfId="0" applyNumberFormat="1" applyFont="1" applyFill="1" applyBorder="1" applyAlignment="1" applyProtection="1">
      <alignment horizontal="center" vertical="center"/>
      <protection hidden="1"/>
    </xf>
    <xf numFmtId="0" fontId="23" fillId="10" borderId="398" xfId="0" applyFont="1" applyFill="1" applyBorder="1" applyAlignment="1" applyProtection="1">
      <alignment horizontal="center" vertical="center"/>
      <protection hidden="1"/>
    </xf>
    <xf numFmtId="0" fontId="23" fillId="10" borderId="398" xfId="0" applyFont="1" applyFill="1" applyBorder="1" applyAlignment="1" applyProtection="1">
      <alignment horizontal="right" vertical="center"/>
      <protection hidden="1"/>
    </xf>
    <xf numFmtId="165" fontId="2" fillId="10" borderId="398" xfId="0" applyNumberFormat="1" applyFont="1" applyFill="1" applyBorder="1" applyAlignment="1">
      <alignment vertical="center"/>
    </xf>
    <xf numFmtId="179" fontId="23" fillId="10" borderId="398" xfId="0" applyNumberFormat="1" applyFont="1" applyFill="1" applyBorder="1" applyAlignment="1" applyProtection="1">
      <alignment horizontal="center" vertical="center"/>
      <protection hidden="1"/>
    </xf>
    <xf numFmtId="0" fontId="2" fillId="10" borderId="398" xfId="0" applyFont="1" applyFill="1" applyBorder="1" applyAlignment="1">
      <alignment horizontal="center" vertical="center"/>
    </xf>
    <xf numFmtId="164" fontId="2" fillId="10" borderId="0" xfId="0" applyNumberFormat="1" applyFont="1" applyFill="1" applyAlignment="1">
      <alignment horizontal="center" vertical="center"/>
    </xf>
    <xf numFmtId="164" fontId="2" fillId="10" borderId="0" xfId="0" applyNumberFormat="1" applyFont="1" applyFill="1" applyAlignment="1">
      <alignment vertical="center"/>
    </xf>
    <xf numFmtId="0" fontId="17" fillId="2" borderId="398" xfId="0" applyFont="1" applyFill="1" applyBorder="1" applyAlignment="1" applyProtection="1">
      <alignment horizontal="center" vertical="center"/>
      <protection locked="0"/>
    </xf>
    <xf numFmtId="0" fontId="23" fillId="2" borderId="398" xfId="0" applyFont="1" applyFill="1" applyBorder="1" applyAlignment="1" applyProtection="1">
      <alignment vertical="center"/>
      <protection locked="0"/>
    </xf>
    <xf numFmtId="178" fontId="53" fillId="2" borderId="398" xfId="0" applyNumberFormat="1" applyFont="1" applyFill="1" applyBorder="1" applyAlignment="1" applyProtection="1">
      <alignment horizontal="center" vertical="center"/>
      <protection locked="0"/>
    </xf>
    <xf numFmtId="0" fontId="53" fillId="2" borderId="398" xfId="0" applyFont="1" applyFill="1" applyBorder="1" applyAlignment="1" applyProtection="1">
      <alignment horizontal="center" vertical="center"/>
      <protection locked="0"/>
    </xf>
    <xf numFmtId="0" fontId="23" fillId="2" borderId="398" xfId="0" applyFont="1" applyFill="1" applyBorder="1" applyAlignment="1" applyProtection="1">
      <alignment horizontal="center" vertical="center"/>
      <protection locked="0"/>
    </xf>
    <xf numFmtId="0" fontId="23" fillId="2" borderId="398" xfId="0" applyFont="1" applyFill="1" applyBorder="1" applyAlignment="1" applyProtection="1">
      <alignment horizontal="right" vertical="center"/>
      <protection locked="0"/>
    </xf>
    <xf numFmtId="178" fontId="23" fillId="2" borderId="398" xfId="0" applyNumberFormat="1" applyFont="1" applyFill="1" applyBorder="1" applyAlignment="1" applyProtection="1">
      <alignment horizontal="center" vertical="center"/>
      <protection locked="0"/>
    </xf>
    <xf numFmtId="0" fontId="23" fillId="2" borderId="398" xfId="0" applyFont="1" applyFill="1" applyBorder="1" applyAlignment="1" applyProtection="1">
      <alignment horizontal="center" vertical="center" shrinkToFit="1"/>
      <protection locked="0"/>
    </xf>
    <xf numFmtId="0" fontId="23" fillId="2" borderId="398" xfId="0" applyFont="1" applyFill="1" applyBorder="1" applyAlignment="1" applyProtection="1">
      <alignment horizontal="left" vertical="center"/>
      <protection locked="0"/>
    </xf>
    <xf numFmtId="164" fontId="52" fillId="4" borderId="0" xfId="0" applyNumberFormat="1" applyFont="1" applyFill="1" applyAlignment="1">
      <alignment vertical="center"/>
    </xf>
    <xf numFmtId="0" fontId="23" fillId="0" borderId="398" xfId="0" applyFont="1" applyBorder="1" applyAlignment="1" applyProtection="1">
      <alignment vertical="center"/>
      <protection locked="0"/>
    </xf>
    <xf numFmtId="179" fontId="52" fillId="2" borderId="398" xfId="0" applyNumberFormat="1" applyFont="1" applyFill="1" applyBorder="1" applyAlignment="1" applyProtection="1">
      <alignment horizontal="center" vertical="center"/>
      <protection hidden="1"/>
    </xf>
    <xf numFmtId="0" fontId="17" fillId="0" borderId="398" xfId="0" applyFont="1" applyBorder="1" applyAlignment="1" applyProtection="1">
      <alignment horizontal="center" vertical="center"/>
      <protection locked="0"/>
    </xf>
    <xf numFmtId="0" fontId="23" fillId="0" borderId="398" xfId="0" applyFont="1" applyBorder="1" applyAlignment="1" applyProtection="1">
      <alignment horizontal="center" vertical="center"/>
      <protection locked="0"/>
    </xf>
    <xf numFmtId="0" fontId="23" fillId="0" borderId="398" xfId="0" applyFont="1" applyBorder="1" applyAlignment="1" applyProtection="1">
      <alignment horizontal="right" vertical="center"/>
      <protection locked="0"/>
    </xf>
    <xf numFmtId="0" fontId="17" fillId="10" borderId="398" xfId="0" applyFont="1" applyFill="1" applyBorder="1" applyAlignment="1" applyProtection="1">
      <alignment horizontal="center" vertical="center"/>
      <protection locked="0"/>
    </xf>
    <xf numFmtId="0" fontId="23" fillId="10" borderId="398" xfId="0" applyFont="1" applyFill="1" applyBorder="1" applyAlignment="1" applyProtection="1">
      <alignment vertical="center"/>
      <protection locked="0"/>
    </xf>
    <xf numFmtId="0" fontId="23" fillId="10" borderId="398" xfId="0" applyFont="1" applyFill="1" applyBorder="1" applyAlignment="1" applyProtection="1">
      <alignment horizontal="center" vertical="center"/>
      <protection locked="0"/>
    </xf>
    <xf numFmtId="0" fontId="23" fillId="10" borderId="398" xfId="0" applyFont="1" applyFill="1" applyBorder="1" applyAlignment="1" applyProtection="1">
      <alignment horizontal="right" vertical="center"/>
      <protection locked="0"/>
    </xf>
    <xf numFmtId="0" fontId="52" fillId="10" borderId="0" xfId="0" applyFont="1" applyFill="1" applyAlignment="1">
      <alignment vertical="center"/>
    </xf>
    <xf numFmtId="0" fontId="41" fillId="10" borderId="398" xfId="0" applyFont="1" applyFill="1" applyBorder="1" applyAlignment="1" applyProtection="1">
      <alignment horizontal="center" vertical="center"/>
      <protection hidden="1"/>
    </xf>
    <xf numFmtId="0" fontId="52" fillId="10" borderId="398" xfId="0" applyFont="1" applyFill="1" applyBorder="1" applyAlignment="1" applyProtection="1">
      <alignment vertical="center"/>
      <protection hidden="1"/>
    </xf>
    <xf numFmtId="178" fontId="52" fillId="10" borderId="398" xfId="0" applyNumberFormat="1" applyFont="1" applyFill="1" applyBorder="1" applyAlignment="1" applyProtection="1">
      <alignment horizontal="center" vertical="center"/>
      <protection hidden="1"/>
    </xf>
    <xf numFmtId="0" fontId="52" fillId="10" borderId="398" xfId="0" applyFont="1" applyFill="1" applyBorder="1" applyAlignment="1" applyProtection="1">
      <alignment horizontal="center" vertical="center"/>
      <protection hidden="1"/>
    </xf>
    <xf numFmtId="0" fontId="52" fillId="10" borderId="398" xfId="0" applyFont="1" applyFill="1" applyBorder="1" applyAlignment="1" applyProtection="1">
      <alignment horizontal="right" vertical="center"/>
      <protection hidden="1"/>
    </xf>
    <xf numFmtId="165" fontId="52" fillId="10" borderId="398" xfId="0" applyNumberFormat="1" applyFont="1" applyFill="1" applyBorder="1" applyAlignment="1">
      <alignment vertical="center"/>
    </xf>
    <xf numFmtId="179" fontId="52" fillId="10" borderId="398" xfId="0" applyNumberFormat="1" applyFont="1" applyFill="1" applyBorder="1" applyAlignment="1" applyProtection="1">
      <alignment horizontal="center" vertical="center"/>
      <protection hidden="1"/>
    </xf>
    <xf numFmtId="0" fontId="52" fillId="10" borderId="398" xfId="0" applyFont="1" applyFill="1" applyBorder="1" applyAlignment="1">
      <alignment horizontal="center" vertical="center"/>
    </xf>
    <xf numFmtId="164" fontId="52" fillId="10" borderId="0" xfId="0" applyNumberFormat="1" applyFont="1" applyFill="1" applyAlignment="1">
      <alignment horizontal="center" vertical="center"/>
    </xf>
    <xf numFmtId="0" fontId="2" fillId="2" borderId="400" xfId="0" applyFont="1" applyFill="1" applyBorder="1" applyAlignment="1">
      <alignment horizontal="center" vertical="center"/>
    </xf>
    <xf numFmtId="0" fontId="1" fillId="0" borderId="401" xfId="0" applyFont="1" applyBorder="1" applyAlignment="1">
      <alignment horizontal="center" vertical="center"/>
    </xf>
    <xf numFmtId="164" fontId="1" fillId="0" borderId="401" xfId="0" applyNumberFormat="1" applyFont="1" applyBorder="1" applyAlignment="1">
      <alignment horizontal="center" vertical="center"/>
    </xf>
    <xf numFmtId="0" fontId="1" fillId="0" borderId="155" xfId="0" applyFont="1" applyBorder="1" applyAlignment="1">
      <alignment vertical="center" wrapText="1"/>
    </xf>
    <xf numFmtId="0" fontId="1" fillId="19" borderId="401" xfId="0" applyFont="1" applyFill="1" applyBorder="1" applyAlignment="1">
      <alignment horizontal="center" vertical="center"/>
    </xf>
    <xf numFmtId="164" fontId="1" fillId="19" borderId="401" xfId="0" applyNumberFormat="1" applyFont="1" applyFill="1" applyBorder="1" applyAlignment="1">
      <alignment vertical="center"/>
    </xf>
    <xf numFmtId="0" fontId="1" fillId="0" borderId="401" xfId="0" applyFont="1" applyBorder="1" applyAlignment="1">
      <alignment vertical="center"/>
    </xf>
    <xf numFmtId="0" fontId="1" fillId="0" borderId="155" xfId="0" applyFont="1" applyBorder="1" applyAlignment="1">
      <alignment vertical="center"/>
    </xf>
    <xf numFmtId="164" fontId="1" fillId="0" borderId="401" xfId="0" applyNumberFormat="1" applyFont="1" applyBorder="1" applyAlignment="1">
      <alignment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54" fillId="0" borderId="402" xfId="0" applyFont="1" applyBorder="1" applyAlignment="1">
      <alignment horizontal="center" vertical="center" wrapText="1"/>
    </xf>
    <xf numFmtId="0" fontId="54" fillId="0" borderId="403" xfId="0" applyFont="1" applyBorder="1" applyAlignment="1">
      <alignment horizontal="center" vertical="center" wrapText="1"/>
    </xf>
    <xf numFmtId="0" fontId="55" fillId="18" borderId="402" xfId="0" applyFont="1" applyFill="1" applyBorder="1" applyAlignment="1">
      <alignment horizontal="left" vertical="center" wrapText="1"/>
    </xf>
    <xf numFmtId="14" fontId="55" fillId="18" borderId="402" xfId="0" applyNumberFormat="1" applyFont="1" applyFill="1" applyBorder="1" applyAlignment="1">
      <alignment horizontal="center" vertical="center" wrapText="1"/>
    </xf>
    <xf numFmtId="179" fontId="55" fillId="18" borderId="402" xfId="0" applyNumberFormat="1" applyFont="1" applyFill="1" applyBorder="1" applyAlignment="1">
      <alignment horizontal="right" vertical="center" wrapText="1"/>
    </xf>
    <xf numFmtId="0" fontId="55" fillId="18" borderId="402" xfId="0" applyFont="1" applyFill="1" applyBorder="1" applyAlignment="1">
      <alignment horizontal="center" vertical="center" wrapText="1"/>
    </xf>
    <xf numFmtId="3" fontId="55" fillId="18" borderId="402" xfId="0" applyNumberFormat="1" applyFont="1" applyFill="1" applyBorder="1" applyAlignment="1">
      <alignment horizontal="center" vertical="center" wrapText="1"/>
    </xf>
    <xf numFmtId="180" fontId="55" fillId="18" borderId="402" xfId="0" applyNumberFormat="1" applyFont="1" applyFill="1" applyBorder="1" applyAlignment="1">
      <alignment horizontal="right" vertical="center" wrapText="1"/>
    </xf>
    <xf numFmtId="0" fontId="55" fillId="18" borderId="402" xfId="0" applyFont="1" applyFill="1" applyBorder="1" applyAlignment="1">
      <alignment horizontal="right" vertical="center" wrapText="1"/>
    </xf>
    <xf numFmtId="3" fontId="55" fillId="18" borderId="402" xfId="0" applyNumberFormat="1" applyFont="1" applyFill="1" applyBorder="1" applyAlignment="1">
      <alignment horizontal="right" vertical="center" wrapText="1"/>
    </xf>
    <xf numFmtId="22" fontId="55" fillId="18" borderId="402" xfId="0" applyNumberFormat="1" applyFont="1" applyFill="1" applyBorder="1" applyAlignment="1">
      <alignment horizontal="left" vertical="center" wrapText="1"/>
    </xf>
    <xf numFmtId="0" fontId="55" fillId="20" borderId="404" xfId="0" applyFont="1" applyFill="1" applyBorder="1" applyAlignment="1">
      <alignment horizontal="left" vertical="center" wrapText="1"/>
    </xf>
    <xf numFmtId="14" fontId="55" fillId="20" borderId="404" xfId="0" applyNumberFormat="1" applyFont="1" applyFill="1" applyBorder="1" applyAlignment="1">
      <alignment horizontal="center" vertical="center" wrapText="1"/>
    </xf>
    <xf numFmtId="179" fontId="55" fillId="20" borderId="404" xfId="0" applyNumberFormat="1" applyFont="1" applyFill="1" applyBorder="1" applyAlignment="1">
      <alignment horizontal="right" vertical="center" wrapText="1"/>
    </xf>
    <xf numFmtId="0" fontId="55" fillId="20" borderId="404" xfId="0" applyFont="1" applyFill="1" applyBorder="1" applyAlignment="1">
      <alignment horizontal="center" vertical="center" wrapText="1"/>
    </xf>
    <xf numFmtId="3" fontId="55" fillId="20" borderId="404" xfId="0" applyNumberFormat="1" applyFont="1" applyFill="1" applyBorder="1" applyAlignment="1">
      <alignment horizontal="center" vertical="center" wrapText="1"/>
    </xf>
    <xf numFmtId="180" fontId="55" fillId="20" borderId="404" xfId="0" applyNumberFormat="1" applyFont="1" applyFill="1" applyBorder="1" applyAlignment="1">
      <alignment horizontal="right" vertical="center" wrapText="1"/>
    </xf>
    <xf numFmtId="0" fontId="55" fillId="20" borderId="404" xfId="0" applyFont="1" applyFill="1" applyBorder="1" applyAlignment="1">
      <alignment horizontal="right" vertical="center" wrapText="1"/>
    </xf>
    <xf numFmtId="3" fontId="55" fillId="20" borderId="404" xfId="0" applyNumberFormat="1" applyFont="1" applyFill="1" applyBorder="1" applyAlignment="1">
      <alignment horizontal="right" vertical="center" wrapText="1"/>
    </xf>
    <xf numFmtId="22" fontId="55" fillId="20" borderId="404" xfId="0" applyNumberFormat="1" applyFont="1" applyFill="1" applyBorder="1" applyAlignment="1">
      <alignment horizontal="left" vertical="center" wrapText="1"/>
    </xf>
    <xf numFmtId="0" fontId="55" fillId="18" borderId="404" xfId="0" applyFont="1" applyFill="1" applyBorder="1" applyAlignment="1">
      <alignment horizontal="left" vertical="center" wrapText="1"/>
    </xf>
    <xf numFmtId="14" fontId="55" fillId="18" borderId="404" xfId="0" applyNumberFormat="1" applyFont="1" applyFill="1" applyBorder="1" applyAlignment="1">
      <alignment horizontal="center" vertical="center" wrapText="1"/>
    </xf>
    <xf numFmtId="179" fontId="55" fillId="18" borderId="404" xfId="0" applyNumberFormat="1" applyFont="1" applyFill="1" applyBorder="1" applyAlignment="1">
      <alignment horizontal="right" vertical="center" wrapText="1"/>
    </xf>
    <xf numFmtId="0" fontId="55" fillId="18" borderId="404" xfId="0" applyFont="1" applyFill="1" applyBorder="1" applyAlignment="1">
      <alignment horizontal="center" vertical="center" wrapText="1"/>
    </xf>
    <xf numFmtId="3" fontId="55" fillId="18" borderId="404" xfId="0" applyNumberFormat="1" applyFont="1" applyFill="1" applyBorder="1" applyAlignment="1">
      <alignment horizontal="center" vertical="center" wrapText="1"/>
    </xf>
    <xf numFmtId="180" fontId="55" fillId="18" borderId="404" xfId="0" applyNumberFormat="1" applyFont="1" applyFill="1" applyBorder="1" applyAlignment="1">
      <alignment horizontal="right" vertical="center" wrapText="1"/>
    </xf>
    <xf numFmtId="0" fontId="55" fillId="18" borderId="404" xfId="0" applyFont="1" applyFill="1" applyBorder="1" applyAlignment="1">
      <alignment horizontal="right" vertical="center" wrapText="1"/>
    </xf>
    <xf numFmtId="3" fontId="55" fillId="18" borderId="404" xfId="0" applyNumberFormat="1" applyFont="1" applyFill="1" applyBorder="1" applyAlignment="1">
      <alignment horizontal="right" vertical="center" wrapText="1"/>
    </xf>
    <xf numFmtId="22" fontId="55" fillId="18" borderId="404" xfId="0" applyNumberFormat="1" applyFont="1" applyFill="1" applyBorder="1" applyAlignment="1">
      <alignment horizontal="left" vertical="center" wrapText="1"/>
    </xf>
    <xf numFmtId="0" fontId="1" fillId="0" borderId="0" xfId="0" applyFont="1" applyAlignment="1">
      <alignment vertical="center"/>
    </xf>
    <xf numFmtId="0" fontId="2" fillId="0" borderId="401" xfId="0" applyFont="1" applyBorder="1" applyAlignment="1">
      <alignment horizontal="center" vertical="center"/>
    </xf>
    <xf numFmtId="0" fontId="2" fillId="0" borderId="141" xfId="0" applyFont="1" applyBorder="1" applyAlignment="1">
      <alignment horizontal="center" vertical="center"/>
    </xf>
    <xf numFmtId="9" fontId="2" fillId="0" borderId="141" xfId="0" applyNumberFormat="1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10" fontId="2" fillId="0" borderId="14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16" borderId="401" xfId="0" applyFont="1" applyFill="1" applyBorder="1" applyAlignment="1">
      <alignment horizontal="center" vertical="center"/>
    </xf>
    <xf numFmtId="9" fontId="2" fillId="16" borderId="141" xfId="0" applyNumberFormat="1" applyFont="1" applyFill="1" applyBorder="1" applyAlignment="1">
      <alignment horizontal="center" vertical="center"/>
    </xf>
    <xf numFmtId="181" fontId="2" fillId="0" borderId="0" xfId="0" applyNumberFormat="1" applyFont="1" applyAlignment="1">
      <alignment horizontal="center" vertical="center"/>
    </xf>
    <xf numFmtId="182" fontId="2" fillId="0" borderId="141" xfId="0" applyNumberFormat="1" applyFont="1" applyBorder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9" fontId="1" fillId="16" borderId="0" xfId="0" applyNumberFormat="1" applyFont="1" applyFill="1" applyAlignment="1">
      <alignment horizontal="center" vertical="center"/>
    </xf>
    <xf numFmtId="3" fontId="56" fillId="21" borderId="35" xfId="0" applyNumberFormat="1" applyFont="1" applyFill="1" applyBorder="1" applyAlignment="1">
      <alignment horizontal="right" vertical="center"/>
    </xf>
    <xf numFmtId="3" fontId="56" fillId="22" borderId="35" xfId="0" applyNumberFormat="1" applyFont="1" applyFill="1" applyBorder="1" applyAlignment="1">
      <alignment horizontal="right" vertical="center"/>
    </xf>
    <xf numFmtId="164" fontId="56" fillId="21" borderId="35" xfId="0" applyNumberFormat="1" applyFont="1" applyFill="1" applyBorder="1" applyAlignment="1">
      <alignment horizontal="right" vertical="center"/>
    </xf>
    <xf numFmtId="164" fontId="56" fillId="22" borderId="35" xfId="0" applyNumberFormat="1" applyFont="1" applyFill="1" applyBorder="1" applyAlignment="1">
      <alignment horizontal="right" vertical="center"/>
    </xf>
    <xf numFmtId="3" fontId="56" fillId="7" borderId="35" xfId="0" applyNumberFormat="1" applyFont="1" applyFill="1" applyBorder="1" applyAlignment="1">
      <alignment horizontal="right" vertical="center"/>
    </xf>
    <xf numFmtId="164" fontId="56" fillId="7" borderId="35" xfId="0" applyNumberFormat="1" applyFont="1" applyFill="1" applyBorder="1" applyAlignment="1">
      <alignment horizontal="right" vertical="center"/>
    </xf>
    <xf numFmtId="164" fontId="56" fillId="2" borderId="0" xfId="0" applyNumberFormat="1" applyFont="1" applyFill="1" applyAlignment="1">
      <alignment horizontal="right" vertical="center"/>
    </xf>
    <xf numFmtId="164" fontId="21" fillId="2" borderId="140" xfId="0" applyNumberFormat="1" applyFont="1" applyFill="1" applyBorder="1" applyAlignment="1">
      <alignment horizontal="center" vertical="center"/>
    </xf>
    <xf numFmtId="164" fontId="21" fillId="0" borderId="136" xfId="0" applyNumberFormat="1" applyFont="1" applyBorder="1" applyAlignment="1">
      <alignment horizontal="center" vertical="center"/>
    </xf>
    <xf numFmtId="164" fontId="21" fillId="2" borderId="141" xfId="0" applyNumberFormat="1" applyFont="1" applyFill="1" applyBorder="1" applyAlignment="1">
      <alignment horizontal="center" vertical="center"/>
    </xf>
    <xf numFmtId="164" fontId="21" fillId="0" borderId="142" xfId="0" applyNumberFormat="1" applyFont="1" applyBorder="1" applyAlignment="1">
      <alignment horizontal="center" vertical="center"/>
    </xf>
    <xf numFmtId="164" fontId="21" fillId="2" borderId="163" xfId="0" applyNumberFormat="1" applyFont="1" applyFill="1" applyBorder="1" applyAlignment="1">
      <alignment horizontal="center" vertical="center"/>
    </xf>
    <xf numFmtId="164" fontId="21" fillId="0" borderId="164" xfId="0" applyNumberFormat="1" applyFont="1" applyBorder="1" applyAlignment="1">
      <alignment horizontal="center" vertical="center"/>
    </xf>
    <xf numFmtId="164" fontId="21" fillId="2" borderId="0" xfId="0" applyNumberFormat="1" applyFont="1" applyFill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" fillId="2" borderId="140" xfId="0" applyNumberFormat="1" applyFont="1" applyFill="1" applyBorder="1" applyAlignment="1">
      <alignment vertical="center"/>
    </xf>
    <xf numFmtId="164" fontId="1" fillId="2" borderId="163" xfId="0" applyNumberFormat="1" applyFont="1" applyFill="1" applyBorder="1" applyAlignment="1">
      <alignment vertical="center"/>
    </xf>
    <xf numFmtId="0" fontId="5" fillId="2" borderId="0" xfId="0" applyFont="1" applyFill="1" applyAlignment="1">
      <alignment horizontal="left" vertical="center" shrinkToFit="1"/>
    </xf>
    <xf numFmtId="0" fontId="1" fillId="2" borderId="0" xfId="0" applyFont="1" applyFill="1" applyAlignment="1">
      <alignment vertical="center" shrinkToFit="1"/>
    </xf>
    <xf numFmtId="0" fontId="5" fillId="2" borderId="0" xfId="0" applyFont="1" applyFill="1" applyAlignment="1">
      <alignment vertical="center" shrinkToFit="1"/>
    </xf>
    <xf numFmtId="0" fontId="25" fillId="2" borderId="174" xfId="0" applyFont="1" applyFill="1" applyBorder="1" applyAlignment="1">
      <alignment horizontal="right" vertical="center" shrinkToFit="1"/>
    </xf>
    <xf numFmtId="0" fontId="57" fillId="2" borderId="174" xfId="0" applyFont="1" applyFill="1" applyBorder="1" applyAlignment="1">
      <alignment horizontal="right" vertical="center" shrinkToFit="1"/>
    </xf>
    <xf numFmtId="0" fontId="17" fillId="23" borderId="140" xfId="0" applyFont="1" applyFill="1" applyBorder="1" applyAlignment="1">
      <alignment horizontal="center" vertical="center" shrinkToFit="1"/>
    </xf>
    <xf numFmtId="0" fontId="17" fillId="23" borderId="136" xfId="0" applyFont="1" applyFill="1" applyBorder="1" applyAlignment="1">
      <alignment horizontal="center" vertical="center" shrinkToFit="1"/>
    </xf>
    <xf numFmtId="0" fontId="17" fillId="23" borderId="233" xfId="0" applyFont="1" applyFill="1" applyBorder="1" applyAlignment="1">
      <alignment horizontal="center" vertical="center" shrinkToFit="1"/>
    </xf>
    <xf numFmtId="0" fontId="17" fillId="23" borderId="234" xfId="0" applyFont="1" applyFill="1" applyBorder="1" applyAlignment="1">
      <alignment horizontal="center" vertical="center" shrinkToFit="1"/>
    </xf>
    <xf numFmtId="0" fontId="17" fillId="23" borderId="235" xfId="0" applyFont="1" applyFill="1" applyBorder="1" applyAlignment="1">
      <alignment horizontal="center" vertical="center" shrinkToFit="1"/>
    </xf>
    <xf numFmtId="0" fontId="17" fillId="23" borderId="401" xfId="0" applyFont="1" applyFill="1" applyBorder="1" applyAlignment="1">
      <alignment horizontal="center" vertical="center" wrapText="1" shrinkToFit="1"/>
    </xf>
    <xf numFmtId="0" fontId="17" fillId="23" borderId="401" xfId="0" applyFont="1" applyFill="1" applyBorder="1" applyAlignment="1">
      <alignment horizontal="center" vertical="center" shrinkToFit="1"/>
    </xf>
    <xf numFmtId="0" fontId="17" fillId="23" borderId="163" xfId="0" applyFont="1" applyFill="1" applyBorder="1" applyAlignment="1">
      <alignment horizontal="center" vertical="center" shrinkToFit="1"/>
    </xf>
    <xf numFmtId="0" fontId="17" fillId="23" borderId="164" xfId="0" applyFont="1" applyFill="1" applyBorder="1" applyAlignment="1">
      <alignment horizontal="center" vertical="center" shrinkToFit="1"/>
    </xf>
    <xf numFmtId="0" fontId="17" fillId="23" borderId="405" xfId="0" applyFont="1" applyFill="1" applyBorder="1" applyAlignment="1">
      <alignment horizontal="center" vertical="center" shrinkToFit="1"/>
    </xf>
    <xf numFmtId="0" fontId="17" fillId="23" borderId="406" xfId="0" applyFont="1" applyFill="1" applyBorder="1" applyAlignment="1">
      <alignment horizontal="center" vertical="center" shrinkToFit="1"/>
    </xf>
    <xf numFmtId="0" fontId="17" fillId="23" borderId="407" xfId="0" applyFont="1" applyFill="1" applyBorder="1" applyAlignment="1">
      <alignment horizontal="center" vertical="center" shrinkToFit="1"/>
    </xf>
    <xf numFmtId="0" fontId="1" fillId="2" borderId="155" xfId="0" applyFont="1" applyFill="1" applyBorder="1" applyAlignment="1">
      <alignment horizontal="center" vertical="center" shrinkToFit="1"/>
    </xf>
    <xf numFmtId="164" fontId="56" fillId="0" borderId="35" xfId="0" applyNumberFormat="1" applyFont="1" applyBorder="1" applyAlignment="1">
      <alignment horizontal="right" vertical="center"/>
    </xf>
    <xf numFmtId="0" fontId="1" fillId="2" borderId="178" xfId="0" applyFont="1" applyFill="1" applyBorder="1" applyAlignment="1">
      <alignment horizontal="center" vertical="center" shrinkToFit="1"/>
    </xf>
    <xf numFmtId="0" fontId="1" fillId="2" borderId="400" xfId="0" applyFont="1" applyFill="1" applyBorder="1" applyAlignment="1">
      <alignment horizontal="center" vertical="center" shrinkToFit="1"/>
    </xf>
    <xf numFmtId="0" fontId="1" fillId="2" borderId="399" xfId="0" applyFont="1" applyFill="1" applyBorder="1" applyAlignment="1">
      <alignment horizontal="center" vertical="center" shrinkToFit="1"/>
    </xf>
    <xf numFmtId="0" fontId="20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 shrinkToFit="1"/>
    </xf>
    <xf numFmtId="164" fontId="56" fillId="2" borderId="0" xfId="0" applyNumberFormat="1" applyFont="1" applyFill="1" applyAlignment="1">
      <alignment vertical="center"/>
    </xf>
    <xf numFmtId="164" fontId="56" fillId="0" borderId="0" xfId="0" applyNumberFormat="1" applyFont="1" applyAlignment="1">
      <alignment horizontal="right" vertical="center"/>
    </xf>
    <xf numFmtId="0" fontId="1" fillId="0" borderId="135" xfId="0" applyFont="1" applyBorder="1" applyAlignment="1">
      <alignment vertical="center"/>
    </xf>
    <xf numFmtId="164" fontId="1" fillId="0" borderId="136" xfId="0" applyNumberFormat="1" applyFont="1" applyBorder="1" applyAlignment="1">
      <alignment vertical="center"/>
    </xf>
    <xf numFmtId="0" fontId="1" fillId="0" borderId="141" xfId="0" applyFont="1" applyBorder="1" applyAlignment="1">
      <alignment vertical="center"/>
    </xf>
    <xf numFmtId="164" fontId="1" fillId="0" borderId="142" xfId="0" applyNumberFormat="1" applyFont="1" applyBorder="1" applyAlignment="1">
      <alignment vertical="center"/>
    </xf>
    <xf numFmtId="0" fontId="1" fillId="0" borderId="134" xfId="0" applyFont="1" applyBorder="1" applyAlignment="1">
      <alignment vertical="center"/>
    </xf>
    <xf numFmtId="0" fontId="1" fillId="0" borderId="163" xfId="0" applyFont="1" applyBorder="1" applyAlignment="1">
      <alignment vertical="center"/>
    </xf>
    <xf numFmtId="0" fontId="1" fillId="0" borderId="174" xfId="0" applyFont="1" applyBorder="1" applyAlignment="1">
      <alignment vertical="center"/>
    </xf>
    <xf numFmtId="164" fontId="1" fillId="0" borderId="164" xfId="0" applyNumberFormat="1" applyFont="1" applyBorder="1" applyAlignment="1">
      <alignment vertical="center"/>
    </xf>
    <xf numFmtId="0" fontId="1" fillId="0" borderId="408" xfId="0" applyFont="1" applyBorder="1" applyAlignment="1">
      <alignment horizontal="center" vertical="center"/>
    </xf>
    <xf numFmtId="0" fontId="1" fillId="0" borderId="409" xfId="0" applyFont="1" applyBorder="1" applyAlignment="1">
      <alignment horizontal="center" vertical="center"/>
    </xf>
    <xf numFmtId="0" fontId="1" fillId="0" borderId="408" xfId="0" applyFont="1" applyBorder="1" applyAlignment="1">
      <alignment horizontal="left" vertical="center"/>
    </xf>
    <xf numFmtId="0" fontId="1" fillId="0" borderId="410" xfId="0" applyFont="1" applyBorder="1" applyAlignment="1">
      <alignment horizontal="left" vertical="center"/>
    </xf>
    <xf numFmtId="0" fontId="1" fillId="0" borderId="409" xfId="0" applyFont="1" applyBorder="1" applyAlignment="1">
      <alignment horizontal="left" vertical="center"/>
    </xf>
    <xf numFmtId="0" fontId="1" fillId="0" borderId="410" xfId="0" applyFont="1" applyBorder="1" applyAlignment="1">
      <alignment horizontal="center" vertical="center"/>
    </xf>
    <xf numFmtId="0" fontId="1" fillId="10" borderId="411" xfId="0" applyFont="1" applyFill="1" applyBorder="1" applyAlignment="1">
      <alignment vertical="center"/>
    </xf>
    <xf numFmtId="0" fontId="58" fillId="10" borderId="412" xfId="0" applyFont="1" applyFill="1" applyBorder="1" applyAlignment="1">
      <alignment vertical="center"/>
    </xf>
    <xf numFmtId="0" fontId="1" fillId="10" borderId="413" xfId="0" applyFont="1" applyFill="1" applyBorder="1" applyAlignment="1">
      <alignment vertical="center"/>
    </xf>
    <xf numFmtId="0" fontId="1" fillId="10" borderId="414" xfId="0" applyFont="1" applyFill="1" applyBorder="1" applyAlignment="1">
      <alignment vertical="center"/>
    </xf>
    <xf numFmtId="0" fontId="1" fillId="10" borderId="415" xfId="0" applyFont="1" applyFill="1" applyBorder="1" applyAlignment="1">
      <alignment vertical="center"/>
    </xf>
    <xf numFmtId="0" fontId="1" fillId="10" borderId="412" xfId="0" applyFont="1" applyFill="1" applyBorder="1" applyAlignment="1">
      <alignment vertical="center"/>
    </xf>
    <xf numFmtId="0" fontId="1" fillId="0" borderId="416" xfId="0" applyFont="1" applyBorder="1" applyAlignment="1">
      <alignment vertical="center"/>
    </xf>
    <xf numFmtId="0" fontId="59" fillId="0" borderId="417" xfId="0" applyFont="1" applyBorder="1" applyAlignment="1">
      <alignment vertical="center"/>
    </xf>
    <xf numFmtId="0" fontId="1" fillId="0" borderId="418" xfId="0" applyFont="1" applyBorder="1" applyAlignment="1">
      <alignment vertical="center"/>
    </xf>
    <xf numFmtId="0" fontId="1" fillId="0" borderId="417" xfId="0" applyFont="1" applyBorder="1" applyAlignment="1">
      <alignment vertical="center"/>
    </xf>
    <xf numFmtId="0" fontId="1" fillId="0" borderId="419" xfId="0" applyFont="1" applyBorder="1" applyAlignment="1">
      <alignment vertical="center"/>
    </xf>
    <xf numFmtId="0" fontId="1" fillId="0" borderId="420" xfId="0" applyFont="1" applyBorder="1" applyAlignment="1">
      <alignment vertical="center"/>
    </xf>
    <xf numFmtId="0" fontId="1" fillId="0" borderId="421" xfId="0" applyFont="1" applyBorder="1" applyAlignment="1">
      <alignment vertical="center"/>
    </xf>
    <xf numFmtId="0" fontId="59" fillId="0" borderId="422" xfId="0" applyFont="1" applyBorder="1" applyAlignment="1">
      <alignment vertical="center"/>
    </xf>
    <xf numFmtId="0" fontId="1" fillId="0" borderId="233" xfId="0" applyFont="1" applyBorder="1" applyAlignment="1">
      <alignment vertical="center"/>
    </xf>
    <xf numFmtId="0" fontId="1" fillId="0" borderId="423" xfId="0" applyFont="1" applyBorder="1" applyAlignment="1">
      <alignment vertical="center"/>
    </xf>
    <xf numFmtId="0" fontId="1" fillId="0" borderId="424" xfId="0" applyFont="1" applyBorder="1" applyAlignment="1">
      <alignment vertical="center"/>
    </xf>
    <xf numFmtId="0" fontId="1" fillId="0" borderId="422" xfId="0" applyFont="1" applyBorder="1" applyAlignment="1">
      <alignment vertical="center"/>
    </xf>
    <xf numFmtId="0" fontId="1" fillId="6" borderId="421" xfId="0" applyFont="1" applyFill="1" applyBorder="1" applyAlignment="1">
      <alignment vertical="center"/>
    </xf>
    <xf numFmtId="0" fontId="59" fillId="6" borderId="422" xfId="0" applyFont="1" applyFill="1" applyBorder="1" applyAlignment="1">
      <alignment vertical="center"/>
    </xf>
    <xf numFmtId="0" fontId="1" fillId="6" borderId="401" xfId="0" applyFont="1" applyFill="1" applyBorder="1" applyAlignment="1">
      <alignment vertical="center"/>
    </xf>
    <xf numFmtId="0" fontId="1" fillId="6" borderId="233" xfId="0" applyFont="1" applyFill="1" applyBorder="1" applyAlignment="1">
      <alignment vertical="center"/>
    </xf>
    <xf numFmtId="0" fontId="1" fillId="6" borderId="423" xfId="0" applyFont="1" applyFill="1" applyBorder="1" applyAlignment="1">
      <alignment vertical="center"/>
    </xf>
    <xf numFmtId="0" fontId="1" fillId="6" borderId="424" xfId="0" applyFont="1" applyFill="1" applyBorder="1" applyAlignment="1">
      <alignment vertical="center"/>
    </xf>
    <xf numFmtId="0" fontId="1" fillId="6" borderId="422" xfId="0" applyFont="1" applyFill="1" applyBorder="1" applyAlignment="1">
      <alignment vertical="center"/>
    </xf>
    <xf numFmtId="0" fontId="1" fillId="6" borderId="425" xfId="0" applyFont="1" applyFill="1" applyBorder="1" applyAlignment="1">
      <alignment vertical="center"/>
    </xf>
    <xf numFmtId="0" fontId="59" fillId="6" borderId="426" xfId="0" applyFont="1" applyFill="1" applyBorder="1" applyAlignment="1">
      <alignment vertical="center"/>
    </xf>
    <xf numFmtId="0" fontId="1" fillId="6" borderId="427" xfId="0" applyFont="1" applyFill="1" applyBorder="1" applyAlignment="1">
      <alignment vertical="center"/>
    </xf>
    <xf numFmtId="0" fontId="1" fillId="6" borderId="426" xfId="0" applyFont="1" applyFill="1" applyBorder="1" applyAlignment="1">
      <alignment vertical="center"/>
    </xf>
    <xf numFmtId="0" fontId="1" fillId="6" borderId="428" xfId="0" applyFont="1" applyFill="1" applyBorder="1" applyAlignment="1">
      <alignment vertical="center"/>
    </xf>
    <xf numFmtId="0" fontId="1" fillId="6" borderId="429" xfId="0" applyFont="1" applyFill="1" applyBorder="1" applyAlignment="1">
      <alignment vertical="center"/>
    </xf>
    <xf numFmtId="3" fontId="1" fillId="0" borderId="421" xfId="0" applyNumberFormat="1" applyFont="1" applyBorder="1" applyAlignment="1">
      <alignment vertical="center"/>
    </xf>
    <xf numFmtId="3" fontId="1" fillId="0" borderId="401" xfId="0" applyNumberFormat="1" applyFont="1" applyBorder="1" applyAlignment="1">
      <alignment vertical="center"/>
    </xf>
    <xf numFmtId="3" fontId="1" fillId="0" borderId="233" xfId="0" applyNumberFormat="1" applyFont="1" applyBorder="1" applyAlignment="1">
      <alignment vertical="center"/>
    </xf>
    <xf numFmtId="3" fontId="1" fillId="0" borderId="423" xfId="0" applyNumberFormat="1" applyFont="1" applyBorder="1" applyAlignment="1">
      <alignment vertical="center"/>
    </xf>
    <xf numFmtId="0" fontId="60" fillId="0" borderId="0" xfId="0" applyFont="1" applyAlignment="1">
      <alignment vertical="center"/>
    </xf>
    <xf numFmtId="0" fontId="60" fillId="0" borderId="430" xfId="0" applyFont="1" applyBorder="1" applyAlignment="1">
      <alignment vertical="center"/>
    </xf>
    <xf numFmtId="0" fontId="61" fillId="0" borderId="422" xfId="0" applyFont="1" applyBorder="1" applyAlignment="1">
      <alignment vertical="center"/>
    </xf>
    <xf numFmtId="3" fontId="61" fillId="0" borderId="421" xfId="0" applyNumberFormat="1" applyFont="1" applyBorder="1" applyAlignment="1">
      <alignment vertical="center"/>
    </xf>
    <xf numFmtId="3" fontId="61" fillId="0" borderId="401" xfId="0" applyNumberFormat="1" applyFont="1" applyBorder="1" applyAlignment="1">
      <alignment vertical="center"/>
    </xf>
    <xf numFmtId="3" fontId="61" fillId="0" borderId="233" xfId="0" applyNumberFormat="1" applyFont="1" applyBorder="1" applyAlignment="1">
      <alignment vertical="center"/>
    </xf>
    <xf numFmtId="3" fontId="61" fillId="0" borderId="423" xfId="0" applyNumberFormat="1" applyFont="1" applyBorder="1" applyAlignment="1">
      <alignment vertical="center"/>
    </xf>
    <xf numFmtId="0" fontId="60" fillId="0" borderId="424" xfId="0" applyFont="1" applyBorder="1" applyAlignment="1">
      <alignment vertical="center"/>
    </xf>
    <xf numFmtId="0" fontId="60" fillId="0" borderId="401" xfId="0" applyFont="1" applyBorder="1" applyAlignment="1">
      <alignment vertical="center"/>
    </xf>
    <xf numFmtId="0" fontId="60" fillId="0" borderId="422" xfId="0" applyFont="1" applyBorder="1" applyAlignment="1">
      <alignment vertical="center"/>
    </xf>
    <xf numFmtId="0" fontId="60" fillId="0" borderId="421" xfId="0" applyFont="1" applyBorder="1" applyAlignment="1">
      <alignment vertical="center"/>
    </xf>
    <xf numFmtId="0" fontId="60" fillId="0" borderId="423" xfId="0" applyFont="1" applyBorder="1" applyAlignment="1">
      <alignment vertical="center"/>
    </xf>
    <xf numFmtId="3" fontId="60" fillId="0" borderId="421" xfId="0" applyNumberFormat="1" applyFont="1" applyBorder="1" applyAlignment="1">
      <alignment vertical="center"/>
    </xf>
    <xf numFmtId="3" fontId="60" fillId="0" borderId="401" xfId="0" applyNumberFormat="1" applyFont="1" applyBorder="1" applyAlignment="1">
      <alignment vertical="center"/>
    </xf>
    <xf numFmtId="3" fontId="60" fillId="0" borderId="233" xfId="0" applyNumberFormat="1" applyFont="1" applyBorder="1" applyAlignment="1">
      <alignment vertical="center"/>
    </xf>
    <xf numFmtId="3" fontId="60" fillId="0" borderId="423" xfId="0" applyNumberFormat="1" applyFont="1" applyBorder="1" applyAlignment="1">
      <alignment vertical="center"/>
    </xf>
    <xf numFmtId="0" fontId="62" fillId="0" borderId="0" xfId="0" applyFont="1" applyAlignment="1">
      <alignment vertical="center"/>
    </xf>
    <xf numFmtId="0" fontId="62" fillId="0" borderId="416" xfId="0" applyFont="1" applyBorder="1" applyAlignment="1">
      <alignment vertical="center"/>
    </xf>
    <xf numFmtId="3" fontId="63" fillId="0" borderId="421" xfId="0" applyNumberFormat="1" applyFont="1" applyBorder="1" applyAlignment="1">
      <alignment vertical="center"/>
    </xf>
    <xf numFmtId="3" fontId="62" fillId="0" borderId="401" xfId="0" applyNumberFormat="1" applyFont="1" applyBorder="1" applyAlignment="1">
      <alignment vertical="center"/>
    </xf>
    <xf numFmtId="3" fontId="62" fillId="0" borderId="233" xfId="0" applyNumberFormat="1" applyFont="1" applyBorder="1" applyAlignment="1">
      <alignment vertical="center"/>
    </xf>
    <xf numFmtId="3" fontId="62" fillId="0" borderId="423" xfId="0" applyNumberFormat="1" applyFont="1" applyBorder="1" applyAlignment="1">
      <alignment vertical="center"/>
    </xf>
    <xf numFmtId="0" fontId="62" fillId="0" borderId="424" xfId="0" applyFont="1" applyBorder="1" applyAlignment="1">
      <alignment vertical="center"/>
    </xf>
    <xf numFmtId="0" fontId="62" fillId="0" borderId="401" xfId="0" applyFont="1" applyBorder="1" applyAlignment="1">
      <alignment vertical="center"/>
    </xf>
    <xf numFmtId="0" fontId="62" fillId="0" borderId="422" xfId="0" applyFont="1" applyBorder="1" applyAlignment="1">
      <alignment vertical="center"/>
    </xf>
    <xf numFmtId="0" fontId="62" fillId="0" borderId="421" xfId="0" applyFont="1" applyBorder="1" applyAlignment="1">
      <alignment vertical="center"/>
    </xf>
    <xf numFmtId="0" fontId="62" fillId="0" borderId="423" xfId="0" applyFont="1" applyBorder="1" applyAlignment="1">
      <alignment vertical="center"/>
    </xf>
    <xf numFmtId="0" fontId="60" fillId="0" borderId="416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0" borderId="174" xfId="0" applyFont="1" applyBorder="1" applyAlignment="1">
      <alignment vertical="center"/>
    </xf>
    <xf numFmtId="164" fontId="20" fillId="0" borderId="0" xfId="0" applyNumberFormat="1" applyFont="1" applyAlignment="1">
      <alignment vertical="center"/>
    </xf>
    <xf numFmtId="164" fontId="60" fillId="0" borderId="0" xfId="0" applyNumberFormat="1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174" xfId="0" applyFont="1" applyBorder="1" applyAlignment="1">
      <alignment horizontal="center" vertical="center"/>
    </xf>
    <xf numFmtId="0" fontId="60" fillId="23" borderId="401" xfId="0" applyFont="1" applyFill="1" applyBorder="1" applyAlignment="1">
      <alignment horizontal="center" vertical="center" wrapText="1"/>
    </xf>
    <xf numFmtId="0" fontId="60" fillId="23" borderId="422" xfId="0" applyFont="1" applyFill="1" applyBorder="1" applyAlignment="1">
      <alignment vertical="center"/>
    </xf>
    <xf numFmtId="0" fontId="60" fillId="23" borderId="424" xfId="0" applyFont="1" applyFill="1" applyBorder="1" applyAlignment="1">
      <alignment vertical="center"/>
    </xf>
    <xf numFmtId="0" fontId="60" fillId="23" borderId="234" xfId="0" applyFont="1" applyFill="1" applyBorder="1" applyAlignment="1">
      <alignment vertical="center"/>
    </xf>
    <xf numFmtId="0" fontId="60" fillId="23" borderId="401" xfId="0" applyFont="1" applyFill="1" applyBorder="1" applyAlignment="1">
      <alignment horizontal="center" vertical="center"/>
    </xf>
    <xf numFmtId="0" fontId="60" fillId="23" borderId="155" xfId="0" applyFont="1" applyFill="1" applyBorder="1" applyAlignment="1">
      <alignment horizontal="center" vertical="center" wrapText="1"/>
    </xf>
    <xf numFmtId="0" fontId="60" fillId="23" borderId="155" xfId="0" applyFont="1" applyFill="1" applyBorder="1" applyAlignment="1">
      <alignment horizontal="center" vertical="center"/>
    </xf>
    <xf numFmtId="0" fontId="64" fillId="0" borderId="431" xfId="0" applyFont="1" applyBorder="1" applyAlignment="1">
      <alignment horizontal="center" vertical="center" wrapText="1" readingOrder="1"/>
    </xf>
    <xf numFmtId="164" fontId="34" fillId="0" borderId="432" xfId="0" applyNumberFormat="1" applyFont="1" applyBorder="1" applyAlignment="1">
      <alignment horizontal="right" vertical="center" wrapText="1" readingOrder="1"/>
    </xf>
    <xf numFmtId="164" fontId="20" fillId="0" borderId="432" xfId="0" applyNumberFormat="1" applyFont="1" applyBorder="1" applyAlignment="1">
      <alignment horizontal="center" vertical="center"/>
    </xf>
    <xf numFmtId="164" fontId="34" fillId="0" borderId="433" xfId="0" applyNumberFormat="1" applyFont="1" applyBorder="1" applyAlignment="1">
      <alignment horizontal="right" vertical="center" wrapText="1" readingOrder="1"/>
    </xf>
    <xf numFmtId="0" fontId="64" fillId="0" borderId="434" xfId="0" applyFont="1" applyBorder="1" applyAlignment="1">
      <alignment horizontal="center" vertical="center" wrapText="1" readingOrder="1"/>
    </xf>
    <xf numFmtId="164" fontId="34" fillId="0" borderId="401" xfId="0" applyNumberFormat="1" applyFont="1" applyBorder="1" applyAlignment="1">
      <alignment horizontal="right" vertical="center" wrapText="1" readingOrder="1"/>
    </xf>
    <xf numFmtId="164" fontId="20" fillId="0" borderId="401" xfId="0" applyNumberFormat="1" applyFont="1" applyBorder="1" applyAlignment="1">
      <alignment horizontal="center" vertical="center"/>
    </xf>
    <xf numFmtId="164" fontId="34" fillId="0" borderId="435" xfId="0" applyNumberFormat="1" applyFont="1" applyBorder="1" applyAlignment="1">
      <alignment horizontal="right" vertical="center" wrapText="1" readingOrder="1"/>
    </xf>
    <xf numFmtId="0" fontId="64" fillId="0" borderId="436" xfId="0" applyFont="1" applyBorder="1" applyAlignment="1">
      <alignment horizontal="center" vertical="center" wrapText="1" readingOrder="1"/>
    </xf>
    <xf numFmtId="164" fontId="34" fillId="0" borderId="437" xfId="0" applyNumberFormat="1" applyFont="1" applyBorder="1" applyAlignment="1">
      <alignment horizontal="right" vertical="center" wrapText="1" readingOrder="1"/>
    </xf>
    <xf numFmtId="164" fontId="20" fillId="0" borderId="437" xfId="0" applyNumberFormat="1" applyFont="1" applyBorder="1" applyAlignment="1">
      <alignment horizontal="center" vertical="center"/>
    </xf>
    <xf numFmtId="164" fontId="34" fillId="0" borderId="438" xfId="0" applyNumberFormat="1" applyFont="1" applyBorder="1" applyAlignment="1">
      <alignment horizontal="right" vertical="center" wrapText="1" readingOrder="1"/>
    </xf>
    <xf numFmtId="0" fontId="64" fillId="0" borderId="178" xfId="0" applyFont="1" applyBorder="1" applyAlignment="1">
      <alignment horizontal="center" vertical="center" wrapText="1" readingOrder="1"/>
    </xf>
    <xf numFmtId="164" fontId="34" fillId="0" borderId="178" xfId="0" applyNumberFormat="1" applyFont="1" applyBorder="1" applyAlignment="1">
      <alignment horizontal="right" vertical="center" wrapText="1" readingOrder="1"/>
    </xf>
    <xf numFmtId="164" fontId="20" fillId="0" borderId="178" xfId="0" applyNumberFormat="1" applyFont="1" applyBorder="1" applyAlignment="1">
      <alignment horizontal="center" vertical="center"/>
    </xf>
    <xf numFmtId="164" fontId="20" fillId="0" borderId="178" xfId="0" applyNumberFormat="1" applyFont="1" applyBorder="1" applyAlignment="1">
      <alignment vertical="center"/>
    </xf>
    <xf numFmtId="0" fontId="64" fillId="0" borderId="401" xfId="0" applyFont="1" applyBorder="1" applyAlignment="1">
      <alignment horizontal="center" vertical="center" wrapText="1" readingOrder="1"/>
    </xf>
    <xf numFmtId="164" fontId="20" fillId="0" borderId="401" xfId="0" applyNumberFormat="1" applyFont="1" applyBorder="1" applyAlignment="1">
      <alignment vertical="center"/>
    </xf>
    <xf numFmtId="164" fontId="20" fillId="0" borderId="134" xfId="0" applyNumberFormat="1" applyFont="1" applyBorder="1" applyAlignment="1">
      <alignment vertical="center"/>
    </xf>
    <xf numFmtId="164" fontId="20" fillId="0" borderId="136" xfId="0" applyNumberFormat="1" applyFont="1" applyBorder="1" applyAlignment="1">
      <alignment vertical="center"/>
    </xf>
    <xf numFmtId="164" fontId="20" fillId="0" borderId="141" xfId="0" applyNumberFormat="1" applyFont="1" applyBorder="1" applyAlignment="1">
      <alignment vertical="center"/>
    </xf>
    <xf numFmtId="164" fontId="20" fillId="0" borderId="142" xfId="0" applyNumberFormat="1" applyFont="1" applyBorder="1" applyAlignment="1">
      <alignment vertical="center"/>
    </xf>
    <xf numFmtId="164" fontId="20" fillId="0" borderId="163" xfId="0" applyNumberFormat="1" applyFont="1" applyBorder="1" applyAlignment="1">
      <alignment vertical="center"/>
    </xf>
    <xf numFmtId="164" fontId="20" fillId="0" borderId="164" xfId="0" applyNumberFormat="1" applyFont="1" applyBorder="1" applyAlignment="1">
      <alignment vertical="center"/>
    </xf>
  </cellXfs>
  <cellStyles count="1">
    <cellStyle name="Normal" xfId="0" builtinId="0"/>
  </cellStyles>
  <dxfs count="4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2" tint="-0.499984740745262"/>
      </font>
      <fill>
        <patternFill>
          <bgColor theme="2" tint="-0.49998474074526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diagonal/>
      </border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/>
      </font>
      <fill>
        <patternFill>
          <bgColor theme="9" tint="0.7999816888943144"/>
        </patternFill>
      </fill>
    </dxf>
    <dxf>
      <font>
        <color theme="2"/>
      </font>
      <fill>
        <patternFill>
          <bgColor theme="9" tint="0.7999816888943144"/>
        </patternFill>
      </fill>
    </dxf>
    <dxf>
      <font>
        <color theme="2"/>
      </font>
      <fill>
        <patternFill>
          <bgColor theme="9" tint="0.7999816888943144"/>
        </patternFill>
      </fill>
    </dxf>
    <dxf>
      <font>
        <color theme="2"/>
      </font>
      <fill>
        <patternFill>
          <bgColor theme="9" tint="0.7999816888943144"/>
        </patternFill>
      </fill>
    </dxf>
    <dxf>
      <fill>
        <patternFill>
          <bgColor theme="1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/>
      <fill>
        <patternFill>
          <bgColor theme="1"/>
        </patternFill>
      </fill>
    </dxf>
    <dxf>
      <font/>
      <fill>
        <patternFill>
          <bgColor theme="1"/>
        </patternFill>
      </fill>
    </dxf>
    <dxf>
      <font/>
      <fill>
        <patternFill>
          <bgColor theme="1"/>
        </patternFill>
      </fill>
    </dxf>
    <dxf>
      <font/>
      <fill>
        <patternFill>
          <bgColor theme="1"/>
        </patternFill>
      </fill>
    </dxf>
    <dxf>
      <font>
        <color theme="2" tint="-0.499984740745262"/>
      </font>
      <fill>
        <patternFill>
          <bgColor theme="2" tint="-0.499984740745262"/>
        </patternFill>
      </fill>
      <border>
        <left/>
        <right/>
        <top/>
        <bottom/>
        <diagonal/>
      </border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/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9" tint="0.7999816888943144"/>
      </font>
      <fill>
        <patternFill>
          <bgColor theme="9" tint="0.7999816888943144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/>
      <fill>
        <patternFill>
          <bgColor theme="1"/>
        </patternFill>
      </fill>
    </dxf>
    <dxf/>
    <dxf>
      <font>
        <color theme="2" tint="-0.499984740745262"/>
      </font>
      <fill>
        <patternFill>
          <bgColor theme="2" tint="-0.499984740745262"/>
        </patternFill>
      </fill>
      <border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diagonal/>
      </border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6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9.xml"/><Relationship Id="rId7" Type="http://schemas.openxmlformats.org/officeDocument/2006/relationships/worksheet" Target="worksheets/sheet22.xml"/><Relationship Id="rId8" Type="http://schemas.openxmlformats.org/officeDocument/2006/relationships/worksheet" Target="worksheets/sheet30.xml"/><Relationship Id="rId9" Type="http://schemas.openxmlformats.org/officeDocument/2006/relationships/worksheet" Target="worksheets/sheet21.xml"/><Relationship Id="rId10" Type="http://schemas.openxmlformats.org/officeDocument/2006/relationships/worksheet" Target="worksheets/sheet27.xml"/><Relationship Id="rId11" Type="http://schemas.openxmlformats.org/officeDocument/2006/relationships/worksheet" Target="worksheets/sheet2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24.xml"/><Relationship Id="rId14" Type="http://schemas.openxmlformats.org/officeDocument/2006/relationships/worksheet" Target="worksheets/sheet8.xml"/><Relationship Id="rId15" Type="http://schemas.openxmlformats.org/officeDocument/2006/relationships/worksheet" Target="worksheets/sheet10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23.xml"/><Relationship Id="rId20" Type="http://schemas.openxmlformats.org/officeDocument/2006/relationships/worksheet" Target="worksheets/sheet3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163285</xdr:colOff>
      <xdr:row>0</xdr:row>
      <xdr:rowOff>95250</xdr:rowOff>
    </xdr:from>
    <xdr:to>
      <xdr:col>42</xdr:col>
      <xdr:colOff>191642</xdr:colOff>
      <xdr:row>2</xdr:row>
      <xdr:rowOff>238071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16408</xdr:colOff>
      <xdr:row>0</xdr:row>
      <xdr:rowOff>33619</xdr:rowOff>
    </xdr:from>
    <xdr:to>
      <xdr:col>26</xdr:col>
      <xdr:colOff>84387</xdr:colOff>
      <xdr:row>2</xdr:row>
      <xdr:rowOff>112059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83820</xdr:colOff>
      <xdr:row>0</xdr:row>
      <xdr:rowOff>129540</xdr:rowOff>
    </xdr:from>
    <xdr:to>
      <xdr:col>26</xdr:col>
      <xdr:colOff>185953</xdr:colOff>
      <xdr:row>2</xdr:row>
      <xdr:rowOff>99060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201706</xdr:colOff>
      <xdr:row>0</xdr:row>
      <xdr:rowOff>22411</xdr:rowOff>
    </xdr:from>
    <xdr:to>
      <xdr:col>26</xdr:col>
      <xdr:colOff>269685</xdr:colOff>
      <xdr:row>2</xdr:row>
      <xdr:rowOff>100851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89"/>
  <sheetViews>
    <sheetView workbookViewId="0" zoomScale="85" zoomScaleNormal="85">
      <selection activeCell="L31" sqref="L31"/>
    </sheetView>
  </sheetViews>
  <sheetFormatPr defaultRowHeight="17" outlineLevelRow="0" outlineLevelCol="0" x14ac:dyDescent="0" customHeight="1"/>
  <cols>
    <col min="2" max="7" width="10.58203125" style="1138" customWidth="1"/>
    <col min="8" max="8" width="9.25" style="1138" customWidth="1"/>
    <col min="9" max="10" width="9.25" style="5" customWidth="1"/>
    <col min="11" max="11" width="9.08203125" style="1138" customWidth="1"/>
    <col min="13" max="17" width="10.58203125" style="1138" customWidth="1"/>
    <col min="18" max="18" width="9.25" style="1138" customWidth="1"/>
    <col min="19" max="20" width="9.25" style="5" customWidth="1"/>
    <col min="21" max="21" width="9.08203125" style="1138" customWidth="1"/>
  </cols>
  <sheetData>
    <row r="2" spans="19:22" x14ac:dyDescent="0.25">
      <c r="S2" s="1182">
        <v>166020</v>
      </c>
      <c r="T2" s="1182">
        <v>182100</v>
      </c>
      <c r="U2" s="1183">
        <v>141920</v>
      </c>
      <c r="V2" s="1183">
        <v>151310</v>
      </c>
    </row>
    <row r="3" spans="3:22" x14ac:dyDescent="0.25">
      <c r="C3" s="1138" t="s">
        <v>148</v>
      </c>
      <c r="I3" s="1184">
        <v>167450</v>
      </c>
      <c r="J3" s="1185">
        <v>143140</v>
      </c>
      <c r="K3" s="1185">
        <v>152620</v>
      </c>
      <c r="M3" s="1138" t="s">
        <v>1548</v>
      </c>
      <c r="S3" s="1182">
        <v>137440</v>
      </c>
      <c r="T3" s="1182">
        <v>211940</v>
      </c>
      <c r="U3" s="1183">
        <v>124130</v>
      </c>
      <c r="V3" s="1183">
        <v>188180</v>
      </c>
    </row>
    <row r="4" spans="5:22" x14ac:dyDescent="0.25">
      <c r="E4" s="1138" t="s">
        <v>1549</v>
      </c>
      <c r="F4" s="1138" t="s">
        <v>1550</v>
      </c>
      <c r="I4" s="1184">
        <v>138620</v>
      </c>
      <c r="J4" s="1185">
        <v>125200</v>
      </c>
      <c r="K4" s="1185">
        <v>189800</v>
      </c>
      <c r="O4" s="1138" t="s">
        <v>1549</v>
      </c>
      <c r="P4" s="1138" t="s">
        <v>1550</v>
      </c>
      <c r="U4" s="1186">
        <v>175470</v>
      </c>
      <c r="V4" s="1186">
        <v>190670</v>
      </c>
    </row>
    <row r="5" spans="3:22" x14ac:dyDescent="0.25">
      <c r="C5" s="1138" t="s">
        <v>174</v>
      </c>
      <c r="D5" s="1138" t="s">
        <v>385</v>
      </c>
      <c r="E5" s="1138">
        <v>306070</v>
      </c>
      <c r="F5" s="1138">
        <v>397420</v>
      </c>
      <c r="I5" s="1184">
        <v>183660</v>
      </c>
      <c r="J5" s="1187">
        <v>176980</v>
      </c>
      <c r="K5" s="1187">
        <v>192320</v>
      </c>
      <c r="M5" s="1138" t="s">
        <v>174</v>
      </c>
      <c r="N5" s="1138" t="s">
        <v>385</v>
      </c>
      <c r="O5" s="1138">
        <v>303460</v>
      </c>
      <c r="P5" s="1138">
        <v>394040</v>
      </c>
      <c r="U5" s="1186">
        <v>164810</v>
      </c>
      <c r="V5" s="1186">
        <v>260620</v>
      </c>
    </row>
    <row r="6" spans="4:16" x14ac:dyDescent="0.25">
      <c r="D6" s="1138" t="s">
        <v>413</v>
      </c>
      <c r="E6" s="1138">
        <v>268340</v>
      </c>
      <c r="F6" s="1138">
        <v>342420</v>
      </c>
      <c r="I6" s="1184">
        <v>213760</v>
      </c>
      <c r="J6" s="1187">
        <v>166230</v>
      </c>
      <c r="K6" s="1187">
        <v>262870</v>
      </c>
      <c r="N6" s="1138" t="s">
        <v>413</v>
      </c>
      <c r="O6" s="1138">
        <v>266050</v>
      </c>
      <c r="P6" s="1138">
        <v>339490</v>
      </c>
    </row>
    <row r="7" spans="4:16" x14ac:dyDescent="0.25">
      <c r="D7" s="1138" t="s">
        <v>258</v>
      </c>
      <c r="E7" s="1138">
        <v>343210</v>
      </c>
      <c r="F7" s="1138">
        <v>455190</v>
      </c>
      <c r="N7" s="1138" t="s">
        <v>258</v>
      </c>
      <c r="O7" s="1138">
        <v>340280</v>
      </c>
      <c r="P7" s="1138">
        <v>451290</v>
      </c>
    </row>
    <row r="9" spans="4:14" x14ac:dyDescent="0.25">
      <c r="D9" s="1138" t="s">
        <v>1551</v>
      </c>
      <c r="N9" s="1138" t="s">
        <v>1551</v>
      </c>
    </row>
    <row r="10" spans="5:18" x14ac:dyDescent="0.25">
      <c r="E10" s="1138" t="s">
        <v>69</v>
      </c>
      <c r="F10" s="1138" t="s">
        <v>73</v>
      </c>
      <c r="G10" s="1138" t="s">
        <v>1552</v>
      </c>
      <c r="H10" s="1138" t="s">
        <v>1553</v>
      </c>
      <c r="O10" s="1138" t="s">
        <v>69</v>
      </c>
      <c r="P10" s="1138" t="s">
        <v>73</v>
      </c>
      <c r="Q10" s="1138" t="s">
        <v>1552</v>
      </c>
      <c r="R10" s="1138" t="s">
        <v>1553</v>
      </c>
    </row>
    <row r="11" spans="3:21" x14ac:dyDescent="0.25">
      <c r="C11" s="1138" t="s">
        <v>97</v>
      </c>
      <c r="D11" s="1138" t="s">
        <v>385</v>
      </c>
      <c r="E11" s="1184">
        <v>206150</v>
      </c>
      <c r="F11" s="1184">
        <v>215630</v>
      </c>
      <c r="G11" s="1184">
        <v>221170</v>
      </c>
      <c r="H11" s="1184">
        <v>228150</v>
      </c>
      <c r="I11" s="1188"/>
      <c r="J11" s="1189" t="s">
        <v>69</v>
      </c>
      <c r="K11" s="1190">
        <v>2</v>
      </c>
      <c r="M11" s="1138" t="s">
        <v>97</v>
      </c>
      <c r="N11" s="1138" t="s">
        <v>385</v>
      </c>
      <c r="O11" s="1182">
        <v>204390</v>
      </c>
      <c r="P11" s="1182">
        <v>213790</v>
      </c>
      <c r="Q11" s="1182">
        <v>219280</v>
      </c>
      <c r="R11" s="1182">
        <v>226200</v>
      </c>
      <c r="S11" s="1188"/>
      <c r="T11" s="1189" t="s">
        <v>69</v>
      </c>
      <c r="U11" s="1190">
        <v>2</v>
      </c>
    </row>
    <row r="12" spans="4:21" x14ac:dyDescent="0.25">
      <c r="D12" s="1138" t="s">
        <v>413</v>
      </c>
      <c r="E12" s="1185">
        <v>220730</v>
      </c>
      <c r="F12" s="1185">
        <v>230870</v>
      </c>
      <c r="G12" s="1185">
        <v>236810</v>
      </c>
      <c r="H12" s="1185">
        <v>244280</v>
      </c>
      <c r="I12" s="1188"/>
      <c r="J12" s="1191" t="s">
        <v>73</v>
      </c>
      <c r="K12" s="1192">
        <v>3</v>
      </c>
      <c r="N12" s="1138" t="s">
        <v>413</v>
      </c>
      <c r="O12" s="1183">
        <v>218840</v>
      </c>
      <c r="P12" s="1183">
        <v>228900</v>
      </c>
      <c r="Q12" s="1183">
        <v>234790</v>
      </c>
      <c r="R12" s="1183">
        <v>242200</v>
      </c>
      <c r="S12" s="1188"/>
      <c r="T12" s="1191" t="s">
        <v>73</v>
      </c>
      <c r="U12" s="1192">
        <v>3</v>
      </c>
    </row>
    <row r="13" spans="4:21" x14ac:dyDescent="0.25">
      <c r="D13" s="1138" t="s">
        <v>258</v>
      </c>
      <c r="E13" s="1187">
        <v>197000</v>
      </c>
      <c r="F13" s="1187">
        <v>206060</v>
      </c>
      <c r="G13" s="1187">
        <v>211350</v>
      </c>
      <c r="H13" s="1187">
        <v>218020</v>
      </c>
      <c r="I13" s="1188"/>
      <c r="J13" s="1191" t="s">
        <v>1552</v>
      </c>
      <c r="K13" s="1192">
        <v>4</v>
      </c>
      <c r="N13" s="1138" t="s">
        <v>258</v>
      </c>
      <c r="O13" s="1186">
        <v>195320</v>
      </c>
      <c r="P13" s="1186">
        <v>204300</v>
      </c>
      <c r="Q13" s="1186">
        <v>209550</v>
      </c>
      <c r="R13" s="1186">
        <v>216160</v>
      </c>
      <c r="S13" s="1188"/>
      <c r="T13" s="1191" t="s">
        <v>1552</v>
      </c>
      <c r="U13" s="1192">
        <v>4</v>
      </c>
    </row>
    <row r="14" spans="10:21" x14ac:dyDescent="0.25">
      <c r="J14" s="1193" t="s">
        <v>1553</v>
      </c>
      <c r="K14" s="1194">
        <v>5</v>
      </c>
      <c r="T14" s="1193" t="s">
        <v>1553</v>
      </c>
      <c r="U14" s="1194">
        <v>5</v>
      </c>
    </row>
    <row r="15" spans="4:14" x14ac:dyDescent="0.25">
      <c r="D15" s="1138" t="s">
        <v>1554</v>
      </c>
      <c r="N15" s="1138" t="s">
        <v>1554</v>
      </c>
    </row>
    <row r="16" spans="5:18" x14ac:dyDescent="0.25">
      <c r="E16" s="1138" t="s">
        <v>69</v>
      </c>
      <c r="F16" s="1138" t="s">
        <v>73</v>
      </c>
      <c r="G16" s="1138" t="s">
        <v>1552</v>
      </c>
      <c r="H16" s="1138" t="s">
        <v>1553</v>
      </c>
      <c r="O16" s="1138" t="s">
        <v>69</v>
      </c>
      <c r="P16" s="1138" t="s">
        <v>73</v>
      </c>
      <c r="Q16" s="1138" t="s">
        <v>1552</v>
      </c>
      <c r="R16" s="1138" t="s">
        <v>1553</v>
      </c>
    </row>
    <row r="17" spans="3:21" x14ac:dyDescent="0.25">
      <c r="C17" s="1138" t="s">
        <v>97</v>
      </c>
      <c r="D17" s="1138" t="s">
        <v>385</v>
      </c>
      <c r="E17" s="1184">
        <v>390370</v>
      </c>
      <c r="F17" s="1184">
        <v>408310</v>
      </c>
      <c r="G17" s="1184">
        <v>418800</v>
      </c>
      <c r="H17" s="1184">
        <v>432020</v>
      </c>
      <c r="I17" s="1188"/>
      <c r="J17" s="1188"/>
      <c r="M17" s="1138" t="s">
        <v>97</v>
      </c>
      <c r="N17" s="1138" t="s">
        <v>385</v>
      </c>
      <c r="O17" s="1182">
        <v>387030</v>
      </c>
      <c r="P17" s="1182">
        <v>404810</v>
      </c>
      <c r="Q17" s="1182">
        <v>415220</v>
      </c>
      <c r="R17" s="1182">
        <v>428330</v>
      </c>
      <c r="S17" s="1188"/>
      <c r="T17" s="1188"/>
      <c r="U17" s="1138" t="e">
        <f>IF(BA46="만 26세 이상",VLOOKUP(CL38,'보험료(공제)'!$N$38:$O$40,2,0),VLOOKUP(CL38,'보험료(공제)'!$N$38:$P$40,3,0))</f>
        <v>#N/A</v>
      </c>
    </row>
    <row r="18" spans="4:20" x14ac:dyDescent="0.25">
      <c r="D18" s="1138" t="s">
        <v>413</v>
      </c>
      <c r="E18" s="1185">
        <v>406120</v>
      </c>
      <c r="F18" s="1185">
        <v>424790</v>
      </c>
      <c r="G18" s="1185">
        <v>435710</v>
      </c>
      <c r="H18" s="1185">
        <v>449460</v>
      </c>
      <c r="I18" s="1188"/>
      <c r="J18" s="1188"/>
      <c r="N18" s="1138" t="s">
        <v>413</v>
      </c>
      <c r="O18" s="1183">
        <v>402650</v>
      </c>
      <c r="P18" s="1183">
        <v>421160</v>
      </c>
      <c r="Q18" s="1183">
        <v>431990</v>
      </c>
      <c r="R18" s="1183">
        <v>445620</v>
      </c>
      <c r="S18" s="1188"/>
      <c r="T18" s="1188"/>
    </row>
    <row r="19" spans="4:20" x14ac:dyDescent="0.25">
      <c r="D19" s="1138" t="s">
        <v>258</v>
      </c>
      <c r="E19" s="1187">
        <v>373050</v>
      </c>
      <c r="F19" s="1187">
        <v>390190</v>
      </c>
      <c r="G19" s="1187">
        <v>400220</v>
      </c>
      <c r="H19" s="1187">
        <v>412850</v>
      </c>
      <c r="I19" s="1188"/>
      <c r="J19" s="1188"/>
      <c r="N19" s="1138" t="s">
        <v>258</v>
      </c>
      <c r="O19" s="1186">
        <v>369870</v>
      </c>
      <c r="P19" s="1186">
        <v>386860</v>
      </c>
      <c r="Q19" s="1186">
        <v>396810</v>
      </c>
      <c r="R19" s="1186">
        <v>409330</v>
      </c>
      <c r="S19" s="1188"/>
      <c r="T19" s="1188"/>
    </row>
    <row r="22" spans="4:14" x14ac:dyDescent="0.25">
      <c r="D22" s="1138" t="s">
        <v>1551</v>
      </c>
      <c r="N22" s="1138" t="s">
        <v>1551</v>
      </c>
    </row>
    <row r="23" spans="5:21" x14ac:dyDescent="0.25">
      <c r="E23" s="1138" t="s">
        <v>68</v>
      </c>
      <c r="F23" t="s">
        <v>72</v>
      </c>
      <c r="G23" t="s">
        <v>69</v>
      </c>
      <c r="J23" s="1189" t="s">
        <v>68</v>
      </c>
      <c r="K23" s="1190">
        <v>2</v>
      </c>
      <c r="O23" s="1138" t="s">
        <v>68</v>
      </c>
      <c r="P23" t="s">
        <v>72</v>
      </c>
      <c r="Q23" t="s">
        <v>69</v>
      </c>
      <c r="T23" s="1189" t="s">
        <v>68</v>
      </c>
      <c r="U23" s="1190">
        <v>2</v>
      </c>
    </row>
    <row r="24" spans="3:21" x14ac:dyDescent="0.25">
      <c r="C24" s="1138" t="s">
        <v>200</v>
      </c>
      <c r="D24" s="1138" t="s">
        <v>385</v>
      </c>
      <c r="E24" s="1184">
        <v>8880</v>
      </c>
      <c r="F24" s="1184">
        <v>11450</v>
      </c>
      <c r="G24" s="1184">
        <v>17390</v>
      </c>
      <c r="H24" s="1184"/>
      <c r="J24" s="1191" t="s">
        <v>72</v>
      </c>
      <c r="K24" s="1192">
        <v>3</v>
      </c>
      <c r="M24" s="1138" t="s">
        <v>200</v>
      </c>
      <c r="N24" s="1138" t="s">
        <v>385</v>
      </c>
      <c r="O24" s="1182">
        <v>8780</v>
      </c>
      <c r="P24" s="1182">
        <v>11320</v>
      </c>
      <c r="Q24" s="1182">
        <v>17190</v>
      </c>
      <c r="R24" s="1184"/>
      <c r="T24" s="1191" t="s">
        <v>72</v>
      </c>
      <c r="U24" s="1192">
        <v>3</v>
      </c>
    </row>
    <row r="25" spans="4:21" x14ac:dyDescent="0.25">
      <c r="D25" s="1138" t="s">
        <v>413</v>
      </c>
      <c r="E25" s="1185">
        <v>7190</v>
      </c>
      <c r="F25" s="1185">
        <v>9270</v>
      </c>
      <c r="G25" s="1185">
        <v>14070</v>
      </c>
      <c r="H25" s="1185"/>
      <c r="J25" s="1193" t="s">
        <v>69</v>
      </c>
      <c r="K25" s="1194">
        <v>4</v>
      </c>
      <c r="N25" s="1138" t="s">
        <v>413</v>
      </c>
      <c r="O25" s="1183">
        <v>7100</v>
      </c>
      <c r="P25" s="1183">
        <v>9170</v>
      </c>
      <c r="Q25" s="1183">
        <v>13910</v>
      </c>
      <c r="R25" s="1185"/>
      <c r="T25" s="1193" t="s">
        <v>69</v>
      </c>
      <c r="U25" s="1194">
        <v>4</v>
      </c>
    </row>
    <row r="26" spans="4:21" x14ac:dyDescent="0.25">
      <c r="D26" s="1138" t="s">
        <v>258</v>
      </c>
      <c r="E26" s="1187">
        <v>4690</v>
      </c>
      <c r="F26" s="1187">
        <v>6050</v>
      </c>
      <c r="G26" s="1187">
        <v>9180</v>
      </c>
      <c r="H26" s="1187"/>
      <c r="J26" s="1195"/>
      <c r="K26" s="1196"/>
      <c r="N26" s="1138" t="s">
        <v>258</v>
      </c>
      <c r="O26" s="1186">
        <v>4640</v>
      </c>
      <c r="P26" s="1186">
        <v>5980</v>
      </c>
      <c r="Q26" s="1186">
        <v>9080</v>
      </c>
      <c r="R26" s="1187"/>
      <c r="T26" s="1195"/>
      <c r="U26" s="1196"/>
    </row>
    <row r="28" spans="4:14" x14ac:dyDescent="0.25">
      <c r="D28" s="1138" t="s">
        <v>1554</v>
      </c>
      <c r="N28" s="1138" t="s">
        <v>1554</v>
      </c>
    </row>
    <row r="29" spans="5:17" x14ac:dyDescent="0.25">
      <c r="E29" s="1138" t="s">
        <v>69</v>
      </c>
      <c r="F29" s="1138" t="s">
        <v>73</v>
      </c>
      <c r="G29" s="1138" t="s">
        <v>1552</v>
      </c>
      <c r="O29" s="1138" t="s">
        <v>68</v>
      </c>
      <c r="P29" t="s">
        <v>72</v>
      </c>
      <c r="Q29" t="s">
        <v>69</v>
      </c>
    </row>
    <row r="30" spans="3:18" x14ac:dyDescent="0.25">
      <c r="C30" s="1138" t="s">
        <v>200</v>
      </c>
      <c r="D30" s="1138" t="s">
        <v>385</v>
      </c>
      <c r="E30" s="1184">
        <v>16810</v>
      </c>
      <c r="F30" s="1184">
        <v>21680</v>
      </c>
      <c r="G30" s="1184">
        <v>32920</v>
      </c>
      <c r="H30" s="1184"/>
      <c r="M30" s="1138" t="s">
        <v>200</v>
      </c>
      <c r="N30" s="1138" t="s">
        <v>385</v>
      </c>
      <c r="O30" s="1182">
        <v>16620</v>
      </c>
      <c r="P30" s="1182">
        <v>21430</v>
      </c>
      <c r="Q30" s="1182">
        <v>32540</v>
      </c>
      <c r="R30" s="1184"/>
    </row>
    <row r="31" spans="4:18" x14ac:dyDescent="0.25">
      <c r="D31" s="1138" t="s">
        <v>413</v>
      </c>
      <c r="E31" s="1185">
        <v>13240</v>
      </c>
      <c r="F31" s="1185">
        <v>17080</v>
      </c>
      <c r="G31" s="1185">
        <v>25930</v>
      </c>
      <c r="H31" s="1185"/>
      <c r="N31" s="1138" t="s">
        <v>413</v>
      </c>
      <c r="O31" s="1183">
        <v>13090</v>
      </c>
      <c r="P31" s="1183">
        <v>16890</v>
      </c>
      <c r="Q31" s="1183">
        <v>25640</v>
      </c>
      <c r="R31" s="1185"/>
    </row>
    <row r="32" spans="4:18" x14ac:dyDescent="0.25">
      <c r="D32" s="1138" t="s">
        <v>258</v>
      </c>
      <c r="E32" s="1187">
        <v>8870</v>
      </c>
      <c r="F32" s="1187">
        <v>11450</v>
      </c>
      <c r="G32" s="1187">
        <v>17380</v>
      </c>
      <c r="H32" s="1187"/>
      <c r="N32" s="1138" t="s">
        <v>258</v>
      </c>
      <c r="O32" s="1186">
        <v>8770</v>
      </c>
      <c r="P32" s="1186">
        <v>11320</v>
      </c>
      <c r="Q32" s="1186">
        <v>17180</v>
      </c>
      <c r="R32" s="1187"/>
    </row>
    <row r="37" spans="5:16" x14ac:dyDescent="0.25">
      <c r="E37" s="1138" t="s">
        <v>1551</v>
      </c>
      <c r="F37" s="1138" t="s">
        <v>1554</v>
      </c>
      <c r="O37" s="1138" t="s">
        <v>1551</v>
      </c>
      <c r="P37" s="1138" t="s">
        <v>1554</v>
      </c>
    </row>
    <row r="38" spans="3:18" x14ac:dyDescent="0.25">
      <c r="C38" s="1138" t="s">
        <v>190</v>
      </c>
      <c r="D38" s="1138" t="s">
        <v>385</v>
      </c>
      <c r="E38" s="1184">
        <v>21160</v>
      </c>
      <c r="F38" s="1184">
        <v>40060</v>
      </c>
      <c r="G38" s="1184"/>
      <c r="H38" s="1184"/>
      <c r="M38" s="1138" t="s">
        <v>190</v>
      </c>
      <c r="N38" s="1138" t="s">
        <v>385</v>
      </c>
      <c r="O38" s="1184">
        <v>20980</v>
      </c>
      <c r="P38" s="1184">
        <v>39710</v>
      </c>
      <c r="Q38" s="1184"/>
      <c r="R38" s="1184"/>
    </row>
    <row r="39" spans="4:18" x14ac:dyDescent="0.25">
      <c r="D39" s="1138" t="s">
        <v>413</v>
      </c>
      <c r="E39" s="1185">
        <v>19900</v>
      </c>
      <c r="F39" s="1185">
        <v>36660</v>
      </c>
      <c r="G39" s="1185"/>
      <c r="H39" s="1185"/>
      <c r="N39" s="1138" t="s">
        <v>413</v>
      </c>
      <c r="O39" s="1185">
        <v>19730</v>
      </c>
      <c r="P39" s="1185">
        <v>36350</v>
      </c>
      <c r="Q39" s="1185"/>
      <c r="R39" s="1185"/>
    </row>
    <row r="40" spans="4:18" x14ac:dyDescent="0.25">
      <c r="D40" s="1138" t="s">
        <v>258</v>
      </c>
      <c r="E40" s="1187">
        <v>21160</v>
      </c>
      <c r="F40" s="1187">
        <v>40060</v>
      </c>
      <c r="G40" s="1187"/>
      <c r="H40" s="1187"/>
      <c r="N40" s="1138" t="s">
        <v>258</v>
      </c>
      <c r="O40" s="1187">
        <v>20980</v>
      </c>
      <c r="P40" s="1187">
        <v>39710</v>
      </c>
      <c r="Q40" s="1187"/>
      <c r="R40" s="1187"/>
    </row>
    <row r="44" spans="3:18" x14ac:dyDescent="0.25">
      <c r="C44" s="1138" t="s">
        <v>101</v>
      </c>
      <c r="E44" s="1184">
        <v>15560</v>
      </c>
      <c r="F44" s="1184"/>
      <c r="G44" s="1184"/>
      <c r="H44" s="1184"/>
      <c r="M44" s="1138" t="s">
        <v>101</v>
      </c>
      <c r="O44" s="1184">
        <v>15560</v>
      </c>
      <c r="P44" s="1184"/>
      <c r="Q44" s="1184"/>
      <c r="R44" s="1184"/>
    </row>
    <row r="45" spans="3:18" x14ac:dyDescent="0.25">
      <c r="C45" s="1138" t="s">
        <v>1555</v>
      </c>
      <c r="E45" s="1185">
        <v>13000</v>
      </c>
      <c r="F45" s="1185"/>
      <c r="G45" s="1185"/>
      <c r="H45" s="1185"/>
      <c r="M45" s="1138" t="s">
        <v>1555</v>
      </c>
      <c r="O45" s="1185">
        <v>13000</v>
      </c>
      <c r="P45" s="1185"/>
      <c r="Q45" s="1185"/>
      <c r="R45" s="1185"/>
    </row>
    <row r="46" spans="5:18" x14ac:dyDescent="0.25">
      <c r="E46" s="1187"/>
      <c r="F46" s="1187"/>
      <c r="G46" s="1187"/>
      <c r="H46" s="1187"/>
      <c r="O46" s="1187"/>
      <c r="P46" s="1187"/>
      <c r="Q46" s="1187"/>
      <c r="R46" s="1187"/>
    </row>
    <row r="50" spans="3:13" x14ac:dyDescent="0.25">
      <c r="C50" s="1138" t="s">
        <v>1556</v>
      </c>
      <c r="M50" s="1138" t="s">
        <v>1556</v>
      </c>
    </row>
    <row r="51" spans="4:15" x14ac:dyDescent="0.25">
      <c r="D51" s="1138" t="s">
        <v>69</v>
      </c>
      <c r="E51" s="1138" t="s">
        <v>73</v>
      </c>
      <c r="N51" s="1138" t="s">
        <v>69</v>
      </c>
      <c r="O51" s="1138" t="s">
        <v>73</v>
      </c>
    </row>
    <row r="52" spans="3:20" x14ac:dyDescent="0.25">
      <c r="C52" s="1138" t="s">
        <v>385</v>
      </c>
      <c r="D52" s="1184">
        <v>33070</v>
      </c>
      <c r="E52" s="1184">
        <v>33860</v>
      </c>
      <c r="G52" s="1197" t="s">
        <v>69</v>
      </c>
      <c r="H52" s="438">
        <v>2</v>
      </c>
      <c r="I52" s="1138"/>
      <c r="J52" s="1138"/>
      <c r="M52" s="1138" t="s">
        <v>385</v>
      </c>
      <c r="N52" s="1182">
        <v>32700</v>
      </c>
      <c r="O52" s="1182">
        <v>33480</v>
      </c>
      <c r="Q52" s="1197" t="s">
        <v>69</v>
      </c>
      <c r="R52" s="438">
        <v>2</v>
      </c>
      <c r="S52" s="1138"/>
      <c r="T52" s="1138"/>
    </row>
    <row r="53" spans="3:20" x14ac:dyDescent="0.25">
      <c r="C53" s="1138" t="s">
        <v>413</v>
      </c>
      <c r="D53" s="1185">
        <v>29220</v>
      </c>
      <c r="E53" s="1185">
        <v>29940</v>
      </c>
      <c r="G53" s="1198" t="s">
        <v>73</v>
      </c>
      <c r="H53" s="394">
        <v>3</v>
      </c>
      <c r="I53" s="1138"/>
      <c r="J53" s="1138"/>
      <c r="M53" s="1138" t="s">
        <v>413</v>
      </c>
      <c r="N53" s="1183">
        <v>28890</v>
      </c>
      <c r="O53" s="1183">
        <v>29600</v>
      </c>
      <c r="Q53" s="1198" t="s">
        <v>73</v>
      </c>
      <c r="R53" s="394">
        <v>3</v>
      </c>
      <c r="S53" s="1138"/>
      <c r="T53" s="1138"/>
    </row>
    <row r="54" spans="3:20" x14ac:dyDescent="0.25">
      <c r="C54" s="1138" t="s">
        <v>258</v>
      </c>
      <c r="D54" s="1187">
        <v>19810</v>
      </c>
      <c r="E54" s="1187">
        <v>20290</v>
      </c>
      <c r="G54" s="5"/>
      <c r="H54" s="5"/>
      <c r="I54" s="1138"/>
      <c r="J54" s="1138"/>
      <c r="M54" s="1138" t="s">
        <v>258</v>
      </c>
      <c r="N54" s="1186">
        <v>19590</v>
      </c>
      <c r="O54" s="1186">
        <v>20060</v>
      </c>
      <c r="Q54" s="5"/>
      <c r="R54" s="5"/>
      <c r="S54" s="1138"/>
      <c r="T54" s="1138"/>
    </row>
    <row r="55" spans="7:20" x14ac:dyDescent="0.25">
      <c r="G55" s="5"/>
      <c r="H55" s="5"/>
      <c r="I55" s="1138"/>
      <c r="J55" s="1138"/>
      <c r="Q55" s="5"/>
      <c r="R55" s="5"/>
      <c r="S55" s="1138"/>
      <c r="T55" s="1138"/>
    </row>
    <row r="56" spans="3:20" x14ac:dyDescent="0.25">
      <c r="C56" s="1138" t="s">
        <v>1557</v>
      </c>
      <c r="G56" s="5"/>
      <c r="H56" s="5"/>
      <c r="I56" s="1138"/>
      <c r="J56" s="1138"/>
      <c r="M56" s="1138" t="s">
        <v>1557</v>
      </c>
      <c r="Q56" s="5"/>
      <c r="R56" s="5"/>
      <c r="S56" s="1138"/>
      <c r="T56" s="1138"/>
    </row>
    <row r="57" spans="3:20" x14ac:dyDescent="0.25">
      <c r="C57" s="1138" t="s">
        <v>385</v>
      </c>
      <c r="D57" s="1184">
        <v>62610</v>
      </c>
      <c r="E57" s="1184">
        <v>64110</v>
      </c>
      <c r="G57" s="5"/>
      <c r="H57" s="5"/>
      <c r="I57" s="1138"/>
      <c r="J57" s="1138"/>
      <c r="M57" s="1138" t="s">
        <v>385</v>
      </c>
      <c r="N57" s="1182">
        <v>61900</v>
      </c>
      <c r="O57" s="1182">
        <v>63380</v>
      </c>
      <c r="Q57" s="5"/>
      <c r="R57" s="5"/>
      <c r="S57" s="1138"/>
      <c r="T57" s="1138"/>
    </row>
    <row r="58" spans="3:20" x14ac:dyDescent="0.25">
      <c r="C58" s="1138" t="s">
        <v>413</v>
      </c>
      <c r="D58" s="1185">
        <v>53840</v>
      </c>
      <c r="E58" s="1185">
        <v>55160</v>
      </c>
      <c r="G58" s="5"/>
      <c r="H58" s="5"/>
      <c r="I58" s="1138"/>
      <c r="J58" s="1138"/>
      <c r="M58" s="1138" t="s">
        <v>413</v>
      </c>
      <c r="N58" s="1183">
        <v>53230</v>
      </c>
      <c r="O58" s="1183">
        <v>54530</v>
      </c>
      <c r="Q58" s="5"/>
      <c r="R58" s="5"/>
      <c r="S58" s="1138"/>
      <c r="T58" s="1138"/>
    </row>
    <row r="59" spans="3:20" x14ac:dyDescent="0.25">
      <c r="C59" s="1138" t="s">
        <v>258</v>
      </c>
      <c r="D59" s="1187">
        <v>37500</v>
      </c>
      <c r="E59" s="1187">
        <v>38410</v>
      </c>
      <c r="G59" s="5"/>
      <c r="H59" s="5"/>
      <c r="I59" s="1138"/>
      <c r="J59" s="1138"/>
      <c r="M59" s="1138" t="s">
        <v>258</v>
      </c>
      <c r="N59" s="1186">
        <v>37080</v>
      </c>
      <c r="O59" s="1186">
        <v>37980</v>
      </c>
      <c r="Q59" s="5"/>
      <c r="R59" s="5"/>
      <c r="S59" s="1138"/>
      <c r="T59" s="1138"/>
    </row>
    <row r="66" spans="1:14" s="1" customFormat="1" x14ac:dyDescent="0.25">
      <c r="A66" s="1199" t="s">
        <v>1558</v>
      </c>
      <c r="B66" s="1199"/>
      <c r="C66" s="1199"/>
      <c r="D66" s="1199"/>
      <c r="E66" s="1199"/>
      <c r="F66" s="1200"/>
      <c r="G66" s="1200"/>
      <c r="H66" s="1200"/>
      <c r="I66" s="1200"/>
      <c r="J66" s="1200"/>
      <c r="K66" s="1200"/>
      <c r="L66" s="1200"/>
      <c r="M66" s="1200"/>
      <c r="N66" s="1200"/>
    </row>
    <row r="67" spans="1:14" s="1" customFormat="1" x14ac:dyDescent="0.25">
      <c r="A67" s="1200"/>
      <c r="B67" s="1200"/>
      <c r="C67" s="1200"/>
      <c r="D67" s="1200"/>
      <c r="E67" s="1200"/>
      <c r="F67" s="1200"/>
      <c r="G67" s="1200"/>
      <c r="H67" s="1200"/>
      <c r="I67" s="1200"/>
      <c r="J67" s="1200"/>
      <c r="K67" s="1200"/>
      <c r="L67" s="1200"/>
      <c r="M67" s="1200"/>
      <c r="N67" s="1200"/>
    </row>
    <row r="68" spans="1:14" s="1" customFormat="1" x14ac:dyDescent="0.25">
      <c r="A68" s="1200"/>
      <c r="B68" s="1200"/>
      <c r="C68" s="1200"/>
      <c r="D68" s="1200"/>
      <c r="E68" s="1200"/>
      <c r="F68" s="1200"/>
      <c r="G68" s="1200"/>
      <c r="H68" s="1200"/>
      <c r="I68" s="1200"/>
      <c r="J68" s="1200"/>
      <c r="K68" s="1200"/>
      <c r="L68" s="1200"/>
      <c r="M68" s="1200"/>
      <c r="N68" s="1200"/>
    </row>
    <row r="69" spans="1:14" s="1" customFormat="1" x14ac:dyDescent="0.25">
      <c r="A69" s="1201" t="s">
        <v>1559</v>
      </c>
      <c r="B69" s="1200"/>
      <c r="C69" s="1200"/>
      <c r="D69" s="1200"/>
      <c r="E69" s="1200"/>
      <c r="F69" s="1200"/>
      <c r="G69" s="1200"/>
      <c r="H69" s="1200"/>
      <c r="I69" s="1200"/>
      <c r="J69" s="1200"/>
      <c r="K69" s="1200"/>
      <c r="L69" s="1200"/>
      <c r="M69" s="1202" t="s">
        <v>1560</v>
      </c>
      <c r="N69" s="1203"/>
    </row>
    <row r="70" spans="1:14" s="1" customFormat="1" x14ac:dyDescent="0.25">
      <c r="A70" s="1204" t="s">
        <v>303</v>
      </c>
      <c r="B70" s="1205"/>
      <c r="C70" s="1206" t="s">
        <v>97</v>
      </c>
      <c r="D70" s="1207"/>
      <c r="E70" s="1207"/>
      <c r="F70" s="1208"/>
      <c r="G70" s="1206" t="s">
        <v>200</v>
      </c>
      <c r="H70" s="1207"/>
      <c r="I70" s="1208"/>
      <c r="J70" s="1206" t="s">
        <v>1561</v>
      </c>
      <c r="K70" s="1207"/>
      <c r="L70" s="1208"/>
      <c r="M70" s="1209" t="s">
        <v>1562</v>
      </c>
      <c r="N70" s="1210" t="s">
        <v>101</v>
      </c>
    </row>
    <row r="71" spans="1:14" s="1" customFormat="1" x14ac:dyDescent="0.25">
      <c r="A71" s="1211"/>
      <c r="B71" s="1212"/>
      <c r="C71" s="1206" t="s">
        <v>69</v>
      </c>
      <c r="D71" s="1213" t="s">
        <v>73</v>
      </c>
      <c r="E71" s="1214" t="s">
        <v>1552</v>
      </c>
      <c r="F71" s="1208" t="s">
        <v>1553</v>
      </c>
      <c r="G71" s="1206" t="s">
        <v>68</v>
      </c>
      <c r="H71" s="1215" t="s">
        <v>72</v>
      </c>
      <c r="I71" s="1208" t="s">
        <v>69</v>
      </c>
      <c r="J71" s="1206" t="s">
        <v>1563</v>
      </c>
      <c r="K71" s="1215" t="s">
        <v>1564</v>
      </c>
      <c r="L71" s="1208" t="s">
        <v>1565</v>
      </c>
      <c r="M71" s="1210"/>
      <c r="N71" s="1210"/>
    </row>
    <row r="72" spans="1:14" s="1" customFormat="1" x14ac:dyDescent="0.25">
      <c r="A72" s="1216" t="s">
        <v>385</v>
      </c>
      <c r="B72" s="1216" t="s">
        <v>1557</v>
      </c>
      <c r="C72" s="1217">
        <v>390370</v>
      </c>
      <c r="D72" s="1217">
        <v>408310</v>
      </c>
      <c r="E72" s="1217">
        <v>418800</v>
      </c>
      <c r="F72" s="1217">
        <v>432020</v>
      </c>
      <c r="G72" s="1217">
        <v>16810</v>
      </c>
      <c r="H72" s="1217">
        <v>21680</v>
      </c>
      <c r="I72" s="1217">
        <v>32920</v>
      </c>
      <c r="J72" s="1217">
        <v>62610</v>
      </c>
      <c r="K72" s="1217">
        <v>64110</v>
      </c>
      <c r="L72" s="1217">
        <v>86090</v>
      </c>
      <c r="M72" s="1217">
        <v>40060</v>
      </c>
      <c r="N72" s="1217">
        <v>15560</v>
      </c>
    </row>
    <row r="73" spans="1:14" s="1" customFormat="1" x14ac:dyDescent="0.25">
      <c r="A73" s="1218"/>
      <c r="B73" s="1219" t="s">
        <v>1556</v>
      </c>
      <c r="C73" s="1217">
        <v>206150</v>
      </c>
      <c r="D73" s="1217">
        <v>215630</v>
      </c>
      <c r="E73" s="1217">
        <v>221170</v>
      </c>
      <c r="F73" s="1217">
        <v>228150</v>
      </c>
      <c r="G73" s="1217">
        <v>8880</v>
      </c>
      <c r="H73" s="1217">
        <v>11450</v>
      </c>
      <c r="I73" s="1217">
        <v>17390</v>
      </c>
      <c r="J73" s="1217">
        <v>33070</v>
      </c>
      <c r="K73" s="1217">
        <v>33860</v>
      </c>
      <c r="L73" s="1217">
        <v>45480</v>
      </c>
      <c r="M73" s="1217">
        <v>21160</v>
      </c>
      <c r="N73" s="1217">
        <v>15560</v>
      </c>
    </row>
    <row r="74" spans="1:14" s="1" customFormat="1" x14ac:dyDescent="0.25">
      <c r="A74" s="1216" t="s">
        <v>413</v>
      </c>
      <c r="B74" s="1220" t="s">
        <v>1557</v>
      </c>
      <c r="C74" s="1217">
        <v>406120</v>
      </c>
      <c r="D74" s="1217">
        <v>424790</v>
      </c>
      <c r="E74" s="1217">
        <v>435710</v>
      </c>
      <c r="F74" s="1217">
        <v>449460</v>
      </c>
      <c r="G74" s="1217">
        <v>13240</v>
      </c>
      <c r="H74" s="1217">
        <v>17080</v>
      </c>
      <c r="I74" s="1217">
        <v>25930</v>
      </c>
      <c r="J74" s="1217">
        <v>53840</v>
      </c>
      <c r="K74" s="1217">
        <v>55160</v>
      </c>
      <c r="L74" s="1217">
        <v>74020</v>
      </c>
      <c r="M74" s="1217">
        <v>36660</v>
      </c>
      <c r="N74" s="1217">
        <v>15560</v>
      </c>
    </row>
    <row r="75" spans="1:14" s="1" customFormat="1" x14ac:dyDescent="0.25">
      <c r="A75" s="1218"/>
      <c r="B75" s="1219" t="s">
        <v>1556</v>
      </c>
      <c r="C75" s="1217">
        <v>220730</v>
      </c>
      <c r="D75" s="1217">
        <v>230870</v>
      </c>
      <c r="E75" s="1217">
        <v>236810</v>
      </c>
      <c r="F75" s="1217">
        <v>244280</v>
      </c>
      <c r="G75" s="1217">
        <v>7190</v>
      </c>
      <c r="H75" s="1217">
        <v>9270</v>
      </c>
      <c r="I75" s="1217">
        <v>14070</v>
      </c>
      <c r="J75" s="1217">
        <v>29220</v>
      </c>
      <c r="K75" s="1217">
        <v>29940</v>
      </c>
      <c r="L75" s="1217">
        <v>40170</v>
      </c>
      <c r="M75" s="1217">
        <v>19900</v>
      </c>
      <c r="N75" s="1217">
        <v>15560</v>
      </c>
    </row>
    <row r="76" spans="1:14" s="1" customFormat="1" x14ac:dyDescent="0.25">
      <c r="A76" s="1216" t="s">
        <v>258</v>
      </c>
      <c r="B76" s="1220" t="s">
        <v>1557</v>
      </c>
      <c r="C76" s="1217">
        <v>373050</v>
      </c>
      <c r="D76" s="1217">
        <v>390190</v>
      </c>
      <c r="E76" s="1217">
        <v>400220</v>
      </c>
      <c r="F76" s="1217">
        <v>412850</v>
      </c>
      <c r="G76" s="1217">
        <v>8870</v>
      </c>
      <c r="H76" s="1217">
        <v>11450</v>
      </c>
      <c r="I76" s="1217">
        <v>17380</v>
      </c>
      <c r="J76" s="1217">
        <v>37500</v>
      </c>
      <c r="K76" s="1217">
        <v>38410</v>
      </c>
      <c r="L76" s="1217">
        <v>51590</v>
      </c>
      <c r="M76" s="1217">
        <v>40060</v>
      </c>
      <c r="N76" s="1217">
        <v>15560</v>
      </c>
    </row>
    <row r="77" spans="1:14" s="1" customFormat="1" x14ac:dyDescent="0.25">
      <c r="A77" s="1218"/>
      <c r="B77" s="1218" t="s">
        <v>1556</v>
      </c>
      <c r="C77" s="1217">
        <v>197000</v>
      </c>
      <c r="D77" s="1217">
        <v>206060</v>
      </c>
      <c r="E77" s="1217">
        <v>211350</v>
      </c>
      <c r="F77" s="1217">
        <v>218020</v>
      </c>
      <c r="G77" s="1217">
        <v>4690</v>
      </c>
      <c r="H77" s="1217">
        <v>6050</v>
      </c>
      <c r="I77" s="1217">
        <v>9180</v>
      </c>
      <c r="J77" s="1217">
        <v>19810</v>
      </c>
      <c r="K77" s="1217">
        <v>20290</v>
      </c>
      <c r="L77" s="1217">
        <v>27250</v>
      </c>
      <c r="M77" s="1217">
        <v>21160</v>
      </c>
      <c r="N77" s="1217">
        <v>15560</v>
      </c>
    </row>
    <row r="78" spans="1:14" s="1" customFormat="1" x14ac:dyDescent="0.25">
      <c r="A78" s="1221" t="s">
        <v>1566</v>
      </c>
      <c r="B78" s="1222"/>
      <c r="C78" s="1223"/>
      <c r="D78" s="1223"/>
      <c r="E78" s="1223"/>
      <c r="F78" s="1223"/>
      <c r="G78" s="1223"/>
      <c r="H78" s="1223"/>
      <c r="I78" s="1223"/>
      <c r="J78" s="1223"/>
      <c r="K78" s="1223"/>
      <c r="L78" s="1223"/>
      <c r="M78" s="1223"/>
      <c r="N78" s="1224"/>
    </row>
    <row r="79" spans="1:14" s="1" customFormat="1" x14ac:dyDescent="0.25">
      <c r="A79" s="1200"/>
      <c r="B79" s="1200"/>
      <c r="C79" s="1200"/>
      <c r="D79" s="1200"/>
      <c r="E79" s="1200"/>
      <c r="F79" s="1200"/>
      <c r="G79" s="1200"/>
      <c r="H79" s="1200"/>
      <c r="I79" s="1200"/>
      <c r="J79" s="1200"/>
      <c r="K79" s="1200"/>
      <c r="L79" s="1200"/>
      <c r="M79" s="1200"/>
      <c r="N79" s="1200"/>
    </row>
    <row r="80" spans="1:14" s="1" customFormat="1" x14ac:dyDescent="0.25">
      <c r="A80" s="1201" t="s">
        <v>1567</v>
      </c>
      <c r="B80" s="1200"/>
      <c r="C80" s="1200"/>
      <c r="D80" s="1200"/>
      <c r="E80" s="1200"/>
      <c r="F80" s="1200"/>
      <c r="G80" s="1200"/>
      <c r="H80" s="1200"/>
      <c r="I80" s="1200"/>
      <c r="J80" s="1200"/>
      <c r="K80" s="1200"/>
      <c r="L80" s="1200"/>
      <c r="M80" s="1202" t="s">
        <v>1560</v>
      </c>
      <c r="N80" s="1203"/>
    </row>
    <row r="81" spans="1:14" s="1" customFormat="1" x14ac:dyDescent="0.25">
      <c r="A81" s="1204" t="s">
        <v>303</v>
      </c>
      <c r="B81" s="1205"/>
      <c r="C81" s="1206" t="s">
        <v>97</v>
      </c>
      <c r="D81" s="1207"/>
      <c r="E81" s="1207"/>
      <c r="F81" s="1208"/>
      <c r="G81" s="1206" t="s">
        <v>200</v>
      </c>
      <c r="H81" s="1207"/>
      <c r="I81" s="1208"/>
      <c r="J81" s="1206" t="s">
        <v>1561</v>
      </c>
      <c r="K81" s="1207"/>
      <c r="L81" s="1208"/>
      <c r="M81" s="1209" t="s">
        <v>1562</v>
      </c>
      <c r="N81" s="1210" t="s">
        <v>101</v>
      </c>
    </row>
    <row r="82" spans="1:14" s="1" customFormat="1" x14ac:dyDescent="0.25">
      <c r="A82" s="1211"/>
      <c r="B82" s="1212"/>
      <c r="C82" s="1206" t="s">
        <v>69</v>
      </c>
      <c r="D82" s="1213" t="s">
        <v>73</v>
      </c>
      <c r="E82" s="1214" t="s">
        <v>1552</v>
      </c>
      <c r="F82" s="1208" t="s">
        <v>1553</v>
      </c>
      <c r="G82" s="1206" t="s">
        <v>68</v>
      </c>
      <c r="H82" s="1215" t="s">
        <v>72</v>
      </c>
      <c r="I82" s="1208" t="s">
        <v>69</v>
      </c>
      <c r="J82" s="1206" t="s">
        <v>1563</v>
      </c>
      <c r="K82" s="1215" t="s">
        <v>1564</v>
      </c>
      <c r="L82" s="1208" t="s">
        <v>1565</v>
      </c>
      <c r="M82" s="1210"/>
      <c r="N82" s="1210"/>
    </row>
    <row r="83" spans="1:14" s="1" customFormat="1" x14ac:dyDescent="0.25">
      <c r="A83" s="1216" t="s">
        <v>385</v>
      </c>
      <c r="B83" s="1216" t="s">
        <v>1557</v>
      </c>
      <c r="C83" s="1217">
        <v>387030</v>
      </c>
      <c r="D83" s="1217">
        <v>404810</v>
      </c>
      <c r="E83" s="1217">
        <v>415220</v>
      </c>
      <c r="F83" s="1217">
        <v>428330</v>
      </c>
      <c r="G83" s="1217">
        <v>16620</v>
      </c>
      <c r="H83" s="1217">
        <v>21430</v>
      </c>
      <c r="I83" s="1217">
        <v>32540</v>
      </c>
      <c r="J83" s="1217">
        <v>61900</v>
      </c>
      <c r="K83" s="1217">
        <v>63380</v>
      </c>
      <c r="L83" s="1217">
        <v>85120</v>
      </c>
      <c r="M83" s="1217">
        <v>39710</v>
      </c>
      <c r="N83" s="1217">
        <v>15560</v>
      </c>
    </row>
    <row r="84" spans="1:14" s="1" customFormat="1" x14ac:dyDescent="0.25">
      <c r="A84" s="1218"/>
      <c r="B84" s="1219" t="s">
        <v>1556</v>
      </c>
      <c r="C84" s="1217">
        <v>204390</v>
      </c>
      <c r="D84" s="1217">
        <v>213790</v>
      </c>
      <c r="E84" s="1217">
        <v>219280</v>
      </c>
      <c r="F84" s="1217">
        <v>226200</v>
      </c>
      <c r="G84" s="1217">
        <v>8780</v>
      </c>
      <c r="H84" s="1217">
        <v>11320</v>
      </c>
      <c r="I84" s="1217">
        <v>17190</v>
      </c>
      <c r="J84" s="1217">
        <v>32700</v>
      </c>
      <c r="K84" s="1217">
        <v>33480</v>
      </c>
      <c r="L84" s="1217">
        <v>44960</v>
      </c>
      <c r="M84" s="1217">
        <v>20980</v>
      </c>
      <c r="N84" s="1217">
        <v>15560</v>
      </c>
    </row>
    <row r="85" spans="1:14" s="1" customFormat="1" x14ac:dyDescent="0.25">
      <c r="A85" s="1216" t="s">
        <v>413</v>
      </c>
      <c r="B85" s="1220" t="s">
        <v>1557</v>
      </c>
      <c r="C85" s="1217">
        <v>402650</v>
      </c>
      <c r="D85" s="1217">
        <v>421160</v>
      </c>
      <c r="E85" s="1217">
        <v>431990</v>
      </c>
      <c r="F85" s="1217">
        <v>445620</v>
      </c>
      <c r="G85" s="1217">
        <v>13090</v>
      </c>
      <c r="H85" s="1217">
        <v>16890</v>
      </c>
      <c r="I85" s="1217">
        <v>25640</v>
      </c>
      <c r="J85" s="1217">
        <v>53230</v>
      </c>
      <c r="K85" s="1217">
        <v>54530</v>
      </c>
      <c r="L85" s="1217">
        <v>73180</v>
      </c>
      <c r="M85" s="1217">
        <v>36350</v>
      </c>
      <c r="N85" s="1217">
        <v>15560</v>
      </c>
    </row>
    <row r="86" spans="1:14" s="1" customFormat="1" x14ac:dyDescent="0.25">
      <c r="A86" s="1218"/>
      <c r="B86" s="1219" t="s">
        <v>1556</v>
      </c>
      <c r="C86" s="1217">
        <v>218840</v>
      </c>
      <c r="D86" s="1217">
        <v>228900</v>
      </c>
      <c r="E86" s="1217">
        <v>234790</v>
      </c>
      <c r="F86" s="1217">
        <v>242200</v>
      </c>
      <c r="G86" s="1217">
        <v>7100</v>
      </c>
      <c r="H86" s="1217">
        <v>9170</v>
      </c>
      <c r="I86" s="1217">
        <v>13910</v>
      </c>
      <c r="J86" s="1217">
        <v>28890</v>
      </c>
      <c r="K86" s="1217">
        <v>29600</v>
      </c>
      <c r="L86" s="1217">
        <v>39720</v>
      </c>
      <c r="M86" s="1217">
        <v>19730</v>
      </c>
      <c r="N86" s="1217">
        <v>15560</v>
      </c>
    </row>
    <row r="87" spans="1:14" s="1" customFormat="1" x14ac:dyDescent="0.25">
      <c r="A87" s="1216" t="s">
        <v>258</v>
      </c>
      <c r="B87" s="1220" t="s">
        <v>1557</v>
      </c>
      <c r="C87" s="1217">
        <v>369870</v>
      </c>
      <c r="D87" s="1217">
        <v>386860</v>
      </c>
      <c r="E87" s="1217">
        <v>396810</v>
      </c>
      <c r="F87" s="1217">
        <v>409330</v>
      </c>
      <c r="G87" s="1217">
        <v>8770</v>
      </c>
      <c r="H87" s="1217">
        <v>11320</v>
      </c>
      <c r="I87" s="1217">
        <v>17180</v>
      </c>
      <c r="J87" s="1217">
        <v>37080</v>
      </c>
      <c r="K87" s="1217">
        <v>37980</v>
      </c>
      <c r="L87" s="1217">
        <v>51010</v>
      </c>
      <c r="M87" s="1217">
        <v>39710</v>
      </c>
      <c r="N87" s="1217">
        <v>15560</v>
      </c>
    </row>
    <row r="88" spans="1:14" s="1" customFormat="1" x14ac:dyDescent="0.25">
      <c r="A88" s="1218"/>
      <c r="B88" s="1218" t="s">
        <v>1556</v>
      </c>
      <c r="C88" s="1217">
        <v>195320</v>
      </c>
      <c r="D88" s="1217">
        <v>204300</v>
      </c>
      <c r="E88" s="1217">
        <v>209550</v>
      </c>
      <c r="F88" s="1217">
        <v>216160</v>
      </c>
      <c r="G88" s="1217">
        <v>4640</v>
      </c>
      <c r="H88" s="1217">
        <v>5980</v>
      </c>
      <c r="I88" s="1217">
        <v>9080</v>
      </c>
      <c r="J88" s="1217">
        <v>19590</v>
      </c>
      <c r="K88" s="1217">
        <v>20060</v>
      </c>
      <c r="L88" s="1217">
        <v>26940</v>
      </c>
      <c r="M88" s="1217">
        <v>20980</v>
      </c>
      <c r="N88" s="1217">
        <v>15560</v>
      </c>
    </row>
    <row r="89" spans="1:14" s="1" customFormat="1" x14ac:dyDescent="0.25">
      <c r="A89" s="1221" t="s">
        <v>1566</v>
      </c>
      <c r="B89" s="1222"/>
      <c r="C89" s="1223"/>
      <c r="D89" s="1223"/>
      <c r="E89" s="1223"/>
      <c r="F89" s="1223"/>
      <c r="G89" s="1223"/>
      <c r="H89" s="1223"/>
      <c r="I89" s="1223"/>
      <c r="J89" s="1223"/>
      <c r="K89" s="1223"/>
      <c r="L89" s="1223"/>
      <c r="M89" s="1223"/>
      <c r="N89" s="1200"/>
    </row>
  </sheetData>
  <mergeCells count="21">
    <mergeCell ref="A66:E66"/>
    <mergeCell ref="M69:N69"/>
    <mergeCell ref="A70:B71"/>
    <mergeCell ref="C70:F70"/>
    <mergeCell ref="G70:I70"/>
    <mergeCell ref="J70:L70"/>
    <mergeCell ref="M70:M71"/>
    <mergeCell ref="N70:N71"/>
    <mergeCell ref="A72:A73"/>
    <mergeCell ref="A74:A75"/>
    <mergeCell ref="A76:A77"/>
    <mergeCell ref="M80:N80"/>
    <mergeCell ref="A81:B82"/>
    <mergeCell ref="C81:F81"/>
    <mergeCell ref="G81:I81"/>
    <mergeCell ref="J81:L81"/>
    <mergeCell ref="M81:M82"/>
    <mergeCell ref="N81:N82"/>
    <mergeCell ref="A83:A84"/>
    <mergeCell ref="A85:A86"/>
    <mergeCell ref="A87:A88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6"/>
  <sheetViews>
    <sheetView workbookViewId="0" zoomScale="100" zoomScaleNormal="100">
      <selection activeCell="B52" sqref="B52"/>
    </sheetView>
  </sheetViews>
  <sheetFormatPr defaultRowHeight="17" outlineLevelRow="0" outlineLevelCol="0" x14ac:dyDescent="0" defaultColWidth="9" customHeight="1"/>
  <cols>
    <col min="1" max="1" width="4.75" style="1" customWidth="1"/>
    <col min="2" max="3" width="8.75" style="1" customWidth="1"/>
    <col min="4" max="12" width="12.08203125" style="1" customWidth="1"/>
    <col min="13" max="13" width="8.75" style="1" customWidth="1"/>
    <col min="14" max="14" width="22.83203125" style="1" customWidth="1"/>
    <col min="15" max="16384" width="9" style="1" customWidth="1"/>
  </cols>
  <sheetData>
    <row r="2" spans="1:1" s="30" customFormat="1" x14ac:dyDescent="0.25">
      <c r="A2" s="30" t="s">
        <v>564</v>
      </c>
    </row>
    <row r="4" spans="1:1" x14ac:dyDescent="0.25">
      <c r="A4" s="1" t="s">
        <v>565</v>
      </c>
    </row>
    <row r="5" spans="2:9" x14ac:dyDescent="0.25">
      <c r="B5" s="5" t="s">
        <v>566</v>
      </c>
      <c r="C5" s="5"/>
      <c r="I5" s="1" t="s">
        <v>567</v>
      </c>
    </row>
    <row r="6" spans="2:9" x14ac:dyDescent="0.25">
      <c r="B6" s="5" t="s">
        <v>568</v>
      </c>
      <c r="C6" s="5"/>
      <c r="I6" s="1" t="s">
        <v>569</v>
      </c>
    </row>
    <row r="7" spans="2:3" x14ac:dyDescent="0.25">
      <c r="B7" s="5" t="s">
        <v>570</v>
      </c>
      <c r="C7" s="5"/>
    </row>
    <row r="8" spans="2:3" x14ac:dyDescent="0.25">
      <c r="B8" s="5" t="s">
        <v>571</v>
      </c>
      <c r="C8" s="5"/>
    </row>
    <row r="10" spans="2:14" x14ac:dyDescent="0.25">
      <c r="B10" s="1129" t="s">
        <v>572</v>
      </c>
      <c r="C10" s="1129" t="s">
        <v>573</v>
      </c>
      <c r="D10" s="1130" t="s">
        <v>247</v>
      </c>
      <c r="E10" s="1130" t="s">
        <v>249</v>
      </c>
      <c r="F10" s="1130" t="s">
        <v>250</v>
      </c>
      <c r="G10" s="1130" t="s">
        <v>252</v>
      </c>
      <c r="H10" s="1130" t="s">
        <v>253</v>
      </c>
      <c r="I10" s="1130" t="s">
        <v>254</v>
      </c>
      <c r="J10" s="1130" t="s">
        <v>255</v>
      </c>
      <c r="K10" s="1130" t="s">
        <v>256</v>
      </c>
      <c r="L10" s="1130" t="s">
        <v>257</v>
      </c>
      <c r="M10" s="1130" t="s">
        <v>258</v>
      </c>
      <c r="N10" s="1129" t="s">
        <v>574</v>
      </c>
    </row>
    <row r="11" spans="2:14" x14ac:dyDescent="0.25">
      <c r="B11" s="1131" t="s">
        <v>575</v>
      </c>
      <c r="C11" s="1129">
        <v>24</v>
      </c>
      <c r="D11" s="1130">
        <v>18583</v>
      </c>
      <c r="E11" s="1130">
        <v>24457</v>
      </c>
      <c r="F11" s="1130">
        <v>28016</v>
      </c>
      <c r="G11" s="1130">
        <v>33596</v>
      </c>
      <c r="H11" s="1130">
        <v>37328</v>
      </c>
      <c r="I11" s="1130">
        <v>46508</v>
      </c>
      <c r="J11" s="1130">
        <v>28290</v>
      </c>
      <c r="K11" s="1130">
        <v>33454</v>
      </c>
      <c r="L11" s="1130">
        <v>40000</v>
      </c>
      <c r="M11" s="1130">
        <v>35351</v>
      </c>
      <c r="N11" s="1129"/>
    </row>
    <row r="12" spans="2:14" x14ac:dyDescent="0.25">
      <c r="B12" s="1131" t="s">
        <v>575</v>
      </c>
      <c r="C12" s="1129">
        <v>30</v>
      </c>
      <c r="D12" s="1130">
        <v>20596</v>
      </c>
      <c r="E12" s="1130">
        <v>26812</v>
      </c>
      <c r="F12" s="1130">
        <v>30872</v>
      </c>
      <c r="G12" s="1130">
        <v>36990</v>
      </c>
      <c r="H12" s="1130">
        <v>41019</v>
      </c>
      <c r="I12" s="1130">
        <v>50687</v>
      </c>
      <c r="J12" s="1130">
        <v>31727</v>
      </c>
      <c r="K12" s="1130">
        <v>37097</v>
      </c>
      <c r="L12" s="1130">
        <v>44207</v>
      </c>
      <c r="M12" s="1130">
        <v>39660</v>
      </c>
      <c r="N12" s="1129"/>
    </row>
    <row r="13" spans="2:14" x14ac:dyDescent="0.25">
      <c r="B13" s="1131" t="s">
        <v>575</v>
      </c>
      <c r="C13" s="1129">
        <v>36</v>
      </c>
      <c r="D13" s="1130">
        <v>22897</v>
      </c>
      <c r="E13" s="1130">
        <v>29646</v>
      </c>
      <c r="F13" s="1130">
        <v>34261</v>
      </c>
      <c r="G13" s="1130">
        <v>41184</v>
      </c>
      <c r="H13" s="1130">
        <v>45800</v>
      </c>
      <c r="I13" s="1130">
        <v>56182</v>
      </c>
      <c r="J13" s="1130">
        <v>36143</v>
      </c>
      <c r="K13" s="1130">
        <v>41650</v>
      </c>
      <c r="L13" s="1130">
        <v>49719</v>
      </c>
      <c r="M13" s="1130">
        <v>44172</v>
      </c>
      <c r="N13" s="1129"/>
    </row>
    <row r="14" spans="2:14" x14ac:dyDescent="0.25">
      <c r="B14" s="1131" t="s">
        <v>575</v>
      </c>
      <c r="C14" s="1129">
        <v>42</v>
      </c>
      <c r="D14" s="1130">
        <v>24278</v>
      </c>
      <c r="E14" s="1130">
        <v>31294</v>
      </c>
      <c r="F14" s="1130">
        <v>36423</v>
      </c>
      <c r="G14" s="1130">
        <v>43824</v>
      </c>
      <c r="H14" s="1130">
        <v>48571</v>
      </c>
      <c r="I14" s="1130">
        <v>59295</v>
      </c>
      <c r="J14" s="1130">
        <v>36642</v>
      </c>
      <c r="K14" s="1130">
        <v>44420</v>
      </c>
      <c r="L14" s="1130">
        <v>52848</v>
      </c>
      <c r="M14" s="1130">
        <v>48459</v>
      </c>
      <c r="N14" s="1129"/>
    </row>
    <row r="15" spans="2:14" x14ac:dyDescent="0.25">
      <c r="B15" s="1131" t="s">
        <v>575</v>
      </c>
      <c r="C15" s="1129">
        <v>48</v>
      </c>
      <c r="D15" s="1130">
        <v>26033</v>
      </c>
      <c r="E15" s="1130">
        <v>33477</v>
      </c>
      <c r="F15" s="1130">
        <v>39159</v>
      </c>
      <c r="G15" s="1130">
        <v>47253</v>
      </c>
      <c r="H15" s="1130">
        <v>52390</v>
      </c>
      <c r="I15" s="1130">
        <v>63660</v>
      </c>
      <c r="J15" s="1130">
        <v>42111</v>
      </c>
      <c r="K15" s="1130">
        <v>48090</v>
      </c>
      <c r="L15" s="1130">
        <v>57225</v>
      </c>
      <c r="M15" s="1130">
        <v>52903</v>
      </c>
      <c r="N15" s="1129"/>
    </row>
    <row r="16" spans="2:14" x14ac:dyDescent="0.25">
      <c r="B16" s="1131" t="s">
        <v>575</v>
      </c>
      <c r="C16" s="1129">
        <v>54</v>
      </c>
      <c r="D16" s="1130">
        <v>26852</v>
      </c>
      <c r="E16" s="1130">
        <v>34431</v>
      </c>
      <c r="F16" s="1130">
        <v>40407</v>
      </c>
      <c r="G16" s="1130">
        <v>48746</v>
      </c>
      <c r="H16" s="1130">
        <v>53946</v>
      </c>
      <c r="I16" s="1130">
        <v>65416</v>
      </c>
      <c r="J16" s="1130">
        <v>43520</v>
      </c>
      <c r="K16" s="1130">
        <v>49672</v>
      </c>
      <c r="L16" s="1130">
        <v>59006</v>
      </c>
      <c r="M16" s="1130">
        <v>55330</v>
      </c>
      <c r="N16" s="1129"/>
    </row>
    <row r="17" spans="2:14" x14ac:dyDescent="0.25">
      <c r="B17" s="1131" t="s">
        <v>575</v>
      </c>
      <c r="C17" s="1129">
        <v>60</v>
      </c>
      <c r="D17" s="1130">
        <v>28058</v>
      </c>
      <c r="E17" s="1130">
        <v>35916</v>
      </c>
      <c r="F17" s="1130">
        <v>42254</v>
      </c>
      <c r="G17" s="1130">
        <v>51047</v>
      </c>
      <c r="H17" s="1130">
        <v>56523</v>
      </c>
      <c r="I17" s="1130">
        <v>68367</v>
      </c>
      <c r="J17" s="1130">
        <v>45881</v>
      </c>
      <c r="K17" s="1130">
        <v>52162</v>
      </c>
      <c r="L17" s="1130">
        <v>61991</v>
      </c>
      <c r="M17" s="1130">
        <v>58206</v>
      </c>
      <c r="N17" s="1129"/>
    </row>
    <row r="18" spans="2:14" x14ac:dyDescent="0.25">
      <c r="B18" s="1131" t="s">
        <v>576</v>
      </c>
      <c r="C18" s="1129">
        <v>24</v>
      </c>
      <c r="D18" s="1130">
        <v>19821</v>
      </c>
      <c r="E18" s="1130">
        <v>26054</v>
      </c>
      <c r="F18" s="1130">
        <v>29862</v>
      </c>
      <c r="G18" s="1130">
        <v>35828</v>
      </c>
      <c r="H18" s="1130">
        <v>39853</v>
      </c>
      <c r="I18" s="1130">
        <v>49437</v>
      </c>
      <c r="J18" s="1130">
        <v>30390</v>
      </c>
      <c r="K18" s="1130">
        <v>35870</v>
      </c>
      <c r="L18" s="1130">
        <v>42714</v>
      </c>
      <c r="M18" s="1130">
        <v>37766</v>
      </c>
      <c r="N18" s="1129"/>
    </row>
    <row r="19" spans="2:14" x14ac:dyDescent="0.25">
      <c r="B19" s="1131" t="s">
        <v>576</v>
      </c>
      <c r="C19" s="1129">
        <v>30</v>
      </c>
      <c r="D19" s="1130">
        <v>21971</v>
      </c>
      <c r="E19" s="1130">
        <v>28568</v>
      </c>
      <c r="F19" s="1130">
        <v>32900</v>
      </c>
      <c r="G19" s="1130">
        <v>39437</v>
      </c>
      <c r="H19" s="1130">
        <v>43786</v>
      </c>
      <c r="I19" s="1130">
        <v>53854</v>
      </c>
      <c r="J19" s="1130">
        <v>34068</v>
      </c>
      <c r="K19" s="1130">
        <v>39774</v>
      </c>
      <c r="L19" s="1130">
        <v>47178</v>
      </c>
      <c r="M19" s="1130">
        <v>42344</v>
      </c>
      <c r="N19" s="1129"/>
    </row>
    <row r="20" spans="2:14" x14ac:dyDescent="0.25">
      <c r="B20" s="1131" t="s">
        <v>576</v>
      </c>
      <c r="C20" s="1129">
        <v>36</v>
      </c>
      <c r="D20" s="1130">
        <v>24362</v>
      </c>
      <c r="E20" s="1130">
        <v>31508</v>
      </c>
      <c r="F20" s="1130">
        <v>36412</v>
      </c>
      <c r="G20" s="1130">
        <v>43774</v>
      </c>
      <c r="H20" s="1130">
        <v>48728</v>
      </c>
      <c r="I20" s="1130">
        <v>59508</v>
      </c>
      <c r="J20" s="1130">
        <v>38646</v>
      </c>
      <c r="K20" s="1130">
        <v>44501</v>
      </c>
      <c r="L20" s="1130">
        <v>52863</v>
      </c>
      <c r="M20" s="1130">
        <v>47036</v>
      </c>
      <c r="N20" s="1129"/>
    </row>
    <row r="21" spans="2:14" x14ac:dyDescent="0.25">
      <c r="B21" s="1131" t="s">
        <v>576</v>
      </c>
      <c r="C21" s="1129">
        <v>42</v>
      </c>
      <c r="D21" s="1130">
        <v>25809</v>
      </c>
      <c r="E21" s="1130">
        <v>33232</v>
      </c>
      <c r="F21" s="1130">
        <v>38661</v>
      </c>
      <c r="G21" s="1130">
        <v>46516</v>
      </c>
      <c r="H21" s="1130">
        <v>51615</v>
      </c>
      <c r="I21" s="1130">
        <v>62734</v>
      </c>
      <c r="J21" s="1130">
        <v>41260</v>
      </c>
      <c r="K21" s="1130">
        <v>47395</v>
      </c>
      <c r="L21" s="1130">
        <v>56114</v>
      </c>
      <c r="M21" s="1130">
        <v>51451</v>
      </c>
      <c r="N21" s="1129"/>
    </row>
    <row r="22" spans="2:14" x14ac:dyDescent="0.25">
      <c r="B22" s="1131" t="s">
        <v>576</v>
      </c>
      <c r="C22" s="1129">
        <v>48</v>
      </c>
      <c r="D22" s="1130">
        <v>27612</v>
      </c>
      <c r="E22" s="1130">
        <v>35473</v>
      </c>
      <c r="F22" s="1130">
        <v>41463</v>
      </c>
      <c r="G22" s="1130">
        <v>50021</v>
      </c>
      <c r="H22" s="1130">
        <v>55520</v>
      </c>
      <c r="I22" s="1130">
        <v>67185</v>
      </c>
      <c r="J22" s="1130">
        <v>44815</v>
      </c>
      <c r="K22" s="1130">
        <v>51159</v>
      </c>
      <c r="L22" s="1130">
        <v>60583</v>
      </c>
      <c r="M22" s="1130">
        <v>55992</v>
      </c>
      <c r="N22" s="1129"/>
    </row>
    <row r="23" spans="2:14" x14ac:dyDescent="0.25">
      <c r="B23" s="1131" t="s">
        <v>576</v>
      </c>
      <c r="C23" s="1129">
        <v>54</v>
      </c>
      <c r="D23" s="1130">
        <v>28468</v>
      </c>
      <c r="E23" s="1130">
        <v>36469</v>
      </c>
      <c r="F23" s="1130">
        <v>42759</v>
      </c>
      <c r="G23" s="1130">
        <v>51572</v>
      </c>
      <c r="H23" s="1130">
        <v>57141</v>
      </c>
      <c r="I23" s="1130">
        <v>69003</v>
      </c>
      <c r="J23" s="1130">
        <v>46289</v>
      </c>
      <c r="K23" s="1130">
        <v>52810</v>
      </c>
      <c r="L23" s="1130">
        <v>62432</v>
      </c>
      <c r="M23" s="1130">
        <v>58490</v>
      </c>
      <c r="N23" s="1129"/>
    </row>
    <row r="24" spans="2:14" x14ac:dyDescent="0.25">
      <c r="B24" s="1131" t="s">
        <v>576</v>
      </c>
      <c r="C24" s="1129">
        <v>60</v>
      </c>
      <c r="D24" s="1130">
        <v>29702</v>
      </c>
      <c r="E24" s="1130">
        <v>37986</v>
      </c>
      <c r="F24" s="1130">
        <v>44643</v>
      </c>
      <c r="G24" s="1130">
        <v>53915</v>
      </c>
      <c r="H24" s="1130">
        <v>59766</v>
      </c>
      <c r="I24" s="1130">
        <v>71999</v>
      </c>
      <c r="J24" s="1130">
        <v>48701</v>
      </c>
      <c r="K24" s="1130">
        <v>55353</v>
      </c>
      <c r="L24" s="1130">
        <v>65469</v>
      </c>
      <c r="M24" s="1130">
        <v>61422</v>
      </c>
      <c r="N24" s="1129"/>
    </row>
    <row r="25" spans="2:14" x14ac:dyDescent="0.25">
      <c r="B25" s="1131" t="s">
        <v>577</v>
      </c>
      <c r="C25" s="1132">
        <v>24</v>
      </c>
      <c r="D25" s="1133">
        <v>25245</v>
      </c>
      <c r="E25" s="1133">
        <v>32978</v>
      </c>
      <c r="F25" s="1133">
        <v>37925</v>
      </c>
      <c r="G25" s="1133">
        <v>45872</v>
      </c>
      <c r="H25" s="1133">
        <v>51636</v>
      </c>
      <c r="I25" s="1133">
        <v>63077</v>
      </c>
      <c r="J25" s="1133">
        <v>40983</v>
      </c>
      <c r="K25" s="1133">
        <v>47026</v>
      </c>
      <c r="L25" s="1133">
        <v>56193</v>
      </c>
      <c r="M25" s="1133">
        <v>47124</v>
      </c>
      <c r="N25" s="1134"/>
    </row>
    <row r="26" spans="2:14" x14ac:dyDescent="0.25">
      <c r="B26" s="1131" t="s">
        <v>577</v>
      </c>
      <c r="C26" s="1132">
        <v>30</v>
      </c>
      <c r="D26" s="1133">
        <v>29284</v>
      </c>
      <c r="E26" s="1133">
        <v>37815</v>
      </c>
      <c r="F26" s="1133">
        <v>43650</v>
      </c>
      <c r="G26" s="1133">
        <v>52723</v>
      </c>
      <c r="H26" s="1133">
        <v>59367</v>
      </c>
      <c r="I26" s="1133">
        <v>72064</v>
      </c>
      <c r="J26" s="1133">
        <v>48129</v>
      </c>
      <c r="K26" s="1133">
        <v>54516</v>
      </c>
      <c r="L26" s="1133">
        <v>65178</v>
      </c>
      <c r="M26" s="1133">
        <v>54434</v>
      </c>
      <c r="N26" s="1134"/>
    </row>
    <row r="27" spans="2:14" x14ac:dyDescent="0.25">
      <c r="B27" s="1131" t="s">
        <v>577</v>
      </c>
      <c r="C27" s="1132">
        <v>36</v>
      </c>
      <c r="D27" s="1133">
        <v>31336</v>
      </c>
      <c r="E27" s="1133">
        <v>40250</v>
      </c>
      <c r="F27" s="1133">
        <v>46557</v>
      </c>
      <c r="G27" s="1133">
        <v>56197</v>
      </c>
      <c r="H27" s="1133">
        <v>63259</v>
      </c>
      <c r="I27" s="1133">
        <v>76545</v>
      </c>
      <c r="J27" s="1133">
        <v>51711</v>
      </c>
      <c r="K27" s="1133">
        <v>58327</v>
      </c>
      <c r="L27" s="1133">
        <v>69701</v>
      </c>
      <c r="M27" s="1133">
        <v>58283</v>
      </c>
      <c r="N27" s="1134"/>
    </row>
    <row r="28" spans="2:14" x14ac:dyDescent="0.25">
      <c r="B28" s="1131" t="s">
        <v>577</v>
      </c>
      <c r="C28" s="1132">
        <v>42</v>
      </c>
      <c r="D28" s="1133">
        <v>33596</v>
      </c>
      <c r="E28" s="1133">
        <v>43017</v>
      </c>
      <c r="F28" s="1133">
        <v>50021</v>
      </c>
      <c r="G28" s="1133">
        <v>60469</v>
      </c>
      <c r="H28" s="1133">
        <v>67949</v>
      </c>
      <c r="I28" s="1133">
        <v>81893</v>
      </c>
      <c r="J28" s="1133">
        <v>56001</v>
      </c>
      <c r="K28" s="1133">
        <v>62884</v>
      </c>
      <c r="L28" s="1133">
        <v>75044</v>
      </c>
      <c r="M28" s="1133">
        <v>64077</v>
      </c>
      <c r="N28" s="1134"/>
    </row>
    <row r="29" spans="2:14" x14ac:dyDescent="0.25">
      <c r="B29" s="1131" t="s">
        <v>577</v>
      </c>
      <c r="C29" s="1132">
        <v>48</v>
      </c>
      <c r="D29" s="1133">
        <v>35566</v>
      </c>
      <c r="E29" s="1133">
        <v>45404</v>
      </c>
      <c r="F29" s="1133">
        <v>52974</v>
      </c>
      <c r="G29" s="1133">
        <v>64064</v>
      </c>
      <c r="H29" s="1133">
        <v>71918</v>
      </c>
      <c r="I29" s="1133">
        <v>86479</v>
      </c>
      <c r="J29" s="1133">
        <v>59611</v>
      </c>
      <c r="K29" s="1133">
        <v>66754</v>
      </c>
      <c r="L29" s="1133">
        <v>79627</v>
      </c>
      <c r="M29" s="1133">
        <v>68687</v>
      </c>
      <c r="N29" s="1134"/>
    </row>
    <row r="30" spans="2:14" x14ac:dyDescent="0.25">
      <c r="B30" s="1131" t="s">
        <v>577</v>
      </c>
      <c r="C30" s="1132">
        <v>54</v>
      </c>
      <c r="D30" s="1133">
        <v>36823</v>
      </c>
      <c r="E30" s="1133">
        <v>46938</v>
      </c>
      <c r="F30" s="1133">
        <v>54902</v>
      </c>
      <c r="G30" s="1133">
        <v>66446</v>
      </c>
      <c r="H30" s="1133">
        <v>74529</v>
      </c>
      <c r="I30" s="1133">
        <v>89435</v>
      </c>
      <c r="J30" s="1133">
        <v>62020</v>
      </c>
      <c r="K30" s="1133">
        <v>69298</v>
      </c>
      <c r="L30" s="1133">
        <v>82598</v>
      </c>
      <c r="M30" s="1133">
        <v>71977</v>
      </c>
      <c r="N30" s="1134"/>
    </row>
    <row r="31" spans="2:14" x14ac:dyDescent="0.25">
      <c r="B31" s="1131" t="s">
        <v>577</v>
      </c>
      <c r="C31" s="1132">
        <v>60</v>
      </c>
      <c r="D31" s="1133">
        <v>38020</v>
      </c>
      <c r="E31" s="1133">
        <v>48375</v>
      </c>
      <c r="F31" s="1133">
        <v>56683</v>
      </c>
      <c r="G31" s="1133">
        <v>68607</v>
      </c>
      <c r="H31" s="1133">
        <v>76914</v>
      </c>
      <c r="I31" s="1133">
        <v>92174</v>
      </c>
      <c r="J31" s="1133">
        <v>64215</v>
      </c>
      <c r="K31" s="1133">
        <v>71640</v>
      </c>
      <c r="L31" s="1133">
        <v>85364</v>
      </c>
      <c r="M31" s="1133">
        <v>74767</v>
      </c>
      <c r="N31" s="1134"/>
    </row>
    <row r="32" spans="2:14" x14ac:dyDescent="0.25">
      <c r="B32" s="1135" t="s">
        <v>578</v>
      </c>
      <c r="C32" s="1129">
        <v>24</v>
      </c>
      <c r="D32" s="1136">
        <v>27841</v>
      </c>
      <c r="E32" s="1136">
        <v>35986</v>
      </c>
      <c r="F32" s="1136">
        <v>41209</v>
      </c>
      <c r="G32" s="1136">
        <v>49464</v>
      </c>
      <c r="H32" s="1136">
        <v>55590</v>
      </c>
      <c r="I32" s="1136">
        <v>67239</v>
      </c>
      <c r="J32" s="1136">
        <v>44812</v>
      </c>
      <c r="K32" s="1136">
        <v>51105</v>
      </c>
      <c r="L32" s="1136">
        <v>60272</v>
      </c>
      <c r="M32" s="1136">
        <v>51137</v>
      </c>
      <c r="N32" s="1134"/>
    </row>
    <row r="33" spans="2:14" x14ac:dyDescent="0.25">
      <c r="B33" s="1135" t="s">
        <v>578</v>
      </c>
      <c r="C33" s="1129">
        <v>30</v>
      </c>
      <c r="D33" s="1136">
        <v>34190</v>
      </c>
      <c r="E33" s="1136">
        <v>43669</v>
      </c>
      <c r="F33" s="1136">
        <v>50207</v>
      </c>
      <c r="G33" s="1136">
        <v>60253</v>
      </c>
      <c r="H33" s="1136">
        <v>67863</v>
      </c>
      <c r="I33" s="1136">
        <v>81661</v>
      </c>
      <c r="J33" s="1136">
        <v>56212</v>
      </c>
      <c r="K33" s="1136">
        <v>62849</v>
      </c>
      <c r="L33" s="1136">
        <v>74537</v>
      </c>
      <c r="M33" s="1136">
        <v>62136</v>
      </c>
      <c r="N33" s="1134"/>
    </row>
    <row r="34" spans="2:14" x14ac:dyDescent="0.25">
      <c r="B34" s="1135" t="s">
        <v>578</v>
      </c>
      <c r="C34" s="1129">
        <v>36</v>
      </c>
      <c r="D34" s="1136">
        <v>35868</v>
      </c>
      <c r="E34" s="1136">
        <v>45664</v>
      </c>
      <c r="F34" s="1136">
        <v>52843</v>
      </c>
      <c r="G34" s="1136">
        <v>63493</v>
      </c>
      <c r="H34" s="1136">
        <v>71306</v>
      </c>
      <c r="I34" s="1136">
        <v>85488</v>
      </c>
      <c r="J34" s="1136">
        <v>59264</v>
      </c>
      <c r="K34" s="1136">
        <v>66331</v>
      </c>
      <c r="L34" s="1136">
        <v>78478</v>
      </c>
      <c r="M34" s="1136">
        <v>67226</v>
      </c>
      <c r="N34" s="1134"/>
    </row>
    <row r="35" spans="2:14" x14ac:dyDescent="0.25">
      <c r="B35" s="1135" t="s">
        <v>578</v>
      </c>
      <c r="C35" s="1129">
        <v>42</v>
      </c>
      <c r="D35" s="1136">
        <v>36751</v>
      </c>
      <c r="E35" s="1136">
        <v>46732</v>
      </c>
      <c r="F35" s="1136">
        <v>54318</v>
      </c>
      <c r="G35" s="1136">
        <v>65360</v>
      </c>
      <c r="H35" s="1136">
        <v>73248</v>
      </c>
      <c r="I35" s="1136">
        <v>87565</v>
      </c>
      <c r="J35" s="1136">
        <v>60997</v>
      </c>
      <c r="K35" s="1136">
        <v>68301</v>
      </c>
      <c r="L35" s="1136">
        <v>80635</v>
      </c>
      <c r="M35" s="1136">
        <v>70559</v>
      </c>
      <c r="N35" s="1134"/>
    </row>
    <row r="36" spans="2:14" x14ac:dyDescent="0.25">
      <c r="B36" s="1135" t="s">
        <v>578</v>
      </c>
      <c r="C36" s="1129">
        <v>48</v>
      </c>
      <c r="D36" s="1136">
        <v>37689</v>
      </c>
      <c r="E36" s="1136">
        <v>47846</v>
      </c>
      <c r="F36" s="1136">
        <v>55781</v>
      </c>
      <c r="G36" s="1136">
        <v>67152</v>
      </c>
      <c r="H36" s="1136">
        <v>75157</v>
      </c>
      <c r="I36" s="1136">
        <v>89697</v>
      </c>
      <c r="J36" s="1136">
        <v>62689</v>
      </c>
      <c r="K36" s="1136">
        <v>70231</v>
      </c>
      <c r="L36" s="1136">
        <v>82829</v>
      </c>
      <c r="M36" s="1136">
        <v>73323</v>
      </c>
      <c r="N36" s="1134"/>
    </row>
    <row r="37" spans="2:14" x14ac:dyDescent="0.25">
      <c r="B37" s="1135" t="s">
        <v>578</v>
      </c>
      <c r="C37" s="1129">
        <v>54</v>
      </c>
      <c r="D37" s="1136">
        <v>40717</v>
      </c>
      <c r="E37" s="1136">
        <v>51573</v>
      </c>
      <c r="F37" s="1136">
        <v>60369</v>
      </c>
      <c r="G37" s="1136">
        <v>72789</v>
      </c>
      <c r="H37" s="1136">
        <v>81417</v>
      </c>
      <c r="I37" s="1136">
        <v>96952</v>
      </c>
      <c r="J37" s="1136">
        <v>68451</v>
      </c>
      <c r="K37" s="1136">
        <v>76247</v>
      </c>
      <c r="L37" s="1136">
        <v>90007</v>
      </c>
      <c r="M37" s="1136">
        <v>80513</v>
      </c>
      <c r="N37" s="1134"/>
    </row>
    <row r="38" spans="2:14" x14ac:dyDescent="0.25">
      <c r="B38" s="1135" t="s">
        <v>578</v>
      </c>
      <c r="C38" s="1129">
        <v>60</v>
      </c>
      <c r="D38" s="1136">
        <v>43331</v>
      </c>
      <c r="E38" s="1136">
        <v>54765</v>
      </c>
      <c r="F38" s="1136">
        <v>64279</v>
      </c>
      <c r="G38" s="1136">
        <v>77554</v>
      </c>
      <c r="H38" s="1136">
        <v>86721</v>
      </c>
      <c r="I38" s="1136">
        <v>103130</v>
      </c>
      <c r="J38" s="1136">
        <v>73331</v>
      </c>
      <c r="K38" s="1136">
        <v>81365</v>
      </c>
      <c r="L38" s="1136">
        <v>96139</v>
      </c>
      <c r="M38" s="1136">
        <v>86424</v>
      </c>
      <c r="N38" s="1134"/>
    </row>
    <row r="39" spans="2:14" x14ac:dyDescent="0.25">
      <c r="B39" s="1135" t="s">
        <v>579</v>
      </c>
      <c r="C39" s="1129">
        <v>24</v>
      </c>
      <c r="D39" s="1136">
        <v>39818</v>
      </c>
      <c r="E39" s="1136">
        <v>51010</v>
      </c>
      <c r="F39" s="1136">
        <v>58591</v>
      </c>
      <c r="G39" s="1136">
        <v>70618</v>
      </c>
      <c r="H39" s="1136">
        <v>80162</v>
      </c>
      <c r="I39" s="1136">
        <v>96508</v>
      </c>
      <c r="J39" s="1136">
        <v>66862</v>
      </c>
      <c r="K39" s="1136">
        <v>74217</v>
      </c>
      <c r="L39" s="1136">
        <v>88696</v>
      </c>
      <c r="M39" s="1136">
        <v>70472</v>
      </c>
      <c r="N39" s="1134"/>
    </row>
    <row r="40" spans="2:14" x14ac:dyDescent="0.25">
      <c r="B40" s="1135" t="s">
        <v>579</v>
      </c>
      <c r="C40" s="1129">
        <v>30</v>
      </c>
      <c r="D40" s="1136">
        <v>44297</v>
      </c>
      <c r="E40" s="1136">
        <v>56493</v>
      </c>
      <c r="F40" s="1136">
        <v>65363</v>
      </c>
      <c r="G40" s="1136">
        <v>78969</v>
      </c>
      <c r="H40" s="1136">
        <v>89462</v>
      </c>
      <c r="I40" s="1136">
        <v>107148</v>
      </c>
      <c r="J40" s="1136">
        <v>75364</v>
      </c>
      <c r="K40" s="1136">
        <v>83226</v>
      </c>
      <c r="L40" s="1136">
        <v>99383</v>
      </c>
      <c r="M40" s="1136">
        <v>80960</v>
      </c>
      <c r="N40" s="1134"/>
    </row>
    <row r="41" spans="2:14" x14ac:dyDescent="0.25">
      <c r="B41" s="1135" t="s">
        <v>579</v>
      </c>
      <c r="C41" s="1129">
        <v>36</v>
      </c>
      <c r="D41" s="1136">
        <v>46324</v>
      </c>
      <c r="E41" s="1136">
        <v>58885</v>
      </c>
      <c r="F41" s="1136">
        <v>68391</v>
      </c>
      <c r="G41" s="1136">
        <v>82606</v>
      </c>
      <c r="H41" s="1136">
        <v>93343</v>
      </c>
      <c r="I41" s="1136">
        <v>111533</v>
      </c>
      <c r="J41" s="1136">
        <v>78907</v>
      </c>
      <c r="K41" s="1136">
        <v>87107</v>
      </c>
      <c r="L41" s="1136">
        <v>103799</v>
      </c>
      <c r="M41" s="1136">
        <v>86313</v>
      </c>
      <c r="N41" s="1134"/>
    </row>
    <row r="42" spans="2:14" x14ac:dyDescent="0.25">
      <c r="B42" s="1135" t="s">
        <v>579</v>
      </c>
      <c r="C42" s="1129">
        <v>42</v>
      </c>
      <c r="D42" s="1136">
        <v>48594</v>
      </c>
      <c r="E42" s="1136">
        <v>61676</v>
      </c>
      <c r="F42" s="1136">
        <v>71827</v>
      </c>
      <c r="G42" s="1136">
        <v>86859</v>
      </c>
      <c r="H42" s="1136">
        <v>98102</v>
      </c>
      <c r="I42" s="1136">
        <v>116987</v>
      </c>
      <c r="J42" s="1136">
        <v>83259</v>
      </c>
      <c r="K42" s="1136">
        <v>91700</v>
      </c>
      <c r="L42" s="1136">
        <v>109275</v>
      </c>
      <c r="M42" s="1136">
        <v>91542</v>
      </c>
      <c r="N42" s="1134"/>
    </row>
    <row r="43" spans="2:14" x14ac:dyDescent="0.25">
      <c r="B43" s="1135" t="s">
        <v>579</v>
      </c>
      <c r="C43" s="1129">
        <v>48</v>
      </c>
      <c r="D43" s="1136">
        <v>50067</v>
      </c>
      <c r="E43" s="1136">
        <v>63441</v>
      </c>
      <c r="F43" s="1136">
        <v>74178</v>
      </c>
      <c r="G43" s="1136">
        <v>89738</v>
      </c>
      <c r="H43" s="1136">
        <v>101110</v>
      </c>
      <c r="I43" s="1136">
        <v>120367</v>
      </c>
      <c r="J43" s="1136">
        <v>85950</v>
      </c>
      <c r="K43" s="1136">
        <v>94723</v>
      </c>
      <c r="L43" s="1136">
        <v>112674</v>
      </c>
      <c r="M43" s="1136">
        <v>96394</v>
      </c>
      <c r="N43" s="1134"/>
    </row>
    <row r="44" spans="2:14" x14ac:dyDescent="0.25">
      <c r="B44" s="1135" t="s">
        <v>579</v>
      </c>
      <c r="C44" s="1129">
        <v>54</v>
      </c>
      <c r="D44" s="1136">
        <v>51816</v>
      </c>
      <c r="E44" s="1136">
        <v>65606</v>
      </c>
      <c r="F44" s="1136">
        <v>76938</v>
      </c>
      <c r="G44" s="1136">
        <v>93191</v>
      </c>
      <c r="H44" s="1136">
        <v>104913</v>
      </c>
      <c r="I44" s="1136">
        <v>124692</v>
      </c>
      <c r="J44" s="1136">
        <v>89404</v>
      </c>
      <c r="K44" s="1136">
        <v>98420</v>
      </c>
      <c r="L44" s="1136">
        <v>117033</v>
      </c>
      <c r="M44" s="1136">
        <v>101194</v>
      </c>
      <c r="N44" s="1134"/>
    </row>
    <row r="45" spans="2:14" x14ac:dyDescent="0.25">
      <c r="B45" s="1135" t="s">
        <v>579</v>
      </c>
      <c r="C45" s="1129">
        <v>60</v>
      </c>
      <c r="D45" s="1136">
        <v>52611</v>
      </c>
      <c r="E45" s="1136">
        <v>66535</v>
      </c>
      <c r="F45" s="1136">
        <v>78204</v>
      </c>
      <c r="G45" s="1136">
        <v>94732</v>
      </c>
      <c r="H45" s="1136">
        <v>106492</v>
      </c>
      <c r="I45" s="1136">
        <v>126432</v>
      </c>
      <c r="J45" s="1136">
        <v>90843</v>
      </c>
      <c r="K45" s="1136">
        <v>100042</v>
      </c>
      <c r="L45" s="1136">
        <v>118818</v>
      </c>
      <c r="M45" s="1136">
        <v>103992</v>
      </c>
      <c r="N45" s="1134"/>
    </row>
    <row r="46" spans="2:14" x14ac:dyDescent="0.25">
      <c r="B46" s="1135" t="s">
        <v>580</v>
      </c>
      <c r="C46" s="1129">
        <v>24</v>
      </c>
      <c r="D46" s="1136">
        <v>51447</v>
      </c>
      <c r="E46" s="1136">
        <v>65678</v>
      </c>
      <c r="F46" s="1136">
        <v>75408</v>
      </c>
      <c r="G46" s="1136">
        <v>91020</v>
      </c>
      <c r="H46" s="1136">
        <v>103724</v>
      </c>
      <c r="I46" s="1136">
        <v>124331</v>
      </c>
      <c r="J46" s="1136">
        <v>88087</v>
      </c>
      <c r="K46" s="1136">
        <v>96233</v>
      </c>
      <c r="L46" s="1136">
        <v>115355</v>
      </c>
      <c r="M46" s="1136">
        <v>89676</v>
      </c>
      <c r="N46" s="1134"/>
    </row>
    <row r="47" spans="2:14" x14ac:dyDescent="0.25">
      <c r="B47" s="1135" t="s">
        <v>580</v>
      </c>
      <c r="C47" s="1129">
        <v>30</v>
      </c>
      <c r="D47" s="1136">
        <v>52734</v>
      </c>
      <c r="E47" s="1136">
        <v>67161</v>
      </c>
      <c r="F47" s="1136">
        <v>77557</v>
      </c>
      <c r="G47" s="1136">
        <v>93714</v>
      </c>
      <c r="H47" s="1136">
        <v>106433</v>
      </c>
      <c r="I47" s="1136">
        <v>127021</v>
      </c>
      <c r="J47" s="1136">
        <v>90476</v>
      </c>
      <c r="K47" s="1136">
        <v>99165</v>
      </c>
      <c r="L47" s="1136">
        <v>118325</v>
      </c>
      <c r="M47" s="1136">
        <v>95103</v>
      </c>
      <c r="N47" s="1134"/>
    </row>
    <row r="48" spans="2:14" x14ac:dyDescent="0.25">
      <c r="B48" s="1135" t="s">
        <v>580</v>
      </c>
      <c r="C48" s="1129">
        <v>36</v>
      </c>
      <c r="D48" s="1136">
        <v>56327</v>
      </c>
      <c r="E48" s="1136">
        <v>71546</v>
      </c>
      <c r="F48" s="1136">
        <v>82898</v>
      </c>
      <c r="G48" s="1136">
        <v>100229</v>
      </c>
      <c r="H48" s="1136">
        <v>113699</v>
      </c>
      <c r="I48" s="1136">
        <v>135515</v>
      </c>
      <c r="J48" s="1136">
        <v>97144</v>
      </c>
      <c r="K48" s="1136">
        <v>106126</v>
      </c>
      <c r="L48" s="1136">
        <v>126736</v>
      </c>
      <c r="M48" s="1136">
        <v>102914</v>
      </c>
      <c r="N48" s="1134"/>
    </row>
    <row r="49" spans="2:14" x14ac:dyDescent="0.25">
      <c r="B49" s="1135" t="s">
        <v>580</v>
      </c>
      <c r="C49" s="1129">
        <v>42</v>
      </c>
      <c r="D49" s="1136">
        <v>59859</v>
      </c>
      <c r="E49" s="1136">
        <v>75861</v>
      </c>
      <c r="F49" s="1136">
        <v>88275</v>
      </c>
      <c r="G49" s="1136">
        <v>106825</v>
      </c>
      <c r="H49" s="1136">
        <v>120962</v>
      </c>
      <c r="I49" s="1136">
        <v>143818</v>
      </c>
      <c r="J49" s="1136">
        <v>103787</v>
      </c>
      <c r="K49" s="1136">
        <v>113209</v>
      </c>
      <c r="L49" s="1136">
        <v>135030</v>
      </c>
      <c r="M49" s="1136">
        <v>111760</v>
      </c>
      <c r="N49" s="1134"/>
    </row>
    <row r="50" spans="2:14" x14ac:dyDescent="0.25">
      <c r="B50" s="1135" t="s">
        <v>580</v>
      </c>
      <c r="C50" s="1129">
        <v>48</v>
      </c>
      <c r="D50" s="1136">
        <v>62153</v>
      </c>
      <c r="E50" s="1136">
        <v>78681</v>
      </c>
      <c r="F50" s="1136">
        <v>91828</v>
      </c>
      <c r="G50" s="1136">
        <v>111210</v>
      </c>
      <c r="H50" s="1136">
        <v>125773</v>
      </c>
      <c r="I50" s="1136">
        <v>149410</v>
      </c>
      <c r="J50" s="1136">
        <v>108145</v>
      </c>
      <c r="K50" s="1136">
        <v>117845</v>
      </c>
      <c r="L50" s="1136">
        <v>140573</v>
      </c>
      <c r="M50" s="1136">
        <v>117697</v>
      </c>
      <c r="N50" s="1134"/>
    </row>
    <row r="51" spans="2:14" x14ac:dyDescent="0.25">
      <c r="B51" s="1135" t="s">
        <v>580</v>
      </c>
      <c r="C51" s="1129">
        <v>54</v>
      </c>
      <c r="D51" s="1136">
        <v>60797</v>
      </c>
      <c r="E51" s="1136">
        <v>76870</v>
      </c>
      <c r="F51" s="1136">
        <v>89941</v>
      </c>
      <c r="G51" s="1136">
        <v>108820</v>
      </c>
      <c r="H51" s="1136">
        <v>122691</v>
      </c>
      <c r="I51" s="1136">
        <v>145561</v>
      </c>
      <c r="J51" s="1136">
        <v>105256</v>
      </c>
      <c r="K51" s="1136">
        <v>115204</v>
      </c>
      <c r="L51" s="1136">
        <v>136888</v>
      </c>
      <c r="M51" s="1136">
        <v>117260</v>
      </c>
      <c r="N51" s="1134"/>
    </row>
    <row r="52" spans="2:14" x14ac:dyDescent="0.25">
      <c r="B52" s="1135" t="s">
        <v>580</v>
      </c>
      <c r="C52" s="1129">
        <v>60</v>
      </c>
      <c r="D52" s="1136">
        <v>62471</v>
      </c>
      <c r="E52" s="1136">
        <v>78927</v>
      </c>
      <c r="F52" s="1136">
        <v>92503</v>
      </c>
      <c r="G52" s="1136">
        <v>111987</v>
      </c>
      <c r="H52" s="1136">
        <v>126206</v>
      </c>
      <c r="I52" s="1136">
        <v>149648</v>
      </c>
      <c r="J52" s="1136">
        <v>108486</v>
      </c>
      <c r="K52" s="1136">
        <v>118576</v>
      </c>
      <c r="L52" s="1136">
        <v>140962</v>
      </c>
      <c r="M52" s="1136">
        <v>121329</v>
      </c>
      <c r="N52" s="1134"/>
    </row>
    <row r="53" spans="2:14" x14ac:dyDescent="0.25">
      <c r="B53" s="1135" t="s">
        <v>581</v>
      </c>
      <c r="C53" s="1129">
        <v>24</v>
      </c>
      <c r="D53" s="1136">
        <v>54429</v>
      </c>
      <c r="E53" s="1136">
        <v>69956</v>
      </c>
      <c r="F53" s="1136">
        <v>80307</v>
      </c>
      <c r="G53" s="1136">
        <v>96767</v>
      </c>
      <c r="H53" s="1136">
        <v>109823</v>
      </c>
      <c r="I53" s="1136">
        <v>132648</v>
      </c>
      <c r="J53" s="1136">
        <v>91336</v>
      </c>
      <c r="K53" s="1136">
        <v>101474</v>
      </c>
      <c r="L53" s="1136">
        <v>121338</v>
      </c>
      <c r="M53" s="1136">
        <v>96097</v>
      </c>
      <c r="N53" s="1134"/>
    </row>
    <row r="54" spans="2:14" x14ac:dyDescent="0.25">
      <c r="B54" s="1135" t="s">
        <v>581</v>
      </c>
      <c r="C54" s="1129">
        <v>30</v>
      </c>
      <c r="D54" s="1136">
        <v>55965</v>
      </c>
      <c r="E54" s="1136">
        <v>71803</v>
      </c>
      <c r="F54" s="1136">
        <v>82893</v>
      </c>
      <c r="G54" s="1136">
        <v>100081</v>
      </c>
      <c r="H54" s="1136">
        <v>113315</v>
      </c>
      <c r="I54" s="1136">
        <v>136322</v>
      </c>
      <c r="J54" s="1136">
        <v>94432</v>
      </c>
      <c r="K54" s="1136">
        <v>105055</v>
      </c>
      <c r="L54" s="1136">
        <v>125284</v>
      </c>
      <c r="M54" s="1136">
        <v>101867</v>
      </c>
      <c r="N54" s="1134"/>
    </row>
    <row r="55" spans="2:14" x14ac:dyDescent="0.25">
      <c r="B55" s="1135" t="s">
        <v>581</v>
      </c>
      <c r="C55" s="1129">
        <v>36</v>
      </c>
      <c r="D55" s="1136">
        <v>60850</v>
      </c>
      <c r="E55" s="1136">
        <v>77811</v>
      </c>
      <c r="F55" s="1136">
        <v>90348</v>
      </c>
      <c r="G55" s="1136">
        <v>109276</v>
      </c>
      <c r="H55" s="1136">
        <v>123521</v>
      </c>
      <c r="I55" s="1136">
        <v>148081</v>
      </c>
      <c r="J55" s="1136">
        <v>103765</v>
      </c>
      <c r="K55" s="1136">
        <v>114911</v>
      </c>
      <c r="L55" s="1136">
        <v>137011</v>
      </c>
      <c r="M55" s="1136">
        <v>113719</v>
      </c>
      <c r="N55" s="1134"/>
    </row>
    <row r="56" spans="2:14" x14ac:dyDescent="0.25">
      <c r="B56" s="1135" t="s">
        <v>581</v>
      </c>
      <c r="C56" s="1129">
        <v>42</v>
      </c>
      <c r="D56" s="1136">
        <v>64340</v>
      </c>
      <c r="E56" s="1136">
        <v>82103</v>
      </c>
      <c r="F56" s="1136">
        <v>95673</v>
      </c>
      <c r="G56" s="1136">
        <v>115844</v>
      </c>
      <c r="H56" s="1136">
        <v>130810</v>
      </c>
      <c r="I56" s="1136">
        <v>156480</v>
      </c>
      <c r="J56" s="1136">
        <v>110432</v>
      </c>
      <c r="K56" s="1136">
        <v>121952</v>
      </c>
      <c r="L56" s="1136">
        <v>145388</v>
      </c>
      <c r="M56" s="1136">
        <v>122184</v>
      </c>
      <c r="N56" s="1134"/>
    </row>
    <row r="57" spans="2:14" x14ac:dyDescent="0.25">
      <c r="B57" s="1135" t="s">
        <v>581</v>
      </c>
      <c r="C57" s="1129">
        <v>48</v>
      </c>
      <c r="D57" s="1136">
        <v>64550</v>
      </c>
      <c r="E57" s="1136">
        <v>82358</v>
      </c>
      <c r="F57" s="1136">
        <v>96256</v>
      </c>
      <c r="G57" s="1136">
        <v>116667</v>
      </c>
      <c r="H57" s="1136">
        <v>131547</v>
      </c>
      <c r="I57" s="1136">
        <v>157118</v>
      </c>
      <c r="J57" s="1136">
        <v>111001</v>
      </c>
      <c r="K57" s="1136">
        <v>122801</v>
      </c>
      <c r="L57" s="1136">
        <v>146170</v>
      </c>
      <c r="M57" s="1136">
        <v>124690</v>
      </c>
      <c r="N57" s="1134"/>
    </row>
    <row r="58" spans="2:14" x14ac:dyDescent="0.25">
      <c r="B58" s="1135" t="s">
        <v>581</v>
      </c>
      <c r="C58" s="1129">
        <v>54</v>
      </c>
      <c r="D58" s="1136">
        <v>66803</v>
      </c>
      <c r="E58" s="1136">
        <v>85119</v>
      </c>
      <c r="F58" s="1136">
        <v>99658</v>
      </c>
      <c r="G58" s="1136">
        <v>120851</v>
      </c>
      <c r="H58" s="1136">
        <v>136207</v>
      </c>
      <c r="I58" s="1136">
        <v>162491</v>
      </c>
      <c r="J58" s="1136">
        <v>115303</v>
      </c>
      <c r="K58" s="1136">
        <v>127301</v>
      </c>
      <c r="L58" s="1136">
        <v>151541</v>
      </c>
      <c r="M58" s="1136">
        <v>129959</v>
      </c>
      <c r="N58" s="1134"/>
    </row>
    <row r="59" spans="2:14" x14ac:dyDescent="0.25">
      <c r="B59" s="1135" t="s">
        <v>581</v>
      </c>
      <c r="C59" s="1129">
        <v>60</v>
      </c>
      <c r="D59" s="1136">
        <v>68562</v>
      </c>
      <c r="E59" s="1136">
        <v>87265</v>
      </c>
      <c r="F59" s="1136">
        <v>102306</v>
      </c>
      <c r="G59" s="1136">
        <v>124106</v>
      </c>
      <c r="H59" s="1136">
        <v>139832</v>
      </c>
      <c r="I59" s="1136">
        <v>166653</v>
      </c>
      <c r="J59" s="1136">
        <v>118674</v>
      </c>
      <c r="K59" s="1136">
        <v>130813</v>
      </c>
      <c r="L59" s="1136">
        <v>155725</v>
      </c>
      <c r="M59" s="1136">
        <v>134091</v>
      </c>
      <c r="N59" s="1134"/>
    </row>
    <row r="60" spans="2:13" x14ac:dyDescent="0.25">
      <c r="B60" s="1137"/>
      <c r="C60" s="1138"/>
      <c r="D60" s="1138"/>
      <c r="E60" s="1138"/>
      <c r="F60" s="1138"/>
      <c r="G60" s="1138"/>
      <c r="H60" s="1138"/>
      <c r="I60" s="1138"/>
      <c r="J60" s="1138"/>
      <c r="K60" s="1138"/>
      <c r="L60" s="1138"/>
      <c r="M60" s="1138"/>
    </row>
    <row r="61" spans="3:13" x14ac:dyDescent="0.25">
      <c r="C61" s="112"/>
      <c r="D61" s="5"/>
      <c r="E61" s="5"/>
      <c r="F61" s="5"/>
      <c r="G61" s="5"/>
      <c r="H61" s="5"/>
      <c r="I61" s="5"/>
      <c r="J61" s="5"/>
      <c r="K61" s="5"/>
      <c r="L61" s="5"/>
      <c r="M61" s="5"/>
    </row>
    <row r="62" spans="2:13" x14ac:dyDescent="0.25">
      <c r="B62" s="112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</row>
    <row r="63" spans="2:13" x14ac:dyDescent="0.25">
      <c r="B63" s="112"/>
      <c r="D63" s="5"/>
      <c r="E63" s="5"/>
      <c r="F63" s="5"/>
      <c r="G63" s="5"/>
      <c r="H63" s="5"/>
      <c r="I63" s="5"/>
      <c r="J63" s="5"/>
      <c r="K63" s="5"/>
      <c r="L63" s="5"/>
      <c r="M63" s="5"/>
    </row>
    <row r="64" spans="2:13" x14ac:dyDescent="0.25">
      <c r="B64" s="112"/>
      <c r="D64" s="5"/>
      <c r="E64" s="5"/>
      <c r="F64" s="5"/>
      <c r="G64" s="5"/>
      <c r="H64" s="5"/>
      <c r="I64" s="5"/>
      <c r="J64" s="5"/>
      <c r="K64" s="5"/>
      <c r="L64" s="5"/>
      <c r="M64" s="5"/>
    </row>
    <row r="65" spans="2:13" x14ac:dyDescent="0.25">
      <c r="B65" s="112"/>
      <c r="D65" s="5"/>
      <c r="E65" s="5"/>
      <c r="F65" s="5"/>
      <c r="G65" s="5"/>
      <c r="H65" s="5"/>
      <c r="I65" s="5"/>
      <c r="J65" s="5"/>
      <c r="K65" s="5"/>
      <c r="L65" s="5"/>
      <c r="M65" s="5"/>
    </row>
    <row r="66" spans="2:13" x14ac:dyDescent="0.25">
      <c r="B66" s="112"/>
      <c r="D66" s="5"/>
      <c r="E66" s="5"/>
      <c r="F66" s="5"/>
      <c r="G66" s="5"/>
      <c r="H66" s="5"/>
      <c r="I66" s="5"/>
      <c r="J66" s="5"/>
      <c r="K66" s="5"/>
      <c r="L66" s="5"/>
      <c r="M66" s="5"/>
    </row>
  </sheetData>
  <pageMargins left="0.7" right="0.7" top="0.75" bottom="0.75" header="0.3" footer="0.3"/>
  <pageSetup paperSize="9" orientation="portrait" horizontalDpi="4294967295" verticalDpi="0" scale="100" fitToWidth="1" fitToHeight="1" firstPageNumber="1" useFirstPageNumber="1" copies="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A4:C17"/>
  <sheetViews>
    <sheetView workbookViewId="0" zoomScale="100" zoomScaleNormal="100">
      <selection activeCell="C18" sqref="C18"/>
    </sheetView>
  </sheetViews>
  <sheetFormatPr defaultRowHeight="17" outlineLevelRow="0" outlineLevelCol="0" x14ac:dyDescent="0" customHeight="1"/>
  <cols>
    <col min="1" max="1" width="16.58203125" customWidth="1"/>
    <col min="2" max="2" width="19.5" customWidth="1"/>
    <col min="3" max="3" width="16.58203125" customWidth="1"/>
  </cols>
  <sheetData>
    <row r="4" spans="1:3" x14ac:dyDescent="0.25">
      <c r="A4" s="1225" t="s">
        <v>154</v>
      </c>
      <c r="B4" s="1225" t="s">
        <v>67</v>
      </c>
      <c r="C4" s="1226">
        <v>0</v>
      </c>
    </row>
    <row r="5" spans="1:3" x14ac:dyDescent="0.25">
      <c r="A5" s="1227" t="s">
        <v>154</v>
      </c>
      <c r="B5" s="1168" t="s">
        <v>1568</v>
      </c>
      <c r="C5" s="1228">
        <v>0</v>
      </c>
    </row>
    <row r="6" spans="1:3" x14ac:dyDescent="0.25">
      <c r="A6" s="1227" t="s">
        <v>154</v>
      </c>
      <c r="B6" s="1168" t="s">
        <v>1569</v>
      </c>
      <c r="C6" s="1228">
        <v>0</v>
      </c>
    </row>
    <row r="7" spans="1:3" x14ac:dyDescent="0.25">
      <c r="A7" s="1227" t="s">
        <v>154</v>
      </c>
      <c r="B7" s="1168" t="s">
        <v>1570</v>
      </c>
      <c r="C7" s="1228">
        <v>220000</v>
      </c>
    </row>
    <row r="8" spans="1:3" x14ac:dyDescent="0.25">
      <c r="A8" s="1227" t="s">
        <v>154</v>
      </c>
      <c r="B8" s="1168" t="s">
        <v>1571</v>
      </c>
      <c r="C8" s="1228">
        <v>280000</v>
      </c>
    </row>
    <row r="9" spans="1:3" x14ac:dyDescent="0.25">
      <c r="A9" s="1227" t="s">
        <v>154</v>
      </c>
      <c r="B9" s="1168" t="s">
        <v>1572</v>
      </c>
      <c r="C9" s="1228">
        <v>385000</v>
      </c>
    </row>
    <row r="10" spans="1:3" x14ac:dyDescent="0.25">
      <c r="A10" s="1227" t="s">
        <v>154</v>
      </c>
      <c r="B10" s="1168" t="s">
        <v>1573</v>
      </c>
      <c r="C10" s="1228">
        <v>525000</v>
      </c>
    </row>
    <row r="11" spans="1:3" x14ac:dyDescent="0.25">
      <c r="A11" s="1227" t="s">
        <v>154</v>
      </c>
      <c r="B11" s="1168" t="s">
        <v>1574</v>
      </c>
      <c r="C11" s="1228">
        <v>700000</v>
      </c>
    </row>
    <row r="12" spans="1:3" x14ac:dyDescent="0.25">
      <c r="A12" s="1229" t="s">
        <v>155</v>
      </c>
      <c r="B12" s="1225" t="s">
        <v>67</v>
      </c>
      <c r="C12" s="1226">
        <v>0</v>
      </c>
    </row>
    <row r="13" spans="1:3" x14ac:dyDescent="0.25">
      <c r="A13" s="1227" t="s">
        <v>155</v>
      </c>
      <c r="B13" s="1168" t="s">
        <v>1575</v>
      </c>
      <c r="C13" s="1228">
        <v>77000</v>
      </c>
    </row>
    <row r="14" spans="1:3" x14ac:dyDescent="0.25">
      <c r="A14" s="1227" t="s">
        <v>155</v>
      </c>
      <c r="B14" s="1168" t="s">
        <v>1576</v>
      </c>
      <c r="C14" s="1228">
        <v>100000</v>
      </c>
    </row>
    <row r="15" spans="1:3" x14ac:dyDescent="0.25">
      <c r="A15" s="1227" t="s">
        <v>155</v>
      </c>
      <c r="B15" s="1168" t="s">
        <v>1570</v>
      </c>
      <c r="C15" s="1228">
        <v>130000</v>
      </c>
    </row>
    <row r="16" spans="1:3" x14ac:dyDescent="0.25">
      <c r="A16" s="1227" t="s">
        <v>155</v>
      </c>
      <c r="B16" s="1168" t="s">
        <v>1571</v>
      </c>
      <c r="C16" s="1228">
        <v>210000</v>
      </c>
    </row>
    <row r="17" spans="1:3" x14ac:dyDescent="0.25">
      <c r="A17" s="1230" t="s">
        <v>155</v>
      </c>
      <c r="B17" s="1231" t="s">
        <v>1572</v>
      </c>
      <c r="C17" s="1232">
        <v>280000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3"/>
  <sheetViews>
    <sheetView workbookViewId="0" zoomScale="85" zoomScaleNormal="85">
      <pane xSplit="2" ySplit="3" topLeftCell="C28" activePane="bottomRight" state="frozen"/>
      <selection pane="bottomRight" activeCell="A56" sqref="A56"/>
    </sheetView>
  </sheetViews>
  <sheetFormatPr defaultRowHeight="17" outlineLevelRow="0" outlineLevelCol="0" x14ac:dyDescent="0" defaultColWidth="8.75" customHeight="1"/>
  <cols>
    <col min="1" max="1" width="8.5" style="1168" customWidth="1"/>
    <col min="2" max="2" width="8.25" style="1168" customWidth="1"/>
    <col min="3" max="3" width="19.25" style="1168" customWidth="1"/>
    <col min="4" max="8" width="10.08203125" style="1168" customWidth="1"/>
    <col min="9" max="10" width="13" style="1168" customWidth="1"/>
    <col min="11" max="11" width="9.25" style="1168" customWidth="1"/>
    <col min="12" max="12" width="8.25" style="1168" customWidth="1"/>
    <col min="13" max="13" width="13.33203125" style="1168" customWidth="1"/>
    <col min="14" max="18" width="10.08203125" style="1168" customWidth="1"/>
    <col min="19" max="20" width="13" style="1168" customWidth="1"/>
    <col min="21" max="21" width="10" style="1168" customWidth="1"/>
    <col min="22" max="22" width="8.25" style="1168" customWidth="1"/>
    <col min="23" max="23" width="13.33203125" style="1168" customWidth="1"/>
    <col min="24" max="28" width="10.08203125" style="1168" customWidth="1"/>
    <col min="29" max="30" width="13" style="1168" customWidth="1"/>
    <col min="31" max="31" width="10" style="1168" customWidth="1"/>
    <col min="32" max="16384" width="8.75" style="1168" customWidth="1"/>
  </cols>
  <sheetData>
    <row r="1" ht="48.65" customHeight="1" spans="1:1" x14ac:dyDescent="0.25">
      <c r="A1" s="1168" t="s">
        <v>1577</v>
      </c>
    </row>
    <row r="2" ht="30" customHeight="1" spans="1:32" s="1137" customFormat="1" x14ac:dyDescent="0.25">
      <c r="A2" s="1233"/>
      <c r="B2" s="1234"/>
      <c r="C2" s="1235" t="s">
        <v>1578</v>
      </c>
      <c r="D2" s="1236"/>
      <c r="E2" s="1236"/>
      <c r="F2" s="1236"/>
      <c r="G2" s="1236"/>
      <c r="H2" s="1236"/>
      <c r="I2" s="1236"/>
      <c r="J2" s="1236"/>
      <c r="K2" s="1236"/>
      <c r="L2" s="1237"/>
      <c r="M2" s="1233" t="s">
        <v>1579</v>
      </c>
      <c r="N2" s="1238"/>
      <c r="O2" s="1238"/>
      <c r="P2" s="1238"/>
      <c r="Q2" s="1238"/>
      <c r="R2" s="1238"/>
      <c r="S2" s="1238"/>
      <c r="T2" s="1238"/>
      <c r="U2" s="1238"/>
      <c r="V2" s="1234"/>
      <c r="W2" s="1233" t="s">
        <v>1580</v>
      </c>
      <c r="X2" s="1238"/>
      <c r="Y2" s="1238"/>
      <c r="Z2" s="1238"/>
      <c r="AA2" s="1238"/>
      <c r="AB2" s="1238"/>
      <c r="AC2" s="1238"/>
      <c r="AD2" s="1238"/>
      <c r="AE2" s="1238"/>
      <c r="AF2" s="1234"/>
    </row>
    <row r="3" ht="30" customHeight="1" spans="1:32" x14ac:dyDescent="0.25">
      <c r="A3" s="1239" t="s">
        <v>572</v>
      </c>
      <c r="B3" s="1240" t="s">
        <v>573</v>
      </c>
      <c r="C3" s="1239" t="s">
        <v>247</v>
      </c>
      <c r="D3" s="1241" t="s">
        <v>249</v>
      </c>
      <c r="E3" s="1241" t="s">
        <v>250</v>
      </c>
      <c r="F3" s="1241" t="s">
        <v>252</v>
      </c>
      <c r="G3" s="1241" t="s">
        <v>253</v>
      </c>
      <c r="H3" s="1241" t="s">
        <v>254</v>
      </c>
      <c r="I3" s="1241" t="s">
        <v>255</v>
      </c>
      <c r="J3" s="1241" t="s">
        <v>256</v>
      </c>
      <c r="K3" s="1241" t="s">
        <v>257</v>
      </c>
      <c r="L3" s="1242" t="s">
        <v>258</v>
      </c>
      <c r="M3" s="1240" t="s">
        <v>573</v>
      </c>
      <c r="N3" s="1243" t="s">
        <v>1581</v>
      </c>
      <c r="O3" s="1241" t="s">
        <v>1582</v>
      </c>
      <c r="P3" s="1241" t="s">
        <v>1583</v>
      </c>
      <c r="Q3" s="1241" t="s">
        <v>1584</v>
      </c>
      <c r="R3" s="1241" t="s">
        <v>1585</v>
      </c>
      <c r="S3" s="1241" t="s">
        <v>1586</v>
      </c>
      <c r="T3" s="1241" t="s">
        <v>1587</v>
      </c>
      <c r="U3" s="1241" t="s">
        <v>1588</v>
      </c>
      <c r="V3" s="1244" t="s">
        <v>258</v>
      </c>
      <c r="W3" s="1240" t="s">
        <v>573</v>
      </c>
      <c r="X3" s="1239" t="s">
        <v>1581</v>
      </c>
      <c r="Y3" s="1241" t="s">
        <v>1582</v>
      </c>
      <c r="Z3" s="1241" t="s">
        <v>1583</v>
      </c>
      <c r="AA3" s="1241" t="s">
        <v>1584</v>
      </c>
      <c r="AB3" s="1241" t="s">
        <v>1585</v>
      </c>
      <c r="AC3" s="1241" t="s">
        <v>1586</v>
      </c>
      <c r="AD3" s="1241" t="s">
        <v>1587</v>
      </c>
      <c r="AE3" s="1241" t="s">
        <v>1588</v>
      </c>
      <c r="AF3" s="1242" t="s">
        <v>258</v>
      </c>
    </row>
    <row r="4" spans="1:32" s="1168" customFormat="1" x14ac:dyDescent="0.25">
      <c r="A4" s="1245" t="s">
        <v>1589</v>
      </c>
      <c r="B4" s="1246">
        <v>12</v>
      </c>
      <c r="C4" s="1245">
        <v>7333.333333333333</v>
      </c>
      <c r="D4" s="1247">
        <v>12000</v>
      </c>
      <c r="E4" s="1247">
        <v>14666.666666666666</v>
      </c>
      <c r="F4" s="1247">
        <v>16666.666666666664</v>
      </c>
      <c r="G4" s="1247">
        <v>18666.666666666664</v>
      </c>
      <c r="H4" s="1247">
        <v>30666.666666666668</v>
      </c>
      <c r="I4" s="1247">
        <v>16666.666666666664</v>
      </c>
      <c r="J4" s="1247">
        <v>18666.666666666664</v>
      </c>
      <c r="K4" s="1248"/>
      <c r="L4" s="1249">
        <v>14713.333333333334</v>
      </c>
      <c r="M4" s="1246">
        <v>12</v>
      </c>
      <c r="N4" s="1250">
        <v>9966.666666666668</v>
      </c>
      <c r="O4" s="1247">
        <v>14633.333333333334</v>
      </c>
      <c r="P4" s="1247">
        <v>17300</v>
      </c>
      <c r="Q4" s="1247">
        <v>20166.666666666664</v>
      </c>
      <c r="R4" s="1247">
        <v>23526.666666666664</v>
      </c>
      <c r="S4" s="1247">
        <v>36600</v>
      </c>
      <c r="T4" s="1247">
        <v>20746.666666666664</v>
      </c>
      <c r="U4" s="1247">
        <v>22746.666666666664</v>
      </c>
      <c r="V4" s="1248">
        <v>19213.333333333336</v>
      </c>
      <c r="W4" s="1246">
        <v>12</v>
      </c>
      <c r="X4" s="1245">
        <v>8801.066666666668</v>
      </c>
      <c r="Y4" s="1247">
        <v>13766.4</v>
      </c>
      <c r="Z4" s="1247">
        <v>17397.333333333336</v>
      </c>
      <c r="AA4" s="1247">
        <v>21010.133333333335</v>
      </c>
      <c r="AB4" s="1247">
        <v>25402.311111111114</v>
      </c>
      <c r="AC4" s="1247">
        <v>39524.26666666667</v>
      </c>
      <c r="AD4" s="1247">
        <v>19704.533333333333</v>
      </c>
      <c r="AE4" s="1247">
        <v>22438.4</v>
      </c>
      <c r="AF4" s="1249">
        <v>19236</v>
      </c>
    </row>
    <row r="5" spans="1:32" s="1168" customFormat="1" x14ac:dyDescent="0.25">
      <c r="A5" s="1251"/>
      <c r="B5" s="1252">
        <v>24</v>
      </c>
      <c r="C5" s="1251">
        <v>8690</v>
      </c>
      <c r="D5" s="1134">
        <v>13356.666666666666</v>
      </c>
      <c r="E5" s="1134">
        <v>16023.333333333334</v>
      </c>
      <c r="F5" s="1134">
        <v>18023.333333333336</v>
      </c>
      <c r="G5" s="1134">
        <v>20023.333333333336</v>
      </c>
      <c r="H5" s="1134">
        <v>32023.333333333332</v>
      </c>
      <c r="I5" s="1134">
        <v>18023.333333333336</v>
      </c>
      <c r="J5" s="1134">
        <v>20023.333333333336</v>
      </c>
      <c r="K5" s="1253"/>
      <c r="L5" s="1254">
        <v>15813.333333333334</v>
      </c>
      <c r="M5" s="1252">
        <v>24</v>
      </c>
      <c r="N5" s="1255">
        <v>11323.333333333332</v>
      </c>
      <c r="O5" s="1134">
        <v>15990</v>
      </c>
      <c r="P5" s="1134">
        <v>18656.666666666664</v>
      </c>
      <c r="Q5" s="1134">
        <v>21523.333333333336</v>
      </c>
      <c r="R5" s="1134">
        <v>24883.333333333336</v>
      </c>
      <c r="S5" s="1134">
        <v>37956.66666666667</v>
      </c>
      <c r="T5" s="1134">
        <v>22103.333333333336</v>
      </c>
      <c r="U5" s="1134">
        <v>24103.333333333336</v>
      </c>
      <c r="V5" s="1256">
        <v>20313.333333333336</v>
      </c>
      <c r="W5" s="1252">
        <v>24</v>
      </c>
      <c r="X5" s="1251">
        <v>10157.733333333334</v>
      </c>
      <c r="Y5" s="1134">
        <v>15123.066666666666</v>
      </c>
      <c r="Z5" s="1134">
        <v>18754</v>
      </c>
      <c r="AA5" s="1134">
        <v>22366.8</v>
      </c>
      <c r="AB5" s="1134">
        <v>26758.97777777778</v>
      </c>
      <c r="AC5" s="1134">
        <v>40880.933333333334</v>
      </c>
      <c r="AD5" s="1134">
        <v>21061.2</v>
      </c>
      <c r="AE5" s="1134">
        <v>23795.066666666666</v>
      </c>
      <c r="AF5" s="1254">
        <v>20336</v>
      </c>
    </row>
    <row r="6" spans="1:32" s="1168" customFormat="1" x14ac:dyDescent="0.25">
      <c r="A6" s="1251"/>
      <c r="B6" s="1252">
        <v>30</v>
      </c>
      <c r="C6" s="1251">
        <v>9282.777777777777</v>
      </c>
      <c r="D6" s="1134">
        <v>13949.444444444443</v>
      </c>
      <c r="E6" s="1134">
        <v>16616.111111111113</v>
      </c>
      <c r="F6" s="1134">
        <v>18616.111111111113</v>
      </c>
      <c r="G6" s="1134">
        <v>20616.111111111113</v>
      </c>
      <c r="H6" s="1134">
        <v>32616.111111111113</v>
      </c>
      <c r="I6" s="1134">
        <v>18616.111111111113</v>
      </c>
      <c r="J6" s="1134">
        <v>20616.111111111113</v>
      </c>
      <c r="K6" s="1253"/>
      <c r="L6" s="1254">
        <v>15996.666666666668</v>
      </c>
      <c r="M6" s="1252">
        <v>30</v>
      </c>
      <c r="N6" s="1255">
        <v>11916.111111111111</v>
      </c>
      <c r="O6" s="1134">
        <v>16582.777777777777</v>
      </c>
      <c r="P6" s="1134">
        <v>19249.444444444445</v>
      </c>
      <c r="Q6" s="1134">
        <v>22116.111111111113</v>
      </c>
      <c r="R6" s="1134">
        <v>25476.111111111113</v>
      </c>
      <c r="S6" s="1134">
        <v>38549.44444444445</v>
      </c>
      <c r="T6" s="1134">
        <v>22696.111111111113</v>
      </c>
      <c r="U6" s="1134">
        <v>24696.111111111113</v>
      </c>
      <c r="V6" s="1256">
        <v>20496.666666666668</v>
      </c>
      <c r="W6" s="1252">
        <v>30</v>
      </c>
      <c r="X6" s="1251">
        <v>10750.511111111111</v>
      </c>
      <c r="Y6" s="1134">
        <v>15715.844444444443</v>
      </c>
      <c r="Z6" s="1134">
        <v>19346.777777777777</v>
      </c>
      <c r="AA6" s="1134">
        <v>22959.577777777777</v>
      </c>
      <c r="AB6" s="1134">
        <v>27351.755555555555</v>
      </c>
      <c r="AC6" s="1134">
        <v>41473.711111111115</v>
      </c>
      <c r="AD6" s="1134">
        <v>21653.977777777778</v>
      </c>
      <c r="AE6" s="1134">
        <v>24387.844444444443</v>
      </c>
      <c r="AF6" s="1254">
        <v>20519.333333333332</v>
      </c>
    </row>
    <row r="7" spans="1:32" s="1168" customFormat="1" x14ac:dyDescent="0.25">
      <c r="A7" s="1251"/>
      <c r="B7" s="1252">
        <v>36</v>
      </c>
      <c r="C7" s="1251">
        <v>9875.555555555557</v>
      </c>
      <c r="D7" s="1134">
        <v>14542.222222222223</v>
      </c>
      <c r="E7" s="1134">
        <v>17208.888888888887</v>
      </c>
      <c r="F7" s="1134">
        <v>19208.888888888887</v>
      </c>
      <c r="G7" s="1134">
        <v>21208.888888888887</v>
      </c>
      <c r="H7" s="1134">
        <v>33208.88888888889</v>
      </c>
      <c r="I7" s="1134">
        <v>19208.888888888887</v>
      </c>
      <c r="J7" s="1134">
        <v>21208.888888888887</v>
      </c>
      <c r="K7" s="1253"/>
      <c r="L7" s="1254">
        <v>16180</v>
      </c>
      <c r="M7" s="1252">
        <v>36</v>
      </c>
      <c r="N7" s="1255">
        <v>12508.888888888889</v>
      </c>
      <c r="O7" s="1134">
        <v>17175.555555555555</v>
      </c>
      <c r="P7" s="1134">
        <v>19842.222222222223</v>
      </c>
      <c r="Q7" s="1134">
        <v>22708.888888888887</v>
      </c>
      <c r="R7" s="1134">
        <v>26068.888888888887</v>
      </c>
      <c r="S7" s="1134">
        <v>39142.222222222226</v>
      </c>
      <c r="T7" s="1134">
        <v>23288.888888888887</v>
      </c>
      <c r="U7" s="1134">
        <v>25288.888888888887</v>
      </c>
      <c r="V7" s="1256">
        <v>20680</v>
      </c>
      <c r="W7" s="1252">
        <v>36</v>
      </c>
      <c r="X7" s="1251">
        <v>11343.288888888888</v>
      </c>
      <c r="Y7" s="1134">
        <v>16308.622222222222</v>
      </c>
      <c r="Z7" s="1134">
        <v>19939.555555555555</v>
      </c>
      <c r="AA7" s="1134">
        <v>23552.355555555558</v>
      </c>
      <c r="AB7" s="1134">
        <v>27944.533333333333</v>
      </c>
      <c r="AC7" s="1134">
        <v>42066.48888888889</v>
      </c>
      <c r="AD7" s="1134">
        <v>22246.755555555555</v>
      </c>
      <c r="AE7" s="1134">
        <v>24980.62222222222</v>
      </c>
      <c r="AF7" s="1254">
        <v>20702.666666666664</v>
      </c>
    </row>
    <row r="8" spans="1:32" s="1168" customFormat="1" x14ac:dyDescent="0.25">
      <c r="A8" s="1251"/>
      <c r="B8" s="1252">
        <v>42</v>
      </c>
      <c r="C8" s="1251">
        <v>10171.944444444443</v>
      </c>
      <c r="D8" s="1134">
        <v>14838.611111111113</v>
      </c>
      <c r="E8" s="1134">
        <v>17505.277777777774</v>
      </c>
      <c r="F8" s="1134">
        <v>19505.277777777774</v>
      </c>
      <c r="G8" s="1134">
        <v>21505.277777777774</v>
      </c>
      <c r="H8" s="1134">
        <v>33505.277777777774</v>
      </c>
      <c r="I8" s="1134">
        <v>19505.277777777774</v>
      </c>
      <c r="J8" s="1134">
        <v>21505.277777777774</v>
      </c>
      <c r="K8" s="1253"/>
      <c r="L8" s="1254">
        <v>16271.666666666668</v>
      </c>
      <c r="M8" s="1252">
        <v>42</v>
      </c>
      <c r="N8" s="1255">
        <v>12805.277777777777</v>
      </c>
      <c r="O8" s="1134">
        <v>17471.944444444445</v>
      </c>
      <c r="P8" s="1134">
        <v>20138.611111111113</v>
      </c>
      <c r="Q8" s="1134">
        <v>23005.277777777774</v>
      </c>
      <c r="R8" s="1134">
        <v>26365.277777777774</v>
      </c>
      <c r="S8" s="1134">
        <v>39438.61111111111</v>
      </c>
      <c r="T8" s="1134">
        <v>23585.277777777774</v>
      </c>
      <c r="U8" s="1134">
        <v>25585.277777777774</v>
      </c>
      <c r="V8" s="1256">
        <v>20771.666666666668</v>
      </c>
      <c r="W8" s="1252">
        <v>42</v>
      </c>
      <c r="X8" s="1251">
        <v>11639.677777777779</v>
      </c>
      <c r="Y8" s="1134">
        <v>16605.01111111111</v>
      </c>
      <c r="Z8" s="1134">
        <v>20235.944444444445</v>
      </c>
      <c r="AA8" s="1134">
        <v>23848.744444444445</v>
      </c>
      <c r="AB8" s="1134">
        <v>28240.922222222223</v>
      </c>
      <c r="AC8" s="1134">
        <v>42362.87777777777</v>
      </c>
      <c r="AD8" s="1134">
        <v>22543.144444444442</v>
      </c>
      <c r="AE8" s="1134">
        <v>25277.01111111111</v>
      </c>
      <c r="AF8" s="1254">
        <v>20794.333333333332</v>
      </c>
    </row>
    <row r="9" spans="1:32" s="1168" customFormat="1" x14ac:dyDescent="0.25">
      <c r="A9" s="1251"/>
      <c r="B9" s="1252">
        <v>48</v>
      </c>
      <c r="C9" s="1251">
        <v>10468.333333333332</v>
      </c>
      <c r="D9" s="1134">
        <v>15135</v>
      </c>
      <c r="E9" s="1134">
        <v>17801.666666666664</v>
      </c>
      <c r="F9" s="1134">
        <v>19801.666666666664</v>
      </c>
      <c r="G9" s="1134">
        <v>21801.666666666664</v>
      </c>
      <c r="H9" s="1134">
        <v>33801.66666666667</v>
      </c>
      <c r="I9" s="1134">
        <v>19801.666666666664</v>
      </c>
      <c r="J9" s="1134">
        <v>21801.666666666664</v>
      </c>
      <c r="K9" s="1253"/>
      <c r="L9" s="1254">
        <v>16363.333333333334</v>
      </c>
      <c r="M9" s="1252">
        <v>48</v>
      </c>
      <c r="N9" s="1255">
        <v>13101.666666666668</v>
      </c>
      <c r="O9" s="1134">
        <v>17768.333333333336</v>
      </c>
      <c r="P9" s="1134">
        <v>20435</v>
      </c>
      <c r="Q9" s="1134">
        <v>23301.666666666664</v>
      </c>
      <c r="R9" s="1134">
        <v>26661.666666666668</v>
      </c>
      <c r="S9" s="1134">
        <v>39735</v>
      </c>
      <c r="T9" s="1134">
        <v>23881.666666666664</v>
      </c>
      <c r="U9" s="1134">
        <v>25881.666666666664</v>
      </c>
      <c r="V9" s="1256">
        <v>20863.333333333336</v>
      </c>
      <c r="W9" s="1252">
        <v>48</v>
      </c>
      <c r="X9" s="1251">
        <v>11936.066666666668</v>
      </c>
      <c r="Y9" s="1134">
        <v>16901.4</v>
      </c>
      <c r="Z9" s="1134">
        <v>20532.333333333336</v>
      </c>
      <c r="AA9" s="1134">
        <v>24145.133333333335</v>
      </c>
      <c r="AB9" s="1134">
        <v>28537.311111111114</v>
      </c>
      <c r="AC9" s="1134">
        <v>42659.26666666667</v>
      </c>
      <c r="AD9" s="1134">
        <v>22839.533333333333</v>
      </c>
      <c r="AE9" s="1134">
        <v>25573.4</v>
      </c>
      <c r="AF9" s="1254">
        <v>20886</v>
      </c>
    </row>
    <row r="10" spans="1:32" s="1168" customFormat="1" x14ac:dyDescent="0.25">
      <c r="A10" s="1251"/>
      <c r="B10" s="1252">
        <v>54</v>
      </c>
      <c r="C10" s="1251">
        <v>10646.166666666666</v>
      </c>
      <c r="D10" s="1134">
        <v>15312.833333333332</v>
      </c>
      <c r="E10" s="1134">
        <v>17979.5</v>
      </c>
      <c r="F10" s="1134">
        <v>19979.5</v>
      </c>
      <c r="G10" s="1134">
        <v>21979.5</v>
      </c>
      <c r="H10" s="1134">
        <v>33979.5</v>
      </c>
      <c r="I10" s="1134">
        <v>19979.5</v>
      </c>
      <c r="J10" s="1134">
        <v>21979.5</v>
      </c>
      <c r="K10" s="1253"/>
      <c r="L10" s="1254">
        <v>16418.333333333336</v>
      </c>
      <c r="M10" s="1252">
        <v>54</v>
      </c>
      <c r="N10" s="1255">
        <v>13279.5</v>
      </c>
      <c r="O10" s="1134">
        <v>17946.166666666668</v>
      </c>
      <c r="P10" s="1134">
        <v>20612.833333333332</v>
      </c>
      <c r="Q10" s="1134">
        <v>23479.5</v>
      </c>
      <c r="R10" s="1134">
        <v>26839.5</v>
      </c>
      <c r="S10" s="1134">
        <v>39912.833333333336</v>
      </c>
      <c r="T10" s="1134">
        <v>24059.5</v>
      </c>
      <c r="U10" s="1134">
        <v>26059.5</v>
      </c>
      <c r="V10" s="1256">
        <v>20918.333333333336</v>
      </c>
      <c r="W10" s="1252">
        <v>54</v>
      </c>
      <c r="X10" s="1251">
        <v>12113.9</v>
      </c>
      <c r="Y10" s="1134">
        <v>17079.23333333333</v>
      </c>
      <c r="Z10" s="1134">
        <v>20710.166666666668</v>
      </c>
      <c r="AA10" s="1134">
        <v>24322.966666666667</v>
      </c>
      <c r="AB10" s="1134">
        <v>28715.14444444445</v>
      </c>
      <c r="AC10" s="1134">
        <v>42837.1</v>
      </c>
      <c r="AD10" s="1134">
        <v>23017.36666666667</v>
      </c>
      <c r="AE10" s="1134">
        <v>25751.23333333333</v>
      </c>
      <c r="AF10" s="1254">
        <v>20941</v>
      </c>
    </row>
    <row r="11" spans="1:32" s="1168" customFormat="1" x14ac:dyDescent="0.25">
      <c r="A11" s="1251"/>
      <c r="B11" s="1252">
        <v>60</v>
      </c>
      <c r="C11" s="1251">
        <v>10824</v>
      </c>
      <c r="D11" s="1134">
        <v>15490.666666666666</v>
      </c>
      <c r="E11" s="1134">
        <v>18157.333333333336</v>
      </c>
      <c r="F11" s="1134">
        <v>20157.333333333336</v>
      </c>
      <c r="G11" s="1134">
        <v>22157.333333333336</v>
      </c>
      <c r="H11" s="1134">
        <v>34157.33333333333</v>
      </c>
      <c r="I11" s="1134">
        <v>20157.333333333336</v>
      </c>
      <c r="J11" s="1134">
        <v>22157.333333333336</v>
      </c>
      <c r="K11" s="1253"/>
      <c r="L11" s="1254">
        <v>16473.333333333336</v>
      </c>
      <c r="M11" s="1252">
        <v>60</v>
      </c>
      <c r="N11" s="1255">
        <v>13457.333333333334</v>
      </c>
      <c r="O11" s="1134">
        <v>18124</v>
      </c>
      <c r="P11" s="1134">
        <v>20790.666666666664</v>
      </c>
      <c r="Q11" s="1134">
        <v>23657.333333333336</v>
      </c>
      <c r="R11" s="1134">
        <v>27017.333333333332</v>
      </c>
      <c r="S11" s="1134">
        <v>40090.66666666667</v>
      </c>
      <c r="T11" s="1134">
        <v>24237.333333333336</v>
      </c>
      <c r="U11" s="1134">
        <v>26237.333333333332</v>
      </c>
      <c r="V11" s="1256">
        <v>20973.333333333336</v>
      </c>
      <c r="W11" s="1252">
        <v>60</v>
      </c>
      <c r="X11" s="1251">
        <v>12291.733333333334</v>
      </c>
      <c r="Y11" s="1134">
        <v>17257.066666666666</v>
      </c>
      <c r="Z11" s="1134">
        <v>20888</v>
      </c>
      <c r="AA11" s="1134">
        <v>24500.8</v>
      </c>
      <c r="AB11" s="1134">
        <v>28892.97777777778</v>
      </c>
      <c r="AC11" s="1134">
        <v>43014.933333333334</v>
      </c>
      <c r="AD11" s="1134">
        <v>23195.2</v>
      </c>
      <c r="AE11" s="1134">
        <v>25929.066666666666</v>
      </c>
      <c r="AF11" s="1254">
        <v>20996</v>
      </c>
    </row>
    <row r="12" spans="1:32" s="1168" customFormat="1" x14ac:dyDescent="0.25">
      <c r="A12" s="1257"/>
      <c r="B12" s="1258">
        <v>66</v>
      </c>
      <c r="C12" s="1257">
        <v>10942.555555555557</v>
      </c>
      <c r="D12" s="1259">
        <v>15609.222222222223</v>
      </c>
      <c r="E12" s="1259">
        <v>18275.888888888887</v>
      </c>
      <c r="F12" s="1259">
        <v>20275.888888888887</v>
      </c>
      <c r="G12" s="1259">
        <v>22275.888888888887</v>
      </c>
      <c r="H12" s="1259">
        <v>34275.88888888889</v>
      </c>
      <c r="I12" s="1259">
        <v>20275.888888888887</v>
      </c>
      <c r="J12" s="1259">
        <v>22275.888888888887</v>
      </c>
      <c r="K12" s="1260"/>
      <c r="L12" s="1261">
        <v>16510</v>
      </c>
      <c r="M12" s="1258">
        <v>66</v>
      </c>
      <c r="N12" s="1262">
        <v>12673.416666666668</v>
      </c>
      <c r="O12" s="1259">
        <v>17456.75</v>
      </c>
      <c r="P12" s="1259">
        <v>20190.083333333332</v>
      </c>
      <c r="Q12" s="1259">
        <v>23128.416666666668</v>
      </c>
      <c r="R12" s="1259">
        <v>26572.416666666668</v>
      </c>
      <c r="S12" s="1259">
        <v>39972.583333333336</v>
      </c>
      <c r="T12" s="1259">
        <v>23722.916666666668</v>
      </c>
      <c r="U12" s="1259">
        <v>25772.916666666668</v>
      </c>
      <c r="V12" s="1263">
        <v>21151.166666666668</v>
      </c>
      <c r="W12" s="1258">
        <v>66</v>
      </c>
      <c r="X12" s="1257">
        <v>11478.676666666666</v>
      </c>
      <c r="Y12" s="1259">
        <v>16568.143333333333</v>
      </c>
      <c r="Z12" s="1259">
        <v>20289.85</v>
      </c>
      <c r="AA12" s="1259">
        <v>23992.97</v>
      </c>
      <c r="AB12" s="1259">
        <v>28494.95222222223</v>
      </c>
      <c r="AC12" s="1259">
        <v>42969.956666666665</v>
      </c>
      <c r="AD12" s="1259">
        <v>22654.73</v>
      </c>
      <c r="AE12" s="1259">
        <v>25456.943333333336</v>
      </c>
      <c r="AF12" s="1261">
        <v>21174.4</v>
      </c>
    </row>
    <row r="13" spans="1:32" s="1168" customFormat="1" x14ac:dyDescent="0.25">
      <c r="A13" s="1257"/>
      <c r="B13" s="1258">
        <v>72</v>
      </c>
      <c r="C13" s="1257">
        <v>11061.111111111111</v>
      </c>
      <c r="D13" s="1259">
        <v>15727.777777777777</v>
      </c>
      <c r="E13" s="1259">
        <v>18394.444444444445</v>
      </c>
      <c r="F13" s="1259">
        <v>20394.444444444445</v>
      </c>
      <c r="G13" s="1259">
        <v>22394.444444444445</v>
      </c>
      <c r="H13" s="1259">
        <v>34394.444444444445</v>
      </c>
      <c r="I13" s="1259">
        <v>20394.444444444445</v>
      </c>
      <c r="J13" s="1259">
        <v>22394.444444444445</v>
      </c>
      <c r="K13" s="1260"/>
      <c r="L13" s="1261">
        <v>16546.666666666664</v>
      </c>
      <c r="M13" s="1258">
        <v>72</v>
      </c>
      <c r="N13" s="1262">
        <v>11889.5</v>
      </c>
      <c r="O13" s="1259">
        <v>16789.5</v>
      </c>
      <c r="P13" s="1259">
        <v>19589.5</v>
      </c>
      <c r="Q13" s="1259">
        <v>22599.500000000004</v>
      </c>
      <c r="R13" s="1259">
        <v>26127.500000000004</v>
      </c>
      <c r="S13" s="1259">
        <v>39854.50000000001</v>
      </c>
      <c r="T13" s="1259">
        <v>23208.500000000004</v>
      </c>
      <c r="U13" s="1259">
        <v>25308.500000000004</v>
      </c>
      <c r="V13" s="1263">
        <v>21329.000000000004</v>
      </c>
      <c r="W13" s="1258">
        <v>72</v>
      </c>
      <c r="X13" s="1257">
        <v>10665.619999999999</v>
      </c>
      <c r="Y13" s="1259">
        <v>15879.219999999998</v>
      </c>
      <c r="Z13" s="1259">
        <v>19691.7</v>
      </c>
      <c r="AA13" s="1259">
        <v>23485.140000000003</v>
      </c>
      <c r="AB13" s="1259">
        <v>28096.926666666674</v>
      </c>
      <c r="AC13" s="1259">
        <v>42924.979999999996</v>
      </c>
      <c r="AD13" s="1259">
        <v>22114.260000000002</v>
      </c>
      <c r="AE13" s="1259">
        <v>24984.82</v>
      </c>
      <c r="AF13" s="1261">
        <v>21352.8</v>
      </c>
    </row>
    <row r="14" ht="17.5" customHeight="1" spans="1:32" s="1168" customFormat="1" x14ac:dyDescent="0.25">
      <c r="A14" s="1264"/>
      <c r="B14" s="1265">
        <v>80</v>
      </c>
      <c r="C14" s="1264">
        <v>11792</v>
      </c>
      <c r="D14" s="1266">
        <v>16692</v>
      </c>
      <c r="E14" s="1266">
        <v>19492</v>
      </c>
      <c r="F14" s="1266">
        <v>21592</v>
      </c>
      <c r="G14" s="1266">
        <v>23692</v>
      </c>
      <c r="H14" s="1266">
        <v>36292</v>
      </c>
      <c r="I14" s="1266">
        <v>21592</v>
      </c>
      <c r="J14" s="1266">
        <v>23692</v>
      </c>
      <c r="K14" s="1267"/>
      <c r="L14" s="1268">
        <v>17429</v>
      </c>
      <c r="M14" s="1265">
        <v>80</v>
      </c>
      <c r="N14" s="1269">
        <v>12511.916666666668</v>
      </c>
      <c r="O14" s="1266">
        <v>17411.916666666668</v>
      </c>
      <c r="P14" s="1266">
        <v>20211.916666666664</v>
      </c>
      <c r="Q14" s="1266">
        <v>23221.916666666668</v>
      </c>
      <c r="R14" s="1266">
        <v>26749.916666666668</v>
      </c>
      <c r="S14" s="1266">
        <v>40476.91666666667</v>
      </c>
      <c r="T14" s="1266">
        <v>23830.916666666668</v>
      </c>
      <c r="U14" s="1266">
        <v>25930.916666666668</v>
      </c>
      <c r="V14" s="1267">
        <v>21521.500000000004</v>
      </c>
      <c r="W14" s="1265">
        <v>80</v>
      </c>
      <c r="X14" s="1264">
        <v>11288.036666666667</v>
      </c>
      <c r="Y14" s="1266">
        <v>16501.636666666665</v>
      </c>
      <c r="Z14" s="1266">
        <v>20314.11666666667</v>
      </c>
      <c r="AA14" s="1266">
        <v>24107.556666666667</v>
      </c>
      <c r="AB14" s="1266">
        <v>28719.343333333334</v>
      </c>
      <c r="AC14" s="1266">
        <v>43547.39666666667</v>
      </c>
      <c r="AD14" s="1266">
        <v>22736.67666666667</v>
      </c>
      <c r="AE14" s="1266">
        <v>25607.236666666668</v>
      </c>
      <c r="AF14" s="1268">
        <v>21545.3</v>
      </c>
    </row>
    <row r="15" ht="17.5" customHeight="1" spans="1:32" s="1168" customFormat="1" x14ac:dyDescent="0.25">
      <c r="A15" s="1245" t="s">
        <v>575</v>
      </c>
      <c r="B15" s="1252">
        <v>24</v>
      </c>
      <c r="C15" s="1270">
        <v>18583</v>
      </c>
      <c r="D15" s="1271">
        <v>18036</v>
      </c>
      <c r="E15" s="1271">
        <v>20633</v>
      </c>
      <c r="F15" s="1271">
        <v>25262</v>
      </c>
      <c r="G15" s="1271">
        <v>28336</v>
      </c>
      <c r="H15" s="1271">
        <v>36812</v>
      </c>
      <c r="I15" s="1271">
        <v>19840</v>
      </c>
      <c r="J15" s="1271">
        <v>24308</v>
      </c>
      <c r="K15" s="1272">
        <v>30550</v>
      </c>
      <c r="L15" s="1273">
        <v>25401</v>
      </c>
      <c r="M15" s="1252">
        <v>24</v>
      </c>
      <c r="N15" s="1255">
        <v>11795.138888888889</v>
      </c>
      <c r="O15" s="1134">
        <v>16656.25</v>
      </c>
      <c r="P15" s="1134">
        <v>19434.027777777777</v>
      </c>
      <c r="Q15" s="1134">
        <v>22420.13888888889</v>
      </c>
      <c r="R15" s="1134">
        <v>25920.13888888889</v>
      </c>
      <c r="S15" s="1134">
        <v>39538.194444444445</v>
      </c>
      <c r="T15" s="1134">
        <v>23024.30555555556</v>
      </c>
      <c r="U15" s="1134">
        <v>25107.63888888889</v>
      </c>
      <c r="V15" s="1256">
        <v>21159.722222222223</v>
      </c>
      <c r="W15" s="1252">
        <v>24</v>
      </c>
      <c r="X15" s="1251">
        <v>10580.972222222223</v>
      </c>
      <c r="Y15" s="1134">
        <v>15753.194444444443</v>
      </c>
      <c r="Z15" s="1134">
        <v>19535.416666666668</v>
      </c>
      <c r="AA15" s="1134">
        <v>23298.75</v>
      </c>
      <c r="AB15" s="1134">
        <v>27873.93518518519</v>
      </c>
      <c r="AC15" s="1134">
        <v>42584.305555555555</v>
      </c>
      <c r="AD15" s="1134">
        <v>21938.75</v>
      </c>
      <c r="AE15" s="1134">
        <v>24786.527777777777</v>
      </c>
      <c r="AF15" s="1254">
        <v>21183.333333333336</v>
      </c>
    </row>
    <row r="16" ht="17.5" customHeight="1" spans="1:32" s="1168" customFormat="1" x14ac:dyDescent="0.25">
      <c r="A16" s="1245" t="s">
        <v>575</v>
      </c>
      <c r="B16" s="1252">
        <v>30</v>
      </c>
      <c r="C16" s="1270">
        <v>20596</v>
      </c>
      <c r="D16" s="1271">
        <v>18284</v>
      </c>
      <c r="E16" s="1271">
        <v>20855</v>
      </c>
      <c r="F16" s="1271">
        <v>25441</v>
      </c>
      <c r="G16" s="1271">
        <v>28485</v>
      </c>
      <c r="H16" s="1271">
        <v>36881</v>
      </c>
      <c r="I16" s="1271">
        <v>20071</v>
      </c>
      <c r="J16" s="1271">
        <v>24495</v>
      </c>
      <c r="K16" s="1272">
        <v>30679</v>
      </c>
      <c r="L16" s="1273">
        <v>25197</v>
      </c>
      <c r="M16" s="1252">
        <v>30</v>
      </c>
      <c r="N16" s="1255">
        <v>12412.61574074074</v>
      </c>
      <c r="O16" s="1134">
        <v>17273.726851851854</v>
      </c>
      <c r="P16" s="1134">
        <v>20051.50462962963</v>
      </c>
      <c r="Q16" s="1134">
        <v>23037.615740740745</v>
      </c>
      <c r="R16" s="1134">
        <v>26537.615740740745</v>
      </c>
      <c r="S16" s="1134">
        <v>40155.67129629631</v>
      </c>
      <c r="T16" s="1134">
        <v>23641.78240740741</v>
      </c>
      <c r="U16" s="1134">
        <v>25725.115740740745</v>
      </c>
      <c r="V16" s="1256">
        <v>21350.69444444445</v>
      </c>
      <c r="W16" s="1252">
        <v>30</v>
      </c>
      <c r="X16" s="1251">
        <v>11198.449074074075</v>
      </c>
      <c r="Y16" s="1134">
        <v>16370.671296296296</v>
      </c>
      <c r="Z16" s="1134">
        <v>20152.89351851852</v>
      </c>
      <c r="AA16" s="1134">
        <v>23916.226851851854</v>
      </c>
      <c r="AB16" s="1134">
        <v>28491.41203703704</v>
      </c>
      <c r="AC16" s="1134">
        <v>43201.78240740741</v>
      </c>
      <c r="AD16" s="1134">
        <v>22556.226851851854</v>
      </c>
      <c r="AE16" s="1134">
        <v>25404.00462962963</v>
      </c>
      <c r="AF16" s="1254">
        <v>21374.305555555555</v>
      </c>
    </row>
    <row r="17" ht="17.5" customHeight="1" spans="1:32" s="1168" customFormat="1" x14ac:dyDescent="0.25">
      <c r="A17" s="1245" t="s">
        <v>575</v>
      </c>
      <c r="B17" s="1252">
        <v>36</v>
      </c>
      <c r="C17" s="1270">
        <v>22897</v>
      </c>
      <c r="D17" s="1271">
        <v>18448</v>
      </c>
      <c r="E17" s="1271">
        <v>21004</v>
      </c>
      <c r="F17" s="1271">
        <v>25560</v>
      </c>
      <c r="G17" s="1271">
        <v>28585</v>
      </c>
      <c r="H17" s="1271">
        <v>36926</v>
      </c>
      <c r="I17" s="1271">
        <v>20224</v>
      </c>
      <c r="J17" s="1271">
        <v>24620</v>
      </c>
      <c r="K17" s="1272">
        <v>30764</v>
      </c>
      <c r="L17" s="1273">
        <v>25061</v>
      </c>
      <c r="M17" s="1252">
        <v>36</v>
      </c>
      <c r="N17" s="1255">
        <v>13030.092592592593</v>
      </c>
      <c r="O17" s="1134">
        <v>17891.203703703704</v>
      </c>
      <c r="P17" s="1134">
        <v>20668.98148148148</v>
      </c>
      <c r="Q17" s="1134">
        <v>23655.09259259259</v>
      </c>
      <c r="R17" s="1134">
        <v>27155.09259259259</v>
      </c>
      <c r="S17" s="1134">
        <v>40773.14814814815</v>
      </c>
      <c r="T17" s="1134">
        <v>24259.25925925926</v>
      </c>
      <c r="U17" s="1134">
        <v>26342.59259259259</v>
      </c>
      <c r="V17" s="1256">
        <v>21541.666666666668</v>
      </c>
      <c r="W17" s="1252">
        <v>36</v>
      </c>
      <c r="X17" s="1251">
        <v>11815.925925925927</v>
      </c>
      <c r="Y17" s="1134">
        <v>16988.14814814815</v>
      </c>
      <c r="Z17" s="1134">
        <v>20770.370370370372</v>
      </c>
      <c r="AA17" s="1134">
        <v>24533.703703703704</v>
      </c>
      <c r="AB17" s="1134">
        <v>29108.888888888887</v>
      </c>
      <c r="AC17" s="1134">
        <v>43819.25925925926</v>
      </c>
      <c r="AD17" s="1134">
        <v>23173.703703703704</v>
      </c>
      <c r="AE17" s="1134">
        <v>26021.48148148148</v>
      </c>
      <c r="AF17" s="1254">
        <v>21565.277777777777</v>
      </c>
    </row>
    <row r="18" ht="17.5" customHeight="1" spans="1:32" s="1168" customFormat="1" x14ac:dyDescent="0.25">
      <c r="A18" s="1245" t="s">
        <v>575</v>
      </c>
      <c r="B18" s="1252">
        <v>42</v>
      </c>
      <c r="C18" s="1270">
        <v>24278</v>
      </c>
      <c r="D18" s="1271">
        <v>18566</v>
      </c>
      <c r="E18" s="1271">
        <v>21110</v>
      </c>
      <c r="F18" s="1271">
        <v>25645</v>
      </c>
      <c r="G18" s="1271">
        <v>28656</v>
      </c>
      <c r="H18" s="1271">
        <v>36959</v>
      </c>
      <c r="I18" s="1271">
        <v>20334</v>
      </c>
      <c r="J18" s="1271">
        <v>24710</v>
      </c>
      <c r="K18" s="1272">
        <v>30825</v>
      </c>
      <c r="L18" s="1273">
        <v>24964</v>
      </c>
      <c r="M18" s="1252">
        <v>42</v>
      </c>
      <c r="N18" s="1255">
        <v>13338.83101851852</v>
      </c>
      <c r="O18" s="1134">
        <v>18199.94212962963</v>
      </c>
      <c r="P18" s="1134">
        <v>20977.71990740741</v>
      </c>
      <c r="Q18" s="1134">
        <v>23963.83101851852</v>
      </c>
      <c r="R18" s="1134">
        <v>27463.83101851852</v>
      </c>
      <c r="S18" s="1134">
        <v>41081.88657407408</v>
      </c>
      <c r="T18" s="1134">
        <v>24567.997685185182</v>
      </c>
      <c r="U18" s="1134">
        <v>26651.33101851852</v>
      </c>
      <c r="V18" s="1256">
        <v>21637.15277777778</v>
      </c>
      <c r="W18" s="1252">
        <v>42</v>
      </c>
      <c r="X18" s="1251">
        <v>12124.664351851852</v>
      </c>
      <c r="Y18" s="1134">
        <v>17296.886574074077</v>
      </c>
      <c r="Z18" s="1134">
        <v>21079.108796296296</v>
      </c>
      <c r="AA18" s="1134">
        <v>24842.44212962963</v>
      </c>
      <c r="AB18" s="1134">
        <v>29417.627314814818</v>
      </c>
      <c r="AC18" s="1134">
        <v>44127.99768518518</v>
      </c>
      <c r="AD18" s="1134">
        <v>23482.44212962963</v>
      </c>
      <c r="AE18" s="1134">
        <v>26330.21990740741</v>
      </c>
      <c r="AF18" s="1254">
        <v>21660.763888888887</v>
      </c>
    </row>
    <row r="19" ht="17.5" customHeight="1" spans="1:32" s="1168" customFormat="1" x14ac:dyDescent="0.25">
      <c r="A19" s="1245" t="s">
        <v>575</v>
      </c>
      <c r="B19" s="1252">
        <v>48</v>
      </c>
      <c r="C19" s="1270">
        <v>26033</v>
      </c>
      <c r="D19" s="1271">
        <v>18655</v>
      </c>
      <c r="E19" s="1271">
        <v>21189</v>
      </c>
      <c r="F19" s="1271">
        <v>25708</v>
      </c>
      <c r="G19" s="1271">
        <v>28709</v>
      </c>
      <c r="H19" s="1271">
        <v>36983</v>
      </c>
      <c r="I19" s="1271">
        <v>20416</v>
      </c>
      <c r="J19" s="1271">
        <v>24777</v>
      </c>
      <c r="K19" s="1272">
        <v>30871</v>
      </c>
      <c r="L19" s="1273">
        <v>24891</v>
      </c>
      <c r="M19" s="1252">
        <v>48</v>
      </c>
      <c r="N19" s="1255">
        <v>13647.569444444445</v>
      </c>
      <c r="O19" s="1134">
        <v>18508.68055555556</v>
      </c>
      <c r="P19" s="1134">
        <v>21286.458333333336</v>
      </c>
      <c r="Q19" s="1134">
        <v>24272.569444444445</v>
      </c>
      <c r="R19" s="1134">
        <v>27772.56944444445</v>
      </c>
      <c r="S19" s="1134">
        <v>41390.625</v>
      </c>
      <c r="T19" s="1134">
        <v>24876.73611111111</v>
      </c>
      <c r="U19" s="1134">
        <v>26960.069444444445</v>
      </c>
      <c r="V19" s="1256">
        <v>21732.63888888889</v>
      </c>
      <c r="W19" s="1252">
        <v>48</v>
      </c>
      <c r="X19" s="1251">
        <v>12433.40277777778</v>
      </c>
      <c r="Y19" s="1134">
        <v>17605.625</v>
      </c>
      <c r="Z19" s="1134">
        <v>21387.847222222223</v>
      </c>
      <c r="AA19" s="1134">
        <v>25151.18055555556</v>
      </c>
      <c r="AB19" s="1134">
        <v>29726.365740740745</v>
      </c>
      <c r="AC19" s="1134">
        <v>44436.73611111112</v>
      </c>
      <c r="AD19" s="1134">
        <v>23791.18055555556</v>
      </c>
      <c r="AE19" s="1134">
        <v>26638.958333333336</v>
      </c>
      <c r="AF19" s="1254">
        <v>21756.25</v>
      </c>
    </row>
    <row r="20" ht="17.5" customHeight="1" spans="1:32" s="1168" customFormat="1" x14ac:dyDescent="0.25">
      <c r="A20" s="1245" t="s">
        <v>575</v>
      </c>
      <c r="B20" s="1252">
        <v>54</v>
      </c>
      <c r="C20" s="1270">
        <v>26852</v>
      </c>
      <c r="D20" s="1271">
        <v>18682</v>
      </c>
      <c r="E20" s="1271">
        <v>21203</v>
      </c>
      <c r="F20" s="1271">
        <v>25698</v>
      </c>
      <c r="G20" s="1271">
        <v>28682</v>
      </c>
      <c r="H20" s="1271">
        <v>36913</v>
      </c>
      <c r="I20" s="1271">
        <v>20434</v>
      </c>
      <c r="J20" s="1271">
        <v>24771</v>
      </c>
      <c r="K20" s="1272">
        <v>30833</v>
      </c>
      <c r="L20" s="1273">
        <v>24780</v>
      </c>
      <c r="M20" s="1252">
        <v>54</v>
      </c>
      <c r="N20" s="1255">
        <v>13832.8125</v>
      </c>
      <c r="O20" s="1134">
        <v>18693.923611111113</v>
      </c>
      <c r="P20" s="1134">
        <v>21471.701388888887</v>
      </c>
      <c r="Q20" s="1134">
        <v>24457.8125</v>
      </c>
      <c r="R20" s="1134">
        <v>27957.8125</v>
      </c>
      <c r="S20" s="1134">
        <v>41575.86805555556</v>
      </c>
      <c r="T20" s="1134">
        <v>25061.979166666668</v>
      </c>
      <c r="U20" s="1134">
        <v>27145.3125</v>
      </c>
      <c r="V20" s="1256">
        <v>21789.93055555556</v>
      </c>
      <c r="W20" s="1252">
        <v>54</v>
      </c>
      <c r="X20" s="1251">
        <v>12618.645833333334</v>
      </c>
      <c r="Y20" s="1134">
        <v>17790.868055555555</v>
      </c>
      <c r="Z20" s="1134">
        <v>21573.09027777778</v>
      </c>
      <c r="AA20" s="1134">
        <v>25336.423611111113</v>
      </c>
      <c r="AB20" s="1134">
        <v>29911.608796296303</v>
      </c>
      <c r="AC20" s="1134">
        <v>44621.97916666667</v>
      </c>
      <c r="AD20" s="1134">
        <v>23976.423611111113</v>
      </c>
      <c r="AE20" s="1134">
        <v>26824.201388888887</v>
      </c>
      <c r="AF20" s="1254">
        <v>21813.541666666668</v>
      </c>
    </row>
    <row r="21" ht="17.5" customHeight="1" spans="1:32" s="1168" customFormat="1" x14ac:dyDescent="0.25">
      <c r="A21" s="1245" t="s">
        <v>575</v>
      </c>
      <c r="B21" s="1252">
        <v>60</v>
      </c>
      <c r="C21" s="1270">
        <v>28058</v>
      </c>
      <c r="D21" s="1271">
        <v>18667</v>
      </c>
      <c r="E21" s="1271">
        <v>21172</v>
      </c>
      <c r="F21" s="1271">
        <v>25637</v>
      </c>
      <c r="G21" s="1271">
        <v>28601</v>
      </c>
      <c r="H21" s="1271">
        <v>36777</v>
      </c>
      <c r="I21" s="1271">
        <v>20407</v>
      </c>
      <c r="J21" s="1271">
        <v>24716</v>
      </c>
      <c r="K21" s="1272">
        <v>30737</v>
      </c>
      <c r="L21" s="1273">
        <v>24642</v>
      </c>
      <c r="M21" s="1252">
        <v>60</v>
      </c>
      <c r="N21" s="1255">
        <v>14018.055555555557</v>
      </c>
      <c r="O21" s="1134">
        <v>18879.166666666668</v>
      </c>
      <c r="P21" s="1134">
        <v>21656.944444444445</v>
      </c>
      <c r="Q21" s="1134">
        <v>24643.05555555556</v>
      </c>
      <c r="R21" s="1134">
        <v>28143.055555555555</v>
      </c>
      <c r="S21" s="1134">
        <v>41761.11111111112</v>
      </c>
      <c r="T21" s="1134">
        <v>25247.222222222223</v>
      </c>
      <c r="U21" s="1134">
        <v>27330.555555555555</v>
      </c>
      <c r="V21" s="1256">
        <v>21847.222222222223</v>
      </c>
      <c r="W21" s="1252">
        <v>60</v>
      </c>
      <c r="X21" s="1251">
        <v>12803.888888888889</v>
      </c>
      <c r="Y21" s="1134">
        <v>17976.11111111111</v>
      </c>
      <c r="Z21" s="1134">
        <v>21758.333333333336</v>
      </c>
      <c r="AA21" s="1134">
        <v>25521.666666666668</v>
      </c>
      <c r="AB21" s="1134">
        <v>30096.851851851858</v>
      </c>
      <c r="AC21" s="1134">
        <v>44807.22222222222</v>
      </c>
      <c r="AD21" s="1134">
        <v>24161.666666666668</v>
      </c>
      <c r="AE21" s="1134">
        <v>27009.444444444445</v>
      </c>
      <c r="AF21" s="1254">
        <v>21870.833333333336</v>
      </c>
    </row>
    <row r="22" ht="17.5" customHeight="1" spans="1:32" s="1168" customFormat="1" x14ac:dyDescent="0.25">
      <c r="A22" s="1245" t="s">
        <v>576</v>
      </c>
      <c r="B22" s="1252">
        <v>24</v>
      </c>
      <c r="C22" s="1270">
        <v>13650</v>
      </c>
      <c r="D22" s="1271">
        <v>18800</v>
      </c>
      <c r="E22" s="1271">
        <v>21520</v>
      </c>
      <c r="F22" s="1271">
        <v>26370</v>
      </c>
      <c r="G22" s="1271">
        <v>29590</v>
      </c>
      <c r="H22" s="1271">
        <v>38470</v>
      </c>
      <c r="I22" s="1271">
        <v>20690</v>
      </c>
      <c r="J22" s="1271">
        <v>25370</v>
      </c>
      <c r="K22" s="1272">
        <v>31910</v>
      </c>
      <c r="L22" s="1273">
        <v>26420</v>
      </c>
      <c r="M22" s="1252">
        <v>24</v>
      </c>
      <c r="N22" s="1255">
        <v>12307.971014492754</v>
      </c>
      <c r="O22" s="1134">
        <v>17380.434782608696</v>
      </c>
      <c r="P22" s="1134">
        <v>20278.985507246376</v>
      </c>
      <c r="Q22" s="1134">
        <v>23394.927536231888</v>
      </c>
      <c r="R22" s="1134">
        <v>27047.101449275364</v>
      </c>
      <c r="S22" s="1134">
        <v>41257.2463768116</v>
      </c>
      <c r="T22" s="1134">
        <v>24025.362318840584</v>
      </c>
      <c r="U22" s="1134">
        <v>26199.275362318844</v>
      </c>
      <c r="V22" s="1256">
        <v>22079.71014492754</v>
      </c>
      <c r="W22" s="1252">
        <v>24</v>
      </c>
      <c r="X22" s="1251">
        <v>11041.014492753624</v>
      </c>
      <c r="Y22" s="1134">
        <v>16438.115942028984</v>
      </c>
      <c r="Z22" s="1134">
        <v>20384.782608695652</v>
      </c>
      <c r="AA22" s="1134">
        <v>24311.739130434784</v>
      </c>
      <c r="AB22" s="1134">
        <v>29085.845410628026</v>
      </c>
      <c r="AC22" s="1134">
        <v>44435.79710144928</v>
      </c>
      <c r="AD22" s="1134">
        <v>22892.608695652176</v>
      </c>
      <c r="AE22" s="1134">
        <v>25864.202898550724</v>
      </c>
      <c r="AF22" s="1254">
        <v>22104.34782608696</v>
      </c>
    </row>
    <row r="23" ht="17.5" customHeight="1" spans="1:32" s="1168" customFormat="1" x14ac:dyDescent="0.25">
      <c r="A23" s="1245" t="s">
        <v>576</v>
      </c>
      <c r="B23" s="1252">
        <v>30</v>
      </c>
      <c r="C23" s="1270">
        <v>13939</v>
      </c>
      <c r="D23" s="1271">
        <v>19040</v>
      </c>
      <c r="E23" s="1271">
        <v>21734</v>
      </c>
      <c r="F23" s="1271">
        <v>26538</v>
      </c>
      <c r="G23" s="1271">
        <v>29727</v>
      </c>
      <c r="H23" s="1271">
        <v>38523</v>
      </c>
      <c r="I23" s="1271">
        <v>20912</v>
      </c>
      <c r="J23" s="1271">
        <v>25547</v>
      </c>
      <c r="K23" s="1272">
        <v>32025</v>
      </c>
      <c r="L23" s="1273">
        <v>26206</v>
      </c>
      <c r="M23" s="1252">
        <v>30</v>
      </c>
      <c r="N23" s="1255">
        <v>12952.294685990339</v>
      </c>
      <c r="O23" s="1134">
        <v>18024.758454106282</v>
      </c>
      <c r="P23" s="1134">
        <v>20923.309178743963</v>
      </c>
      <c r="Q23" s="1134">
        <v>24039.25120772947</v>
      </c>
      <c r="R23" s="1134">
        <v>27691.42512077295</v>
      </c>
      <c r="S23" s="1134">
        <v>41901.570048309186</v>
      </c>
      <c r="T23" s="1134">
        <v>24669.685990338166</v>
      </c>
      <c r="U23" s="1134">
        <v>26843.59903381643</v>
      </c>
      <c r="V23" s="1256">
        <v>22278.98550724638</v>
      </c>
      <c r="W23" s="1252">
        <v>30</v>
      </c>
      <c r="X23" s="1251">
        <v>11685.338164251209</v>
      </c>
      <c r="Y23" s="1134">
        <v>17082.43961352657</v>
      </c>
      <c r="Z23" s="1134">
        <v>21029.10628019324</v>
      </c>
      <c r="AA23" s="1134">
        <v>24956.06280193237</v>
      </c>
      <c r="AB23" s="1134">
        <v>29730.169082125605</v>
      </c>
      <c r="AC23" s="1134">
        <v>45080.120772946866</v>
      </c>
      <c r="AD23" s="1134">
        <v>23536.932367149762</v>
      </c>
      <c r="AE23" s="1134">
        <v>26508.52657004831</v>
      </c>
      <c r="AF23" s="1254">
        <v>22303.623188405796</v>
      </c>
    </row>
    <row r="24" ht="17.5" customHeight="1" spans="1:32" s="1168" customFormat="1" x14ac:dyDescent="0.25">
      <c r="A24" s="1245" t="s">
        <v>576</v>
      </c>
      <c r="B24" s="1252">
        <v>36</v>
      </c>
      <c r="C24" s="1270">
        <v>14132</v>
      </c>
      <c r="D24" s="1271">
        <v>19200</v>
      </c>
      <c r="E24" s="1271">
        <v>21877</v>
      </c>
      <c r="F24" s="1271">
        <v>26650</v>
      </c>
      <c r="G24" s="1271">
        <v>29819</v>
      </c>
      <c r="H24" s="1271">
        <v>38558</v>
      </c>
      <c r="I24" s="1271">
        <v>21060</v>
      </c>
      <c r="J24" s="1271">
        <v>25666</v>
      </c>
      <c r="K24" s="1272">
        <v>32102</v>
      </c>
      <c r="L24" s="1273">
        <v>26064</v>
      </c>
      <c r="M24" s="1252">
        <v>36</v>
      </c>
      <c r="N24" s="1255">
        <v>13596.618357487923</v>
      </c>
      <c r="O24" s="1134">
        <v>18669.082125603865</v>
      </c>
      <c r="P24" s="1134">
        <v>21567.63285024155</v>
      </c>
      <c r="Q24" s="1134">
        <v>24683.574879227053</v>
      </c>
      <c r="R24" s="1134">
        <v>28335.748792270533</v>
      </c>
      <c r="S24" s="1134">
        <v>42545.89371980677</v>
      </c>
      <c r="T24" s="1134">
        <v>25314.00966183575</v>
      </c>
      <c r="U24" s="1134">
        <v>27487.92270531401</v>
      </c>
      <c r="V24" s="1256">
        <v>22478.26086956522</v>
      </c>
      <c r="W24" s="1252">
        <v>36</v>
      </c>
      <c r="X24" s="1251">
        <v>12329.661835748793</v>
      </c>
      <c r="Y24" s="1134">
        <v>17726.763285024157</v>
      </c>
      <c r="Z24" s="1134">
        <v>21673.429951690825</v>
      </c>
      <c r="AA24" s="1134">
        <v>25600.386473429953</v>
      </c>
      <c r="AB24" s="1134">
        <v>30374.492753623188</v>
      </c>
      <c r="AC24" s="1134">
        <v>45724.444444444445</v>
      </c>
      <c r="AD24" s="1134">
        <v>24181.256038647345</v>
      </c>
      <c r="AE24" s="1134">
        <v>27152.850241545897</v>
      </c>
      <c r="AF24" s="1254">
        <v>22502.89855072464</v>
      </c>
    </row>
    <row r="25" ht="17.5" customHeight="1" spans="1:32" s="1168" customFormat="1" x14ac:dyDescent="0.25">
      <c r="A25" s="1245" t="s">
        <v>576</v>
      </c>
      <c r="B25" s="1252">
        <v>42</v>
      </c>
      <c r="C25" s="1270">
        <v>14269</v>
      </c>
      <c r="D25" s="1271">
        <v>19314</v>
      </c>
      <c r="E25" s="1271">
        <v>21979</v>
      </c>
      <c r="F25" s="1271">
        <v>26730</v>
      </c>
      <c r="G25" s="1271">
        <v>29884</v>
      </c>
      <c r="H25" s="1271">
        <v>38583</v>
      </c>
      <c r="I25" s="1271">
        <v>21166</v>
      </c>
      <c r="J25" s="1271">
        <v>25750</v>
      </c>
      <c r="K25" s="1272">
        <v>32157</v>
      </c>
      <c r="L25" s="1273">
        <v>25962</v>
      </c>
      <c r="M25" s="1252">
        <v>42</v>
      </c>
      <c r="N25" s="1255">
        <v>13918.780193236717</v>
      </c>
      <c r="O25" s="1134">
        <v>18991.24396135266</v>
      </c>
      <c r="P25" s="1134">
        <v>21889.794685990342</v>
      </c>
      <c r="Q25" s="1134">
        <v>25005.736714975843</v>
      </c>
      <c r="R25" s="1134">
        <v>28657.910628019323</v>
      </c>
      <c r="S25" s="1134">
        <v>42868.05555555556</v>
      </c>
      <c r="T25" s="1134">
        <v>25636.17149758454</v>
      </c>
      <c r="U25" s="1134">
        <v>27810.084541062803</v>
      </c>
      <c r="V25" s="1256">
        <v>22577.89855072464</v>
      </c>
      <c r="W25" s="1252">
        <v>42</v>
      </c>
      <c r="X25" s="1251">
        <v>12651.823671497586</v>
      </c>
      <c r="Y25" s="1134">
        <v>18048.92512077295</v>
      </c>
      <c r="Z25" s="1134">
        <v>21995.591787439615</v>
      </c>
      <c r="AA25" s="1134">
        <v>25922.548309178746</v>
      </c>
      <c r="AB25" s="1134">
        <v>30696.654589371985</v>
      </c>
      <c r="AC25" s="1134">
        <v>46046.606280193235</v>
      </c>
      <c r="AD25" s="1134">
        <v>24503.417874396135</v>
      </c>
      <c r="AE25" s="1134">
        <v>27475.01207729469</v>
      </c>
      <c r="AF25" s="1254">
        <v>22602.536231884056</v>
      </c>
    </row>
    <row r="26" ht="17.5" customHeight="1" spans="1:32" s="1168" customFormat="1" x14ac:dyDescent="0.25">
      <c r="A26" s="1245" t="s">
        <v>576</v>
      </c>
      <c r="B26" s="1252">
        <v>48</v>
      </c>
      <c r="C26" s="1270">
        <v>14373</v>
      </c>
      <c r="D26" s="1271">
        <v>19400</v>
      </c>
      <c r="E26" s="1271">
        <v>22055</v>
      </c>
      <c r="F26" s="1271">
        <v>26790</v>
      </c>
      <c r="G26" s="1271">
        <v>29933</v>
      </c>
      <c r="H26" s="1271">
        <v>38602</v>
      </c>
      <c r="I26" s="1271">
        <v>21245</v>
      </c>
      <c r="J26" s="1271">
        <v>25814</v>
      </c>
      <c r="K26" s="1272">
        <v>32198</v>
      </c>
      <c r="L26" s="1273">
        <v>25886</v>
      </c>
      <c r="M26" s="1252">
        <v>48</v>
      </c>
      <c r="N26" s="1255">
        <v>14240.94202898551</v>
      </c>
      <c r="O26" s="1134">
        <v>19313.40579710145</v>
      </c>
      <c r="P26" s="1134">
        <v>22211.956521739132</v>
      </c>
      <c r="Q26" s="1134">
        <v>25327.89855072464</v>
      </c>
      <c r="R26" s="1134">
        <v>28980.07246376812</v>
      </c>
      <c r="S26" s="1134">
        <v>43190.21739130435</v>
      </c>
      <c r="T26" s="1134">
        <v>25958.333333333336</v>
      </c>
      <c r="U26" s="1134">
        <v>28132.246376811596</v>
      </c>
      <c r="V26" s="1256">
        <v>22677.53623188406</v>
      </c>
      <c r="W26" s="1252">
        <v>48</v>
      </c>
      <c r="X26" s="1251">
        <v>12973.985507246378</v>
      </c>
      <c r="Y26" s="1134">
        <v>18371.08695652174</v>
      </c>
      <c r="Z26" s="1134">
        <v>22317.753623188408</v>
      </c>
      <c r="AA26" s="1134">
        <v>26244.71014492754</v>
      </c>
      <c r="AB26" s="1134">
        <v>31018.816425120778</v>
      </c>
      <c r="AC26" s="1134">
        <v>46368.76811594203</v>
      </c>
      <c r="AD26" s="1134">
        <v>24825.57971014493</v>
      </c>
      <c r="AE26" s="1134">
        <v>27797.17391304348</v>
      </c>
      <c r="AF26" s="1254">
        <v>22702.17391304348</v>
      </c>
    </row>
    <row r="27" ht="17.5" customHeight="1" spans="1:32" s="1168" customFormat="1" x14ac:dyDescent="0.25">
      <c r="A27" s="1245" t="s">
        <v>576</v>
      </c>
      <c r="B27" s="1252">
        <v>54</v>
      </c>
      <c r="C27" s="1270">
        <v>14423</v>
      </c>
      <c r="D27" s="1271">
        <v>19423</v>
      </c>
      <c r="E27" s="1271">
        <v>22064</v>
      </c>
      <c r="F27" s="1271">
        <v>26774</v>
      </c>
      <c r="G27" s="1271">
        <v>29900</v>
      </c>
      <c r="H27" s="1271">
        <v>38522</v>
      </c>
      <c r="I27" s="1271">
        <v>21258</v>
      </c>
      <c r="J27" s="1271">
        <v>25803</v>
      </c>
      <c r="K27" s="1272">
        <v>32153</v>
      </c>
      <c r="L27" s="1273">
        <v>25769</v>
      </c>
      <c r="M27" s="1252">
        <v>54</v>
      </c>
      <c r="N27" s="1255">
        <v>14434.239130434784</v>
      </c>
      <c r="O27" s="1134">
        <v>19506.702898550728</v>
      </c>
      <c r="P27" s="1134">
        <v>22405.253623188404</v>
      </c>
      <c r="Q27" s="1134">
        <v>25521.195652173916</v>
      </c>
      <c r="R27" s="1134">
        <v>29173.369565217392</v>
      </c>
      <c r="S27" s="1134">
        <v>43383.51449275363</v>
      </c>
      <c r="T27" s="1134">
        <v>26151.63043478261</v>
      </c>
      <c r="U27" s="1134">
        <v>28325.54347826087</v>
      </c>
      <c r="V27" s="1256">
        <v>22737.318840579712</v>
      </c>
      <c r="W27" s="1252">
        <v>54</v>
      </c>
      <c r="X27" s="1251">
        <v>13167.282608695654</v>
      </c>
      <c r="Y27" s="1134">
        <v>18564.384057971012</v>
      </c>
      <c r="Z27" s="1134">
        <v>22511.050724637684</v>
      </c>
      <c r="AA27" s="1134">
        <v>26438.007246376816</v>
      </c>
      <c r="AB27" s="1134">
        <v>31212.113526570058</v>
      </c>
      <c r="AC27" s="1134">
        <v>46562.06521739131</v>
      </c>
      <c r="AD27" s="1134">
        <v>25018.876811594208</v>
      </c>
      <c r="AE27" s="1134">
        <v>27990.471014492752</v>
      </c>
      <c r="AF27" s="1254">
        <v>22761.956521739132</v>
      </c>
    </row>
    <row r="28" ht="17.5" customHeight="1" spans="1:32" s="1168" customFormat="1" x14ac:dyDescent="0.25">
      <c r="A28" s="1245" t="s">
        <v>576</v>
      </c>
      <c r="B28" s="1252">
        <v>60</v>
      </c>
      <c r="C28" s="1270">
        <v>14437</v>
      </c>
      <c r="D28" s="1271">
        <v>19404</v>
      </c>
      <c r="E28" s="1271">
        <v>22027</v>
      </c>
      <c r="F28" s="1271">
        <v>26705</v>
      </c>
      <c r="G28" s="1271">
        <v>29811</v>
      </c>
      <c r="H28" s="1271">
        <v>38376</v>
      </c>
      <c r="I28" s="1271">
        <v>21227</v>
      </c>
      <c r="J28" s="1271">
        <v>25741</v>
      </c>
      <c r="K28" s="1272">
        <v>32049</v>
      </c>
      <c r="L28" s="1273">
        <v>25624</v>
      </c>
      <c r="M28" s="1252">
        <v>60</v>
      </c>
      <c r="N28" s="1255">
        <v>14627.53623188406</v>
      </c>
      <c r="O28" s="1134">
        <v>19700</v>
      </c>
      <c r="P28" s="1134">
        <v>22598.55072463768</v>
      </c>
      <c r="Q28" s="1134">
        <v>25714.49275362319</v>
      </c>
      <c r="R28" s="1134">
        <v>29366.666666666668</v>
      </c>
      <c r="S28" s="1134">
        <v>43576.8115942029</v>
      </c>
      <c r="T28" s="1134">
        <v>26344.927536231888</v>
      </c>
      <c r="U28" s="1134">
        <v>28518.840579710144</v>
      </c>
      <c r="V28" s="1256">
        <v>22797.101449275364</v>
      </c>
      <c r="W28" s="1252">
        <v>60</v>
      </c>
      <c r="X28" s="1251">
        <v>13360.579710144928</v>
      </c>
      <c r="Y28" s="1134">
        <v>18757.68115942029</v>
      </c>
      <c r="Z28" s="1134">
        <v>22704.34782608696</v>
      </c>
      <c r="AA28" s="1134">
        <v>26631.304347826088</v>
      </c>
      <c r="AB28" s="1134">
        <v>31405.41062801933</v>
      </c>
      <c r="AC28" s="1134">
        <v>46755.36231884058</v>
      </c>
      <c r="AD28" s="1134">
        <v>25212.17391304348</v>
      </c>
      <c r="AE28" s="1134">
        <v>28183.76811594203</v>
      </c>
      <c r="AF28" s="1254">
        <v>22821.739130434784</v>
      </c>
    </row>
    <row r="29" ht="17.5" customHeight="1" spans="1:32" s="1168" customFormat="1" x14ac:dyDescent="0.25">
      <c r="A29" s="1245" t="s">
        <v>577</v>
      </c>
      <c r="B29" s="1252">
        <v>24</v>
      </c>
      <c r="C29" s="1270">
        <v>14233</v>
      </c>
      <c r="D29" s="1271">
        <v>19640</v>
      </c>
      <c r="E29" s="1271">
        <v>22496</v>
      </c>
      <c r="F29" s="1271">
        <v>27589</v>
      </c>
      <c r="G29" s="1271">
        <v>30970</v>
      </c>
      <c r="H29" s="1271">
        <v>40294</v>
      </c>
      <c r="I29" s="1271">
        <v>21625</v>
      </c>
      <c r="J29" s="1271">
        <v>26539</v>
      </c>
      <c r="K29" s="1272">
        <v>33406</v>
      </c>
      <c r="L29" s="1273">
        <v>27541</v>
      </c>
      <c r="M29" s="1252">
        <v>24</v>
      </c>
      <c r="N29" s="1255">
        <v>12867.42424242424</v>
      </c>
      <c r="O29" s="1134">
        <v>18170.454545454544</v>
      </c>
      <c r="P29" s="1134">
        <v>21200.757575757572</v>
      </c>
      <c r="Q29" s="1134">
        <v>24458.333333333332</v>
      </c>
      <c r="R29" s="1134">
        <v>28276.515151515152</v>
      </c>
      <c r="S29" s="1134">
        <v>43132.57575757576</v>
      </c>
      <c r="T29" s="1134">
        <v>25117.42424242424</v>
      </c>
      <c r="U29" s="1134">
        <v>27390.151515151512</v>
      </c>
      <c r="V29" s="1256">
        <v>23083.333333333332</v>
      </c>
      <c r="W29" s="1252">
        <v>24</v>
      </c>
      <c r="X29" s="1251">
        <v>11542.878787878786</v>
      </c>
      <c r="Y29" s="1134">
        <v>17185.30303030303</v>
      </c>
      <c r="Z29" s="1134">
        <v>21311.363636363636</v>
      </c>
      <c r="AA29" s="1134">
        <v>25416.81818181818</v>
      </c>
      <c r="AB29" s="1134">
        <v>30407.929292929293</v>
      </c>
      <c r="AC29" s="1134">
        <v>46455.60606060606</v>
      </c>
      <c r="AD29" s="1134">
        <v>23933.181818181816</v>
      </c>
      <c r="AE29" s="1134">
        <v>27039.84848484848</v>
      </c>
      <c r="AF29" s="1254">
        <v>23109.090909090908</v>
      </c>
    </row>
    <row r="30" ht="17.5" customHeight="1" spans="1:32" s="1168" customFormat="1" x14ac:dyDescent="0.25">
      <c r="A30" s="1245" t="s">
        <v>577</v>
      </c>
      <c r="B30" s="1252">
        <v>30</v>
      </c>
      <c r="C30" s="1270">
        <v>14516</v>
      </c>
      <c r="D30" s="1271">
        <v>19872</v>
      </c>
      <c r="E30" s="1271">
        <v>22701</v>
      </c>
      <c r="F30" s="1271">
        <v>27745</v>
      </c>
      <c r="G30" s="1271">
        <v>31094</v>
      </c>
      <c r="H30" s="1271">
        <v>40329</v>
      </c>
      <c r="I30" s="1271">
        <v>21838</v>
      </c>
      <c r="J30" s="1271">
        <v>26705</v>
      </c>
      <c r="K30" s="1272">
        <v>33506</v>
      </c>
      <c r="L30" s="1273">
        <v>27317</v>
      </c>
      <c r="M30" s="1252">
        <v>30</v>
      </c>
      <c r="N30" s="1255">
        <v>13541.035353535352</v>
      </c>
      <c r="O30" s="1134">
        <v>18844.065656565654</v>
      </c>
      <c r="P30" s="1134">
        <v>21874.368686868685</v>
      </c>
      <c r="Q30" s="1134">
        <v>25131.944444444445</v>
      </c>
      <c r="R30" s="1134">
        <v>28950.12626262626</v>
      </c>
      <c r="S30" s="1134">
        <v>43806.18686868687</v>
      </c>
      <c r="T30" s="1134">
        <v>25791.035353535353</v>
      </c>
      <c r="U30" s="1134">
        <v>28063.762626262625</v>
      </c>
      <c r="V30" s="1256">
        <v>23291.666666666668</v>
      </c>
      <c r="W30" s="1252">
        <v>30</v>
      </c>
      <c r="X30" s="1251">
        <v>12216.489898989897</v>
      </c>
      <c r="Y30" s="1134">
        <v>17858.914141414138</v>
      </c>
      <c r="Z30" s="1134">
        <v>21984.974747474746</v>
      </c>
      <c r="AA30" s="1134">
        <v>26090.42929292929</v>
      </c>
      <c r="AB30" s="1134">
        <v>31081.540404040403</v>
      </c>
      <c r="AC30" s="1134">
        <v>47129.217171717166</v>
      </c>
      <c r="AD30" s="1134">
        <v>24606.79292929293</v>
      </c>
      <c r="AE30" s="1134">
        <v>27713.459595959594</v>
      </c>
      <c r="AF30" s="1254">
        <v>23317.424242424237</v>
      </c>
    </row>
    <row r="31" ht="17.5" customHeight="1" spans="1:32" s="1168" customFormat="1" x14ac:dyDescent="0.25">
      <c r="A31" s="1245" t="s">
        <v>577</v>
      </c>
      <c r="B31" s="1252">
        <v>36</v>
      </c>
      <c r="C31" s="1270">
        <v>14705</v>
      </c>
      <c r="D31" s="1271">
        <v>20027</v>
      </c>
      <c r="E31" s="1271">
        <v>22837</v>
      </c>
      <c r="F31" s="1271">
        <v>27849</v>
      </c>
      <c r="G31" s="1271">
        <v>31176</v>
      </c>
      <c r="H31" s="1271">
        <v>40352</v>
      </c>
      <c r="I31" s="1271">
        <v>21980</v>
      </c>
      <c r="J31" s="1271">
        <v>26816</v>
      </c>
      <c r="K31" s="1272">
        <v>33574</v>
      </c>
      <c r="L31" s="1273">
        <v>27167</v>
      </c>
      <c r="M31" s="1252">
        <v>36</v>
      </c>
      <c r="N31" s="1255">
        <v>14214.646464646463</v>
      </c>
      <c r="O31" s="1134">
        <v>19517.676767676767</v>
      </c>
      <c r="P31" s="1134">
        <v>22547.979797979795</v>
      </c>
      <c r="Q31" s="1134">
        <v>25805.55555555555</v>
      </c>
      <c r="R31" s="1134">
        <v>29623.73737373737</v>
      </c>
      <c r="S31" s="1134">
        <v>44479.79797979798</v>
      </c>
      <c r="T31" s="1134">
        <v>26464.646464646463</v>
      </c>
      <c r="U31" s="1134">
        <v>28737.373737373735</v>
      </c>
      <c r="V31" s="1256">
        <v>23499.999999999996</v>
      </c>
      <c r="W31" s="1252">
        <v>36</v>
      </c>
      <c r="X31" s="1251">
        <v>12890.101010101009</v>
      </c>
      <c r="Y31" s="1134">
        <v>18532.52525252525</v>
      </c>
      <c r="Z31" s="1134">
        <v>22658.58585858586</v>
      </c>
      <c r="AA31" s="1134">
        <v>26764.040404040403</v>
      </c>
      <c r="AB31" s="1134">
        <v>31755.15151515151</v>
      </c>
      <c r="AC31" s="1134">
        <v>47802.828282828275</v>
      </c>
      <c r="AD31" s="1134">
        <v>25280.40404040404</v>
      </c>
      <c r="AE31" s="1134">
        <v>28387.070707070703</v>
      </c>
      <c r="AF31" s="1254">
        <v>23525.757575757572</v>
      </c>
    </row>
    <row r="32" ht="17.5" customHeight="1" spans="1:32" s="1168" customFormat="1" x14ac:dyDescent="0.25">
      <c r="A32" s="1245" t="s">
        <v>577</v>
      </c>
      <c r="B32" s="1252">
        <v>42</v>
      </c>
      <c r="C32" s="1270">
        <v>14840</v>
      </c>
      <c r="D32" s="1271">
        <v>20137</v>
      </c>
      <c r="E32" s="1271">
        <v>22935</v>
      </c>
      <c r="F32" s="1271">
        <v>27923</v>
      </c>
      <c r="G32" s="1271">
        <v>31235</v>
      </c>
      <c r="H32" s="1271">
        <v>40369</v>
      </c>
      <c r="I32" s="1271">
        <v>22081</v>
      </c>
      <c r="J32" s="1271">
        <v>26895</v>
      </c>
      <c r="K32" s="1272">
        <v>33622</v>
      </c>
      <c r="L32" s="1273">
        <v>27061</v>
      </c>
      <c r="M32" s="1252">
        <v>42</v>
      </c>
      <c r="N32" s="1255">
        <v>14551.45202020202</v>
      </c>
      <c r="O32" s="1134">
        <v>19854.48232323232</v>
      </c>
      <c r="P32" s="1134">
        <v>22884.785353535353</v>
      </c>
      <c r="Q32" s="1134">
        <v>26142.361111111106</v>
      </c>
      <c r="R32" s="1134">
        <v>29960.542929292926</v>
      </c>
      <c r="S32" s="1134">
        <v>44816.60353535353</v>
      </c>
      <c r="T32" s="1134">
        <v>26801.452020202014</v>
      </c>
      <c r="U32" s="1134">
        <v>29074.179292929286</v>
      </c>
      <c r="V32" s="1256">
        <v>23604.166666666668</v>
      </c>
      <c r="W32" s="1252">
        <v>42</v>
      </c>
      <c r="X32" s="1251">
        <v>13226.906565656565</v>
      </c>
      <c r="Y32" s="1134">
        <v>18869.33080808081</v>
      </c>
      <c r="Z32" s="1134">
        <v>22995.39141414141</v>
      </c>
      <c r="AA32" s="1134">
        <v>27100.845959595958</v>
      </c>
      <c r="AB32" s="1134">
        <v>32091.95707070707</v>
      </c>
      <c r="AC32" s="1134">
        <v>48139.63383838383</v>
      </c>
      <c r="AD32" s="1134">
        <v>25617.209595959594</v>
      </c>
      <c r="AE32" s="1134">
        <v>28723.87626262626</v>
      </c>
      <c r="AF32" s="1254">
        <v>23629.924242424237</v>
      </c>
    </row>
    <row r="33" ht="17.5" customHeight="1" spans="1:32" s="1168" customFormat="1" x14ac:dyDescent="0.25">
      <c r="A33" s="1245" t="s">
        <v>577</v>
      </c>
      <c r="B33" s="1252">
        <v>48</v>
      </c>
      <c r="C33" s="1270">
        <v>14941</v>
      </c>
      <c r="D33" s="1271">
        <v>20220</v>
      </c>
      <c r="E33" s="1271">
        <v>23008</v>
      </c>
      <c r="F33" s="1271">
        <v>27979</v>
      </c>
      <c r="G33" s="1271">
        <v>31280</v>
      </c>
      <c r="H33" s="1271">
        <v>40382</v>
      </c>
      <c r="I33" s="1271">
        <v>22157</v>
      </c>
      <c r="J33" s="1271">
        <v>26954</v>
      </c>
      <c r="K33" s="1272">
        <v>33658</v>
      </c>
      <c r="L33" s="1273">
        <v>26981</v>
      </c>
      <c r="M33" s="1252">
        <v>48</v>
      </c>
      <c r="N33" s="1255">
        <v>14888.257575757576</v>
      </c>
      <c r="O33" s="1134">
        <v>20191.28787878788</v>
      </c>
      <c r="P33" s="1134">
        <v>23221.590909090908</v>
      </c>
      <c r="Q33" s="1134">
        <v>26479.166666666664</v>
      </c>
      <c r="R33" s="1134">
        <v>30297.348484848484</v>
      </c>
      <c r="S33" s="1134">
        <v>45153.40909090909</v>
      </c>
      <c r="T33" s="1134">
        <v>27138.257575757572</v>
      </c>
      <c r="U33" s="1134">
        <v>29410.984848484844</v>
      </c>
      <c r="V33" s="1256">
        <v>23708.333333333332</v>
      </c>
      <c r="W33" s="1252">
        <v>48</v>
      </c>
      <c r="X33" s="1251">
        <v>13563.71212121212</v>
      </c>
      <c r="Y33" s="1134">
        <v>19206.13636363636</v>
      </c>
      <c r="Z33" s="1134">
        <v>23332.196969696968</v>
      </c>
      <c r="AA33" s="1134">
        <v>27437.651515151512</v>
      </c>
      <c r="AB33" s="1134">
        <v>32428.762626262625</v>
      </c>
      <c r="AC33" s="1134">
        <v>48476.43939393939</v>
      </c>
      <c r="AD33" s="1134">
        <v>25954.015151515152</v>
      </c>
      <c r="AE33" s="1134">
        <v>29060.681818181816</v>
      </c>
      <c r="AF33" s="1254">
        <v>23734.090909090908</v>
      </c>
    </row>
    <row r="34" ht="17.5" customHeight="1" spans="1:32" s="1168" customFormat="1" x14ac:dyDescent="0.25">
      <c r="A34" s="1245" t="s">
        <v>577</v>
      </c>
      <c r="B34" s="1252">
        <v>54</v>
      </c>
      <c r="C34" s="1270">
        <v>14988</v>
      </c>
      <c r="D34" s="1271">
        <v>20239</v>
      </c>
      <c r="E34" s="1271">
        <v>23012</v>
      </c>
      <c r="F34" s="1271">
        <v>27957</v>
      </c>
      <c r="G34" s="1271">
        <v>31239</v>
      </c>
      <c r="H34" s="1271">
        <v>40293</v>
      </c>
      <c r="I34" s="1271">
        <v>22166</v>
      </c>
      <c r="J34" s="1271">
        <v>26937</v>
      </c>
      <c r="K34" s="1272">
        <v>33605</v>
      </c>
      <c r="L34" s="1273">
        <v>26857</v>
      </c>
      <c r="M34" s="1252">
        <v>54</v>
      </c>
      <c r="N34" s="1255">
        <v>15090.340909090908</v>
      </c>
      <c r="O34" s="1134">
        <v>20393.371212121212</v>
      </c>
      <c r="P34" s="1134">
        <v>23423.674242424237</v>
      </c>
      <c r="Q34" s="1134">
        <v>26681.249999999996</v>
      </c>
      <c r="R34" s="1134">
        <v>30499.431818181816</v>
      </c>
      <c r="S34" s="1134">
        <v>45355.492424242424</v>
      </c>
      <c r="T34" s="1134">
        <v>27340.340909090908</v>
      </c>
      <c r="U34" s="1134">
        <v>29613.06818181818</v>
      </c>
      <c r="V34" s="1256">
        <v>23770.833333333332</v>
      </c>
      <c r="W34" s="1252">
        <v>54</v>
      </c>
      <c r="X34" s="1251">
        <v>13765.795454545454</v>
      </c>
      <c r="Y34" s="1134">
        <v>19408.219696969692</v>
      </c>
      <c r="Z34" s="1134">
        <v>23534.280303030304</v>
      </c>
      <c r="AA34" s="1134">
        <v>27639.734848484848</v>
      </c>
      <c r="AB34" s="1134">
        <v>32630.84595959596</v>
      </c>
      <c r="AC34" s="1134">
        <v>48678.52272727272</v>
      </c>
      <c r="AD34" s="1134">
        <v>26156.098484848484</v>
      </c>
      <c r="AE34" s="1134">
        <v>29262.76515151515</v>
      </c>
      <c r="AF34" s="1254">
        <v>23796.590909090908</v>
      </c>
    </row>
    <row r="35" spans="1:32" s="1168" customFormat="1" x14ac:dyDescent="0.25">
      <c r="A35" s="1245" t="s">
        <v>577</v>
      </c>
      <c r="B35" s="1252">
        <v>60</v>
      </c>
      <c r="C35" s="1270">
        <v>14998</v>
      </c>
      <c r="D35" s="1271">
        <v>20214</v>
      </c>
      <c r="E35" s="1271">
        <v>22969</v>
      </c>
      <c r="F35" s="1271">
        <v>27881</v>
      </c>
      <c r="G35" s="1271">
        <v>31142</v>
      </c>
      <c r="H35" s="1271">
        <v>40135</v>
      </c>
      <c r="I35" s="1271">
        <v>22128</v>
      </c>
      <c r="J35" s="1271">
        <v>26868</v>
      </c>
      <c r="K35" s="1272">
        <v>33491</v>
      </c>
      <c r="L35" s="1273">
        <v>26706</v>
      </c>
      <c r="M35" s="1252">
        <v>60</v>
      </c>
      <c r="N35" s="1255">
        <v>15292.424242424242</v>
      </c>
      <c r="O35" s="1134">
        <v>20595.454545454544</v>
      </c>
      <c r="P35" s="1134">
        <v>23625.757575757572</v>
      </c>
      <c r="Q35" s="1134">
        <v>26883.333333333332</v>
      </c>
      <c r="R35" s="1134">
        <v>30701.51515151515</v>
      </c>
      <c r="S35" s="1134">
        <v>45557.57575757575</v>
      </c>
      <c r="T35" s="1134">
        <v>27542.42424242424</v>
      </c>
      <c r="U35" s="1134">
        <v>29815.151515151512</v>
      </c>
      <c r="V35" s="1256">
        <v>23833.333333333332</v>
      </c>
      <c r="W35" s="1252">
        <v>60</v>
      </c>
      <c r="X35" s="1251">
        <v>13967.878787878786</v>
      </c>
      <c r="Y35" s="1134">
        <v>19610.30303030303</v>
      </c>
      <c r="Z35" s="1134">
        <v>23736.363636363636</v>
      </c>
      <c r="AA35" s="1134">
        <v>27841.81818181818</v>
      </c>
      <c r="AB35" s="1134">
        <v>32832.92929292929</v>
      </c>
      <c r="AC35" s="1134">
        <v>48880.60606060606</v>
      </c>
      <c r="AD35" s="1134">
        <v>26358.181818181816</v>
      </c>
      <c r="AE35" s="1134">
        <v>29464.84848484848</v>
      </c>
      <c r="AF35" s="1254">
        <v>23859.090909090908</v>
      </c>
    </row>
    <row r="36" ht="16" customHeight="1" spans="1:32" s="1274" customFormat="1" x14ac:dyDescent="0.25">
      <c r="A36" s="1275" t="s">
        <v>578</v>
      </c>
      <c r="B36" s="1276">
        <v>24</v>
      </c>
      <c r="C36" s="1277">
        <v>14233</v>
      </c>
      <c r="D36" s="1278">
        <v>19640</v>
      </c>
      <c r="E36" s="1278">
        <v>22496</v>
      </c>
      <c r="F36" s="1278">
        <v>27589</v>
      </c>
      <c r="G36" s="1278">
        <v>30970</v>
      </c>
      <c r="H36" s="1278">
        <v>40294</v>
      </c>
      <c r="I36" s="1278">
        <v>21625</v>
      </c>
      <c r="J36" s="1278">
        <v>26539</v>
      </c>
      <c r="K36" s="1279">
        <v>33406</v>
      </c>
      <c r="L36" s="1280">
        <v>27541</v>
      </c>
      <c r="M36" s="1276">
        <v>24</v>
      </c>
      <c r="N36" s="1281">
        <v>13480.15873015873</v>
      </c>
      <c r="O36" s="1282">
        <v>19035.714285714286</v>
      </c>
      <c r="P36" s="1282">
        <v>22210.31746031746</v>
      </c>
      <c r="Q36" s="1282">
        <v>25623.015873015873</v>
      </c>
      <c r="R36" s="1282">
        <v>29623.015873015873</v>
      </c>
      <c r="S36" s="1282">
        <v>45186.50793650794</v>
      </c>
      <c r="T36" s="1282">
        <v>26313.492063492064</v>
      </c>
      <c r="U36" s="1282">
        <v>28694.444444444445</v>
      </c>
      <c r="V36" s="1283">
        <v>24182.539682539682</v>
      </c>
      <c r="W36" s="1276">
        <v>24</v>
      </c>
      <c r="X36" s="1284">
        <v>12092.539682539682</v>
      </c>
      <c r="Y36" s="1282">
        <v>18003.65079365079</v>
      </c>
      <c r="Z36" s="1282">
        <v>22326.190476190477</v>
      </c>
      <c r="AA36" s="1282">
        <v>26627.142857142855</v>
      </c>
      <c r="AB36" s="1282">
        <v>31855.925925925927</v>
      </c>
      <c r="AC36" s="1282">
        <v>48667.777777777774</v>
      </c>
      <c r="AD36" s="1282">
        <v>25072.85714285714</v>
      </c>
      <c r="AE36" s="1282">
        <v>28327.460317460314</v>
      </c>
      <c r="AF36" s="1285">
        <v>24209.52380952381</v>
      </c>
    </row>
    <row r="37" ht="16" customHeight="1" spans="1:32" s="1274" customFormat="1" x14ac:dyDescent="0.25">
      <c r="A37" s="1275" t="s">
        <v>578</v>
      </c>
      <c r="B37" s="1276">
        <v>30</v>
      </c>
      <c r="C37" s="1286">
        <v>14516</v>
      </c>
      <c r="D37" s="1287">
        <v>19872</v>
      </c>
      <c r="E37" s="1287">
        <v>22701</v>
      </c>
      <c r="F37" s="1287">
        <v>27745</v>
      </c>
      <c r="G37" s="1287">
        <v>31094</v>
      </c>
      <c r="H37" s="1287">
        <v>40329</v>
      </c>
      <c r="I37" s="1287">
        <v>21838</v>
      </c>
      <c r="J37" s="1287">
        <v>26705</v>
      </c>
      <c r="K37" s="1288">
        <v>33506</v>
      </c>
      <c r="L37" s="1289">
        <v>27317</v>
      </c>
      <c r="M37" s="1276">
        <v>30</v>
      </c>
      <c r="N37" s="1281">
        <v>14185.84656084656</v>
      </c>
      <c r="O37" s="1282">
        <v>19741.402116402114</v>
      </c>
      <c r="P37" s="1282">
        <v>22916.00529100529</v>
      </c>
      <c r="Q37" s="1282">
        <v>26328.703703703704</v>
      </c>
      <c r="R37" s="1282">
        <v>30328.703703703704</v>
      </c>
      <c r="S37" s="1282">
        <v>45892.19576719577</v>
      </c>
      <c r="T37" s="1282">
        <v>27019.179894179895</v>
      </c>
      <c r="U37" s="1282">
        <v>29400.132275132277</v>
      </c>
      <c r="V37" s="1283">
        <v>24400.793650793654</v>
      </c>
      <c r="W37" s="1276">
        <v>30</v>
      </c>
      <c r="X37" s="1284">
        <v>12798.227513227512</v>
      </c>
      <c r="Y37" s="1282">
        <v>18709.338624338623</v>
      </c>
      <c r="Z37" s="1282">
        <v>23031.878306878305</v>
      </c>
      <c r="AA37" s="1282">
        <v>27332.830687830687</v>
      </c>
      <c r="AB37" s="1282">
        <v>32561.613756613755</v>
      </c>
      <c r="AC37" s="1282">
        <v>49373.46560846561</v>
      </c>
      <c r="AD37" s="1282">
        <v>25778.544973544973</v>
      </c>
      <c r="AE37" s="1282">
        <v>29033.148148148146</v>
      </c>
      <c r="AF37" s="1285">
        <v>24427.777777777774</v>
      </c>
    </row>
    <row r="38" ht="16" customHeight="1" spans="1:32" s="1274" customFormat="1" x14ac:dyDescent="0.25">
      <c r="A38" s="1275" t="s">
        <v>578</v>
      </c>
      <c r="B38" s="1276">
        <v>36</v>
      </c>
      <c r="C38" s="1286">
        <v>14705</v>
      </c>
      <c r="D38" s="1287">
        <v>20027</v>
      </c>
      <c r="E38" s="1287">
        <v>22837</v>
      </c>
      <c r="F38" s="1287">
        <v>27849</v>
      </c>
      <c r="G38" s="1287">
        <v>31176</v>
      </c>
      <c r="H38" s="1287">
        <v>40352</v>
      </c>
      <c r="I38" s="1287">
        <v>21980</v>
      </c>
      <c r="J38" s="1287">
        <v>26816</v>
      </c>
      <c r="K38" s="1288">
        <v>33574</v>
      </c>
      <c r="L38" s="1289">
        <v>27167</v>
      </c>
      <c r="M38" s="1276">
        <v>36</v>
      </c>
      <c r="N38" s="1281">
        <v>14891.534391534391</v>
      </c>
      <c r="O38" s="1282">
        <v>20447.089947089946</v>
      </c>
      <c r="P38" s="1282">
        <v>23621.69312169312</v>
      </c>
      <c r="Q38" s="1282">
        <v>27034.391534391532</v>
      </c>
      <c r="R38" s="1282">
        <v>31034.391534391532</v>
      </c>
      <c r="S38" s="1282">
        <v>46597.8835978836</v>
      </c>
      <c r="T38" s="1282">
        <v>27724.867724867723</v>
      </c>
      <c r="U38" s="1282">
        <v>30105.820105820105</v>
      </c>
      <c r="V38" s="1283">
        <v>24619.04761904762</v>
      </c>
      <c r="W38" s="1276">
        <v>36</v>
      </c>
      <c r="X38" s="1284">
        <v>13503.915343915343</v>
      </c>
      <c r="Y38" s="1282">
        <v>19415.026455026455</v>
      </c>
      <c r="Z38" s="1282">
        <v>23737.566137566137</v>
      </c>
      <c r="AA38" s="1282">
        <v>28038.51851851852</v>
      </c>
      <c r="AB38" s="1282">
        <v>33267.30158730158</v>
      </c>
      <c r="AC38" s="1282">
        <v>50079.15343915344</v>
      </c>
      <c r="AD38" s="1282">
        <v>26484.232804232804</v>
      </c>
      <c r="AE38" s="1282">
        <v>29738.835978835978</v>
      </c>
      <c r="AF38" s="1285">
        <v>24646.031746031746</v>
      </c>
    </row>
    <row r="39" ht="16" customHeight="1" spans="1:32" s="1274" customFormat="1" x14ac:dyDescent="0.25">
      <c r="A39" s="1275" t="s">
        <v>578</v>
      </c>
      <c r="B39" s="1276">
        <v>42</v>
      </c>
      <c r="C39" s="1286">
        <v>14840</v>
      </c>
      <c r="D39" s="1287">
        <v>20137</v>
      </c>
      <c r="E39" s="1287">
        <v>22935</v>
      </c>
      <c r="F39" s="1287">
        <v>27923</v>
      </c>
      <c r="G39" s="1287">
        <v>31235</v>
      </c>
      <c r="H39" s="1287">
        <v>40369</v>
      </c>
      <c r="I39" s="1287">
        <v>22081</v>
      </c>
      <c r="J39" s="1287">
        <v>26895</v>
      </c>
      <c r="K39" s="1288">
        <v>33622</v>
      </c>
      <c r="L39" s="1289">
        <v>27061</v>
      </c>
      <c r="M39" s="1276">
        <v>42</v>
      </c>
      <c r="N39" s="1281">
        <v>15244.378306878307</v>
      </c>
      <c r="O39" s="1282">
        <v>20799.93386243386</v>
      </c>
      <c r="P39" s="1282">
        <v>23974.537037037036</v>
      </c>
      <c r="Q39" s="1282">
        <v>27387.235449735446</v>
      </c>
      <c r="R39" s="1282">
        <v>31387.235449735446</v>
      </c>
      <c r="S39" s="1282">
        <v>46950.72751322751</v>
      </c>
      <c r="T39" s="1282">
        <v>28077.711640211637</v>
      </c>
      <c r="U39" s="1282">
        <v>30458.664021164015</v>
      </c>
      <c r="V39" s="1283">
        <v>24728.174603174604</v>
      </c>
      <c r="W39" s="1276">
        <v>42</v>
      </c>
      <c r="X39" s="1284">
        <v>13856.75925925926</v>
      </c>
      <c r="Y39" s="1282">
        <v>19767.870370370372</v>
      </c>
      <c r="Z39" s="1282">
        <v>24090.41005291005</v>
      </c>
      <c r="AA39" s="1282">
        <v>28391.362433862432</v>
      </c>
      <c r="AB39" s="1282">
        <v>33620.14550264551</v>
      </c>
      <c r="AC39" s="1282">
        <v>50431.99735449735</v>
      </c>
      <c r="AD39" s="1282">
        <v>26837.07671957672</v>
      </c>
      <c r="AE39" s="1282">
        <v>30091.679894179895</v>
      </c>
      <c r="AF39" s="1285">
        <v>24755.158730158728</v>
      </c>
    </row>
    <row r="40" ht="16" customHeight="1" spans="1:32" s="1274" customFormat="1" x14ac:dyDescent="0.25">
      <c r="A40" s="1275" t="s">
        <v>578</v>
      </c>
      <c r="B40" s="1276">
        <v>48</v>
      </c>
      <c r="C40" s="1277">
        <v>14941</v>
      </c>
      <c r="D40" s="1278">
        <v>20220</v>
      </c>
      <c r="E40" s="1278">
        <v>23008</v>
      </c>
      <c r="F40" s="1278">
        <v>27979</v>
      </c>
      <c r="G40" s="1278">
        <v>31280</v>
      </c>
      <c r="H40" s="1278">
        <v>40382</v>
      </c>
      <c r="I40" s="1278">
        <v>22157</v>
      </c>
      <c r="J40" s="1278">
        <v>26954</v>
      </c>
      <c r="K40" s="1279">
        <v>33658</v>
      </c>
      <c r="L40" s="1280">
        <v>26981</v>
      </c>
      <c r="M40" s="1276">
        <v>48</v>
      </c>
      <c r="N40" s="1281">
        <v>15597.222222222223</v>
      </c>
      <c r="O40" s="1282">
        <v>21152.777777777777</v>
      </c>
      <c r="P40" s="1282">
        <v>24327.38095238095</v>
      </c>
      <c r="Q40" s="1282">
        <v>27740.079365079364</v>
      </c>
      <c r="R40" s="1282">
        <v>31740.079365079368</v>
      </c>
      <c r="S40" s="1282">
        <v>47303.57142857143</v>
      </c>
      <c r="T40" s="1282">
        <v>28430.555555555555</v>
      </c>
      <c r="U40" s="1282">
        <v>30811.507936507933</v>
      </c>
      <c r="V40" s="1283">
        <v>24837.301587301587</v>
      </c>
      <c r="W40" s="1276">
        <v>48</v>
      </c>
      <c r="X40" s="1284">
        <v>14209.603174603175</v>
      </c>
      <c r="Y40" s="1282">
        <v>20120.714285714286</v>
      </c>
      <c r="Z40" s="1282">
        <v>24443.25396825397</v>
      </c>
      <c r="AA40" s="1282">
        <v>28744.20634920635</v>
      </c>
      <c r="AB40" s="1282">
        <v>33972.98941798942</v>
      </c>
      <c r="AC40" s="1282">
        <v>50784.84126984127</v>
      </c>
      <c r="AD40" s="1282">
        <v>27189.920634920636</v>
      </c>
      <c r="AE40" s="1282">
        <v>30444.52380952381</v>
      </c>
      <c r="AF40" s="1285">
        <v>24864.285714285714</v>
      </c>
    </row>
    <row r="41" ht="16" customHeight="1" spans="1:32" s="1274" customFormat="1" x14ac:dyDescent="0.25">
      <c r="A41" s="1275" t="s">
        <v>578</v>
      </c>
      <c r="B41" s="1276">
        <v>54</v>
      </c>
      <c r="C41" s="1286">
        <v>14988</v>
      </c>
      <c r="D41" s="1287">
        <v>20239</v>
      </c>
      <c r="E41" s="1287">
        <v>23012</v>
      </c>
      <c r="F41" s="1287">
        <v>27957</v>
      </c>
      <c r="G41" s="1287">
        <v>31239</v>
      </c>
      <c r="H41" s="1287">
        <v>40293</v>
      </c>
      <c r="I41" s="1287">
        <v>22166</v>
      </c>
      <c r="J41" s="1287">
        <v>26937</v>
      </c>
      <c r="K41" s="1288">
        <v>33605</v>
      </c>
      <c r="L41" s="1289">
        <v>26857</v>
      </c>
      <c r="M41" s="1276">
        <v>54</v>
      </c>
      <c r="N41" s="1281">
        <v>15808.92857142857</v>
      </c>
      <c r="O41" s="1282">
        <v>21364.484126984127</v>
      </c>
      <c r="P41" s="1282">
        <v>24539.087301587297</v>
      </c>
      <c r="Q41" s="1282">
        <v>27951.785714285714</v>
      </c>
      <c r="R41" s="1282">
        <v>31951.785714285714</v>
      </c>
      <c r="S41" s="1282">
        <v>47515.27777777778</v>
      </c>
      <c r="T41" s="1282">
        <v>28642.261904761905</v>
      </c>
      <c r="U41" s="1282">
        <v>31023.214285714283</v>
      </c>
      <c r="V41" s="1283">
        <v>24902.777777777777</v>
      </c>
      <c r="W41" s="1276">
        <v>54</v>
      </c>
      <c r="X41" s="1284">
        <v>14421.309523809523</v>
      </c>
      <c r="Y41" s="1282">
        <v>20332.420634920632</v>
      </c>
      <c r="Z41" s="1282">
        <v>24654.960317460318</v>
      </c>
      <c r="AA41" s="1282">
        <v>28955.9126984127</v>
      </c>
      <c r="AB41" s="1282">
        <v>34184.69576719577</v>
      </c>
      <c r="AC41" s="1282">
        <v>50996.54761904762</v>
      </c>
      <c r="AD41" s="1282">
        <v>27401.626984126986</v>
      </c>
      <c r="AE41" s="1282">
        <v>30656.230158730155</v>
      </c>
      <c r="AF41" s="1285">
        <v>24929.761904761905</v>
      </c>
    </row>
    <row r="42" ht="16.5" customHeight="1" spans="1:32" s="1274" customFormat="1" x14ac:dyDescent="0.25">
      <c r="A42" s="1275" t="s">
        <v>578</v>
      </c>
      <c r="B42" s="1276">
        <v>60</v>
      </c>
      <c r="C42" s="1277">
        <v>14998</v>
      </c>
      <c r="D42" s="1278">
        <v>20214</v>
      </c>
      <c r="E42" s="1278">
        <v>22969</v>
      </c>
      <c r="F42" s="1278">
        <v>27881</v>
      </c>
      <c r="G42" s="1278">
        <v>31142</v>
      </c>
      <c r="H42" s="1278">
        <v>40135</v>
      </c>
      <c r="I42" s="1278">
        <v>22128</v>
      </c>
      <c r="J42" s="1278">
        <v>26868</v>
      </c>
      <c r="K42" s="1279">
        <v>33491</v>
      </c>
      <c r="L42" s="1280">
        <v>26706</v>
      </c>
      <c r="M42" s="1276">
        <v>60</v>
      </c>
      <c r="N42" s="1281">
        <v>16020.63492063492</v>
      </c>
      <c r="O42" s="1282">
        <v>21576.190476190477</v>
      </c>
      <c r="P42" s="1282">
        <v>24750.79365079365</v>
      </c>
      <c r="Q42" s="1282">
        <v>28163.492063492064</v>
      </c>
      <c r="R42" s="1282">
        <v>32163.49206349206</v>
      </c>
      <c r="S42" s="1282">
        <v>47726.98412698413</v>
      </c>
      <c r="T42" s="1282">
        <v>28853.968253968254</v>
      </c>
      <c r="U42" s="1282">
        <v>31234.920634920632</v>
      </c>
      <c r="V42" s="1283">
        <v>24968.25396825397</v>
      </c>
      <c r="W42" s="1276">
        <v>60</v>
      </c>
      <c r="X42" s="1284">
        <v>14633.015873015871</v>
      </c>
      <c r="Y42" s="1282">
        <v>20544.126984126982</v>
      </c>
      <c r="Z42" s="1282">
        <v>24866.666666666664</v>
      </c>
      <c r="AA42" s="1282">
        <v>29167.619047619046</v>
      </c>
      <c r="AB42" s="1282">
        <v>34396.40211640212</v>
      </c>
      <c r="AC42" s="1282">
        <v>51208.253968253965</v>
      </c>
      <c r="AD42" s="1282">
        <v>27613.333333333332</v>
      </c>
      <c r="AE42" s="1282">
        <v>30867.936507936505</v>
      </c>
      <c r="AF42" s="1285">
        <v>24995.238095238095</v>
      </c>
    </row>
    <row r="43" ht="16.5" customHeight="1" spans="1:32" s="1290" customFormat="1" x14ac:dyDescent="0.25">
      <c r="A43" s="1291" t="s">
        <v>579</v>
      </c>
      <c r="B43" s="1276">
        <v>24</v>
      </c>
      <c r="C43" s="1292">
        <v>15456</v>
      </c>
      <c r="D43" s="1293">
        <v>21404</v>
      </c>
      <c r="E43" s="1293">
        <v>24546</v>
      </c>
      <c r="F43" s="1293">
        <v>30147</v>
      </c>
      <c r="G43" s="1293">
        <v>33866</v>
      </c>
      <c r="H43" s="1293">
        <v>44123</v>
      </c>
      <c r="I43" s="1293">
        <v>23587</v>
      </c>
      <c r="J43" s="1293">
        <v>28992</v>
      </c>
      <c r="K43" s="1294">
        <v>36546</v>
      </c>
      <c r="L43" s="1295">
        <v>29895</v>
      </c>
      <c r="M43" s="1276">
        <v>24</v>
      </c>
      <c r="N43" s="1296">
        <v>14154.166666666666</v>
      </c>
      <c r="O43" s="1297">
        <v>19987.5</v>
      </c>
      <c r="P43" s="1297">
        <v>23320.833333333332</v>
      </c>
      <c r="Q43" s="1297">
        <v>26904.166666666668</v>
      </c>
      <c r="R43" s="1297">
        <v>31104.166666666668</v>
      </c>
      <c r="S43" s="1297">
        <v>47445.833333333336</v>
      </c>
      <c r="T43" s="1297">
        <v>27629.166666666668</v>
      </c>
      <c r="U43" s="1297">
        <v>30129.166666666668</v>
      </c>
      <c r="V43" s="1298">
        <v>25391.666666666668</v>
      </c>
      <c r="W43" s="1276">
        <v>24</v>
      </c>
      <c r="X43" s="1299">
        <v>12697.166666666666</v>
      </c>
      <c r="Y43" s="1297">
        <v>18903.833333333332</v>
      </c>
      <c r="Z43" s="1297">
        <v>23442.5</v>
      </c>
      <c r="AA43" s="1297">
        <v>27958.5</v>
      </c>
      <c r="AB43" s="1297">
        <v>33448.722222222226</v>
      </c>
      <c r="AC43" s="1297">
        <v>51101.166666666664</v>
      </c>
      <c r="AD43" s="1297">
        <v>26326.5</v>
      </c>
      <c r="AE43" s="1297">
        <v>29743.833333333332</v>
      </c>
      <c r="AF43" s="1300">
        <v>25420</v>
      </c>
    </row>
    <row r="44" ht="16.5" customHeight="1" spans="1:32" s="1290" customFormat="1" x14ac:dyDescent="0.25">
      <c r="A44" s="1291" t="s">
        <v>579</v>
      </c>
      <c r="B44" s="1276">
        <v>30</v>
      </c>
      <c r="C44" s="1292">
        <v>15728</v>
      </c>
      <c r="D44" s="1292">
        <v>21619</v>
      </c>
      <c r="E44" s="1292">
        <v>24731</v>
      </c>
      <c r="F44" s="1292">
        <v>30279</v>
      </c>
      <c r="G44" s="1292">
        <v>33963</v>
      </c>
      <c r="H44" s="1292">
        <v>44122</v>
      </c>
      <c r="I44" s="1292">
        <v>23781</v>
      </c>
      <c r="J44" s="1292">
        <v>29135</v>
      </c>
      <c r="K44" s="1292">
        <v>36617</v>
      </c>
      <c r="L44" s="1292">
        <v>29648</v>
      </c>
      <c r="M44" s="1276">
        <v>30</v>
      </c>
      <c r="N44" s="1296">
        <v>14895.138888888889</v>
      </c>
      <c r="O44" s="1297">
        <v>20728.472222222223</v>
      </c>
      <c r="P44" s="1297">
        <v>24061.805555555555</v>
      </c>
      <c r="Q44" s="1297">
        <v>27645.13888888889</v>
      </c>
      <c r="R44" s="1297">
        <v>31845.13888888889</v>
      </c>
      <c r="S44" s="1297">
        <v>48186.80555555556</v>
      </c>
      <c r="T44" s="1297">
        <v>28370.13888888889</v>
      </c>
      <c r="U44" s="1297">
        <v>30870.13888888889</v>
      </c>
      <c r="V44" s="1298">
        <v>25620.833333333336</v>
      </c>
      <c r="W44" s="1276">
        <v>30</v>
      </c>
      <c r="X44" s="1299">
        <v>13438.138888888889</v>
      </c>
      <c r="Y44" s="1297">
        <v>19644.805555555555</v>
      </c>
      <c r="Z44" s="1297">
        <v>24183.472222222223</v>
      </c>
      <c r="AA44" s="1297">
        <v>28699.472222222223</v>
      </c>
      <c r="AB44" s="1297">
        <v>34189.694444444445</v>
      </c>
      <c r="AC44" s="1297">
        <v>51842.13888888889</v>
      </c>
      <c r="AD44" s="1297">
        <v>27067.472222222223</v>
      </c>
      <c r="AE44" s="1297">
        <v>30484.805555555555</v>
      </c>
      <c r="AF44" s="1300">
        <v>25649.166666666664</v>
      </c>
    </row>
    <row r="45" ht="16.5" customHeight="1" spans="1:32" s="1290" customFormat="1" x14ac:dyDescent="0.25">
      <c r="A45" s="1291" t="s">
        <v>579</v>
      </c>
      <c r="B45" s="1276">
        <v>36</v>
      </c>
      <c r="C45" s="1292">
        <v>15909</v>
      </c>
      <c r="D45" s="1293">
        <v>21763</v>
      </c>
      <c r="E45" s="1293">
        <v>24854</v>
      </c>
      <c r="F45" s="1293">
        <v>30367</v>
      </c>
      <c r="G45" s="1293">
        <v>34027</v>
      </c>
      <c r="H45" s="1293">
        <v>44121</v>
      </c>
      <c r="I45" s="1293">
        <v>23911</v>
      </c>
      <c r="J45" s="1293">
        <v>29231</v>
      </c>
      <c r="K45" s="1294">
        <v>36664</v>
      </c>
      <c r="L45" s="1295">
        <v>29484</v>
      </c>
      <c r="M45" s="1276">
        <v>36</v>
      </c>
      <c r="N45" s="1296">
        <v>15636.111111111111</v>
      </c>
      <c r="O45" s="1297">
        <v>21469.444444444445</v>
      </c>
      <c r="P45" s="1297">
        <v>24802.777777777777</v>
      </c>
      <c r="Q45" s="1297">
        <v>28386.11111111111</v>
      </c>
      <c r="R45" s="1297">
        <v>32586.11111111111</v>
      </c>
      <c r="S45" s="1297">
        <v>48927.77777777778</v>
      </c>
      <c r="T45" s="1297">
        <v>29111.11111111111</v>
      </c>
      <c r="U45" s="1297">
        <v>31611.11111111111</v>
      </c>
      <c r="V45" s="1298">
        <v>25850</v>
      </c>
      <c r="W45" s="1276">
        <v>36</v>
      </c>
      <c r="X45" s="1299">
        <v>14179.111111111111</v>
      </c>
      <c r="Y45" s="1297">
        <v>20385.777777777777</v>
      </c>
      <c r="Z45" s="1297">
        <v>24924.444444444445</v>
      </c>
      <c r="AA45" s="1297">
        <v>29440.444444444445</v>
      </c>
      <c r="AB45" s="1297">
        <v>34930.666666666664</v>
      </c>
      <c r="AC45" s="1297">
        <v>52583.11111111111</v>
      </c>
      <c r="AD45" s="1297">
        <v>27808.444444444445</v>
      </c>
      <c r="AE45" s="1297">
        <v>31225.777777777777</v>
      </c>
      <c r="AF45" s="1300">
        <v>25878.333333333332</v>
      </c>
    </row>
    <row r="46" ht="16.5" customHeight="1" spans="1:32" s="1290" customFormat="1" x14ac:dyDescent="0.25">
      <c r="A46" s="1291" t="s">
        <v>579</v>
      </c>
      <c r="B46" s="1276">
        <v>42</v>
      </c>
      <c r="C46" s="1292">
        <v>16038</v>
      </c>
      <c r="D46" s="1292">
        <v>21865</v>
      </c>
      <c r="E46" s="1292">
        <v>24943</v>
      </c>
      <c r="F46" s="1292">
        <v>30430</v>
      </c>
      <c r="G46" s="1292">
        <v>34073</v>
      </c>
      <c r="H46" s="1292">
        <v>44120</v>
      </c>
      <c r="I46" s="1292">
        <v>24004</v>
      </c>
      <c r="J46" s="1292">
        <v>29299</v>
      </c>
      <c r="K46" s="1292">
        <v>36698</v>
      </c>
      <c r="L46" s="1292">
        <v>29367</v>
      </c>
      <c r="M46" s="1276">
        <v>42</v>
      </c>
      <c r="N46" s="1296">
        <v>16006.597222222223</v>
      </c>
      <c r="O46" s="1297">
        <v>21839.930555555555</v>
      </c>
      <c r="P46" s="1297">
        <v>25173.26388888889</v>
      </c>
      <c r="Q46" s="1297">
        <v>28756.59722222222</v>
      </c>
      <c r="R46" s="1297">
        <v>32956.59722222222</v>
      </c>
      <c r="S46" s="1297">
        <v>49298.26388888889</v>
      </c>
      <c r="T46" s="1297">
        <v>29481.59722222222</v>
      </c>
      <c r="U46" s="1297">
        <v>31981.59722222222</v>
      </c>
      <c r="V46" s="1298">
        <v>25964.583333333336</v>
      </c>
      <c r="W46" s="1276">
        <v>42</v>
      </c>
      <c r="X46" s="1299">
        <v>14549.597222222223</v>
      </c>
      <c r="Y46" s="1297">
        <v>20756.26388888889</v>
      </c>
      <c r="Z46" s="1297">
        <v>25294.930555555555</v>
      </c>
      <c r="AA46" s="1297">
        <v>29810.930555555555</v>
      </c>
      <c r="AB46" s="1297">
        <v>35301.15277777778</v>
      </c>
      <c r="AC46" s="1297">
        <v>52953.59722222222</v>
      </c>
      <c r="AD46" s="1297">
        <v>28178.930555555555</v>
      </c>
      <c r="AE46" s="1297">
        <v>31596.26388888889</v>
      </c>
      <c r="AF46" s="1300">
        <v>25992.916666666664</v>
      </c>
    </row>
    <row r="47" ht="16.5" customHeight="1" spans="1:32" s="1290" customFormat="1" x14ac:dyDescent="0.25">
      <c r="A47" s="1291" t="s">
        <v>579</v>
      </c>
      <c r="B47" s="1276">
        <v>48</v>
      </c>
      <c r="C47" s="1292">
        <v>16135</v>
      </c>
      <c r="D47" s="1293">
        <v>21942</v>
      </c>
      <c r="E47" s="1293">
        <v>25009</v>
      </c>
      <c r="F47" s="1293">
        <v>30477</v>
      </c>
      <c r="G47" s="1293">
        <v>34108</v>
      </c>
      <c r="H47" s="1293">
        <v>44120</v>
      </c>
      <c r="I47" s="1293">
        <v>24073</v>
      </c>
      <c r="J47" s="1293">
        <v>29350</v>
      </c>
      <c r="K47" s="1294">
        <v>36724</v>
      </c>
      <c r="L47" s="1295">
        <v>29279</v>
      </c>
      <c r="M47" s="1276">
        <v>48</v>
      </c>
      <c r="N47" s="1296">
        <v>16377.083333333334</v>
      </c>
      <c r="O47" s="1297">
        <v>22210.416666666668</v>
      </c>
      <c r="P47" s="1297">
        <v>25543.75</v>
      </c>
      <c r="Q47" s="1297">
        <v>29127.083333333332</v>
      </c>
      <c r="R47" s="1297">
        <v>33327.083333333336</v>
      </c>
      <c r="S47" s="1297">
        <v>49668.75</v>
      </c>
      <c r="T47" s="1297">
        <v>29852.083333333332</v>
      </c>
      <c r="U47" s="1297">
        <v>32352.083333333332</v>
      </c>
      <c r="V47" s="1298">
        <v>26079.166666666668</v>
      </c>
      <c r="W47" s="1276">
        <v>48</v>
      </c>
      <c r="X47" s="1299">
        <v>14920.083333333334</v>
      </c>
      <c r="Y47" s="1297">
        <v>21126.75</v>
      </c>
      <c r="Z47" s="1297">
        <v>25665.416666666668</v>
      </c>
      <c r="AA47" s="1297">
        <v>30181.416666666668</v>
      </c>
      <c r="AB47" s="1297">
        <v>35671.63888888889</v>
      </c>
      <c r="AC47" s="1297">
        <v>53324.083333333336</v>
      </c>
      <c r="AD47" s="1297">
        <v>28549.416666666668</v>
      </c>
      <c r="AE47" s="1297">
        <v>31966.75</v>
      </c>
      <c r="AF47" s="1300">
        <v>26107.5</v>
      </c>
    </row>
    <row r="48" ht="16.5" customHeight="1" spans="1:32" s="1290" customFormat="1" x14ac:dyDescent="0.25">
      <c r="A48" s="1291" t="s">
        <v>579</v>
      </c>
      <c r="B48" s="1276">
        <v>54</v>
      </c>
      <c r="C48" s="1292">
        <v>16176</v>
      </c>
      <c r="D48" s="1293">
        <v>21952</v>
      </c>
      <c r="E48" s="1293">
        <v>25002</v>
      </c>
      <c r="F48" s="1293">
        <v>30441</v>
      </c>
      <c r="G48" s="1293">
        <v>34052</v>
      </c>
      <c r="H48" s="1293">
        <v>44011</v>
      </c>
      <c r="I48" s="1293">
        <v>24071</v>
      </c>
      <c r="J48" s="1293">
        <v>29320</v>
      </c>
      <c r="K48" s="1294">
        <v>36654</v>
      </c>
      <c r="L48" s="1295">
        <v>29143</v>
      </c>
      <c r="M48" s="1276">
        <v>54</v>
      </c>
      <c r="N48" s="1296">
        <v>16599.375</v>
      </c>
      <c r="O48" s="1297">
        <v>22432.708333333336</v>
      </c>
      <c r="P48" s="1297">
        <v>25766.041666666664</v>
      </c>
      <c r="Q48" s="1297">
        <v>29349.375</v>
      </c>
      <c r="R48" s="1297">
        <v>33549.375</v>
      </c>
      <c r="S48" s="1297">
        <v>49891.04166666667</v>
      </c>
      <c r="T48" s="1297">
        <v>30074.375</v>
      </c>
      <c r="U48" s="1297">
        <v>32574.375</v>
      </c>
      <c r="V48" s="1298">
        <v>26147.916666666668</v>
      </c>
      <c r="W48" s="1276">
        <v>54</v>
      </c>
      <c r="X48" s="1299">
        <v>15142.375</v>
      </c>
      <c r="Y48" s="1297">
        <v>21349.041666666664</v>
      </c>
      <c r="Z48" s="1297">
        <v>25887.708333333336</v>
      </c>
      <c r="AA48" s="1297">
        <v>30403.708333333336</v>
      </c>
      <c r="AB48" s="1297">
        <v>35893.93055555556</v>
      </c>
      <c r="AC48" s="1297">
        <v>53546.375</v>
      </c>
      <c r="AD48" s="1297">
        <v>28771.708333333336</v>
      </c>
      <c r="AE48" s="1297">
        <v>32189.041666666664</v>
      </c>
      <c r="AF48" s="1300">
        <v>26176.25</v>
      </c>
    </row>
    <row r="49" ht="16.5" customHeight="1" spans="1:32" s="1290" customFormat="1" x14ac:dyDescent="0.25">
      <c r="A49" s="1291" t="s">
        <v>579</v>
      </c>
      <c r="B49" s="1276">
        <v>60</v>
      </c>
      <c r="C49" s="1292">
        <v>16178</v>
      </c>
      <c r="D49" s="1293">
        <v>21915</v>
      </c>
      <c r="E49" s="1293">
        <v>24946</v>
      </c>
      <c r="F49" s="1293">
        <v>30349</v>
      </c>
      <c r="G49" s="1293">
        <v>33936</v>
      </c>
      <c r="H49" s="1293">
        <v>43828</v>
      </c>
      <c r="I49" s="1293">
        <v>24021</v>
      </c>
      <c r="J49" s="1293">
        <v>29235</v>
      </c>
      <c r="K49" s="1294">
        <v>36520</v>
      </c>
      <c r="L49" s="1295">
        <v>28976</v>
      </c>
      <c r="M49" s="1276">
        <v>60</v>
      </c>
      <c r="N49" s="1296">
        <v>16821.666666666668</v>
      </c>
      <c r="O49" s="1297">
        <v>22655</v>
      </c>
      <c r="P49" s="1297">
        <v>25988.333333333332</v>
      </c>
      <c r="Q49" s="1297">
        <v>29571.666666666668</v>
      </c>
      <c r="R49" s="1297">
        <v>33771.666666666664</v>
      </c>
      <c r="S49" s="1297">
        <v>50113.333333333336</v>
      </c>
      <c r="T49" s="1297">
        <v>30296.666666666668</v>
      </c>
      <c r="U49" s="1297">
        <v>32796.666666666664</v>
      </c>
      <c r="V49" s="1298">
        <v>26216.666666666668</v>
      </c>
      <c r="W49" s="1276">
        <v>60</v>
      </c>
      <c r="X49" s="1299">
        <v>15364.666666666666</v>
      </c>
      <c r="Y49" s="1297">
        <v>21571.333333333332</v>
      </c>
      <c r="Z49" s="1297">
        <v>26110</v>
      </c>
      <c r="AA49" s="1297">
        <v>30626</v>
      </c>
      <c r="AB49" s="1297">
        <v>36116.222222222226</v>
      </c>
      <c r="AC49" s="1297">
        <v>53768.666666666664</v>
      </c>
      <c r="AD49" s="1297">
        <v>28994</v>
      </c>
      <c r="AE49" s="1297">
        <v>32411.333333333332</v>
      </c>
      <c r="AF49" s="1300">
        <v>26245</v>
      </c>
    </row>
    <row r="50" ht="16.5" customHeight="1" spans="1:32" s="1274" customFormat="1" x14ac:dyDescent="0.25">
      <c r="A50" s="1301" t="s">
        <v>580</v>
      </c>
      <c r="B50" s="1283">
        <v>24</v>
      </c>
      <c r="C50" s="1286">
        <v>16801</v>
      </c>
      <c r="D50" s="1287">
        <v>23344</v>
      </c>
      <c r="E50" s="1287">
        <v>26800</v>
      </c>
      <c r="F50" s="1287">
        <v>32962</v>
      </c>
      <c r="G50" s="1287">
        <v>37053</v>
      </c>
      <c r="H50" s="1287">
        <v>48335</v>
      </c>
      <c r="I50" s="1287">
        <v>25746</v>
      </c>
      <c r="J50" s="1287">
        <v>31692</v>
      </c>
      <c r="K50" s="1288">
        <v>40001</v>
      </c>
      <c r="L50" s="1289">
        <v>32485</v>
      </c>
      <c r="M50" s="1283">
        <v>24</v>
      </c>
      <c r="N50" s="1281">
        <v>14861.875</v>
      </c>
      <c r="O50" s="1282">
        <v>20986.875</v>
      </c>
      <c r="P50" s="1282">
        <v>24486.875</v>
      </c>
      <c r="Q50" s="1282">
        <v>28249.375000000004</v>
      </c>
      <c r="R50" s="1282">
        <v>32659.375000000004</v>
      </c>
      <c r="S50" s="1282">
        <v>49818.12500000001</v>
      </c>
      <c r="T50" s="1282">
        <v>29010.625000000004</v>
      </c>
      <c r="U50" s="1282">
        <v>31635.625000000004</v>
      </c>
      <c r="V50" s="1283">
        <v>26661.250000000004</v>
      </c>
      <c r="W50" s="1283">
        <v>24</v>
      </c>
      <c r="X50" s="1284">
        <v>13332.025</v>
      </c>
      <c r="Y50" s="1282">
        <v>19849.024999999998</v>
      </c>
      <c r="Z50" s="1282">
        <v>24614.625</v>
      </c>
      <c r="AA50" s="1282">
        <v>29356.425000000003</v>
      </c>
      <c r="AB50" s="1282">
        <v>35121.15833333334</v>
      </c>
      <c r="AC50" s="1282">
        <v>53656.225</v>
      </c>
      <c r="AD50" s="1282">
        <v>27642.825</v>
      </c>
      <c r="AE50" s="1282">
        <v>31231.025</v>
      </c>
      <c r="AF50" s="1285">
        <v>26691</v>
      </c>
    </row>
    <row r="51" ht="16.5" customHeight="1" spans="1:32" s="1274" customFormat="1" x14ac:dyDescent="0.25">
      <c r="A51" s="1301" t="s">
        <v>580</v>
      </c>
      <c r="B51" s="1283">
        <v>30</v>
      </c>
      <c r="C51" s="1286">
        <v>17060</v>
      </c>
      <c r="D51" s="1287">
        <v>23541</v>
      </c>
      <c r="E51" s="1287">
        <v>26964</v>
      </c>
      <c r="F51" s="1287">
        <v>33067</v>
      </c>
      <c r="G51" s="1287">
        <v>37119</v>
      </c>
      <c r="H51" s="1287">
        <v>48294</v>
      </c>
      <c r="I51" s="1287">
        <v>25919</v>
      </c>
      <c r="J51" s="1287">
        <v>31809</v>
      </c>
      <c r="K51" s="1288">
        <v>40039</v>
      </c>
      <c r="L51" s="1289">
        <v>32213</v>
      </c>
      <c r="M51" s="1283">
        <v>30</v>
      </c>
      <c r="N51" s="1281">
        <v>15639.895833333334</v>
      </c>
      <c r="O51" s="1282">
        <v>21764.895833333336</v>
      </c>
      <c r="P51" s="1282">
        <v>25264.895833333332</v>
      </c>
      <c r="Q51" s="1282">
        <v>29027.395833333336</v>
      </c>
      <c r="R51" s="1282">
        <v>33437.395833333336</v>
      </c>
      <c r="S51" s="1282">
        <v>50596.14583333334</v>
      </c>
      <c r="T51" s="1282">
        <v>29788.645833333336</v>
      </c>
      <c r="U51" s="1282">
        <v>32413.645833333336</v>
      </c>
      <c r="V51" s="1283">
        <v>26901.875000000004</v>
      </c>
      <c r="W51" s="1283">
        <v>30</v>
      </c>
      <c r="X51" s="1284">
        <v>14110.045833333334</v>
      </c>
      <c r="Y51" s="1282">
        <v>20627.045833333334</v>
      </c>
      <c r="Z51" s="1282">
        <v>25392.645833333336</v>
      </c>
      <c r="AA51" s="1282">
        <v>30134.445833333335</v>
      </c>
      <c r="AB51" s="1282">
        <v>35899.17916666667</v>
      </c>
      <c r="AC51" s="1282">
        <v>54434.245833333334</v>
      </c>
      <c r="AD51" s="1282">
        <v>28420.845833333336</v>
      </c>
      <c r="AE51" s="1282">
        <v>32009.045833333334</v>
      </c>
      <c r="AF51" s="1285">
        <v>26931.625</v>
      </c>
    </row>
    <row r="52" ht="16.5" customHeight="1" spans="1:32" s="1274" customFormat="1" x14ac:dyDescent="0.25">
      <c r="A52" s="1301" t="s">
        <v>580</v>
      </c>
      <c r="B52" s="1283">
        <v>36</v>
      </c>
      <c r="C52" s="1286">
        <v>17233</v>
      </c>
      <c r="D52" s="1287">
        <v>23672</v>
      </c>
      <c r="E52" s="1287">
        <v>27073</v>
      </c>
      <c r="F52" s="1287">
        <v>33137</v>
      </c>
      <c r="G52" s="1287">
        <v>37163</v>
      </c>
      <c r="H52" s="1287">
        <v>48266</v>
      </c>
      <c r="I52" s="1287">
        <v>26035</v>
      </c>
      <c r="J52" s="1287">
        <v>31887</v>
      </c>
      <c r="K52" s="1288">
        <v>40064</v>
      </c>
      <c r="L52" s="1289">
        <v>32032</v>
      </c>
      <c r="M52" s="1283">
        <v>36</v>
      </c>
      <c r="N52" s="1281">
        <v>16417.916666666668</v>
      </c>
      <c r="O52" s="1282">
        <v>22542.916666666668</v>
      </c>
      <c r="P52" s="1282">
        <v>26042.916666666668</v>
      </c>
      <c r="Q52" s="1282">
        <v>29805.416666666668</v>
      </c>
      <c r="R52" s="1282">
        <v>34215.416666666664</v>
      </c>
      <c r="S52" s="1282">
        <v>51374.16666666667</v>
      </c>
      <c r="T52" s="1282">
        <v>30566.666666666668</v>
      </c>
      <c r="U52" s="1282">
        <v>33191.666666666664</v>
      </c>
      <c r="V52" s="1283">
        <v>27142.5</v>
      </c>
      <c r="W52" s="1283">
        <v>36</v>
      </c>
      <c r="X52" s="1284">
        <v>14888.066666666668</v>
      </c>
      <c r="Y52" s="1282">
        <v>21405.066666666666</v>
      </c>
      <c r="Z52" s="1282">
        <v>26170.666666666668</v>
      </c>
      <c r="AA52" s="1282">
        <v>30912.466666666667</v>
      </c>
      <c r="AB52" s="1282">
        <v>36677.2</v>
      </c>
      <c r="AC52" s="1282">
        <v>55212.26666666667</v>
      </c>
      <c r="AD52" s="1282">
        <v>29198.86666666667</v>
      </c>
      <c r="AE52" s="1282">
        <v>32787.066666666666</v>
      </c>
      <c r="AF52" s="1285">
        <v>27172.25</v>
      </c>
    </row>
    <row r="53" ht="16.5" customHeight="1" spans="1:32" s="1274" customFormat="1" x14ac:dyDescent="0.25">
      <c r="A53" s="1301" t="s">
        <v>580</v>
      </c>
      <c r="B53" s="1283">
        <v>42</v>
      </c>
      <c r="C53" s="1286">
        <v>17356</v>
      </c>
      <c r="D53" s="1287">
        <v>23766</v>
      </c>
      <c r="E53" s="1287">
        <v>27151</v>
      </c>
      <c r="F53" s="1287">
        <v>33187</v>
      </c>
      <c r="G53" s="1287">
        <v>37195</v>
      </c>
      <c r="H53" s="1287">
        <v>48247</v>
      </c>
      <c r="I53" s="1287">
        <v>26118</v>
      </c>
      <c r="J53" s="1287">
        <v>31943</v>
      </c>
      <c r="K53" s="1288">
        <v>40082</v>
      </c>
      <c r="L53" s="1289">
        <v>31903</v>
      </c>
      <c r="M53" s="1283">
        <v>42</v>
      </c>
      <c r="N53" s="1281">
        <v>16806.927083333336</v>
      </c>
      <c r="O53" s="1282">
        <v>22931.927083333332</v>
      </c>
      <c r="P53" s="1282">
        <v>26431.927083333336</v>
      </c>
      <c r="Q53" s="1282">
        <v>30194.427083333332</v>
      </c>
      <c r="R53" s="1282">
        <v>34604.42708333333</v>
      </c>
      <c r="S53" s="1282">
        <v>51763.177083333336</v>
      </c>
      <c r="T53" s="1282">
        <v>30955.677083333332</v>
      </c>
      <c r="U53" s="1282">
        <v>33580.67708333333</v>
      </c>
      <c r="V53" s="1283">
        <v>27262.812500000004</v>
      </c>
      <c r="W53" s="1283">
        <v>42</v>
      </c>
      <c r="X53" s="1284">
        <v>15277.077083333334</v>
      </c>
      <c r="Y53" s="1282">
        <v>21794.077083333337</v>
      </c>
      <c r="Z53" s="1282">
        <v>26559.677083333332</v>
      </c>
      <c r="AA53" s="1282">
        <v>31301.477083333335</v>
      </c>
      <c r="AB53" s="1282">
        <v>37066.21041666667</v>
      </c>
      <c r="AC53" s="1282">
        <v>55601.277083333334</v>
      </c>
      <c r="AD53" s="1282">
        <v>29587.877083333333</v>
      </c>
      <c r="AE53" s="1282">
        <v>33176.07708333334</v>
      </c>
      <c r="AF53" s="1285">
        <v>27292.5625</v>
      </c>
    </row>
    <row r="54" ht="16.5" customHeight="1" spans="1:32" s="1274" customFormat="1" x14ac:dyDescent="0.25">
      <c r="A54" s="1301" t="s">
        <v>580</v>
      </c>
      <c r="B54" s="1283">
        <v>48</v>
      </c>
      <c r="C54" s="1286">
        <v>17449</v>
      </c>
      <c r="D54" s="1287">
        <v>23836</v>
      </c>
      <c r="E54" s="1287">
        <v>27210</v>
      </c>
      <c r="F54" s="1287">
        <v>33225</v>
      </c>
      <c r="G54" s="1287">
        <v>37218</v>
      </c>
      <c r="H54" s="1287">
        <v>48232</v>
      </c>
      <c r="I54" s="1287">
        <v>26180</v>
      </c>
      <c r="J54" s="1287">
        <v>31985</v>
      </c>
      <c r="K54" s="1288">
        <v>40096</v>
      </c>
      <c r="L54" s="1289">
        <v>31806</v>
      </c>
      <c r="M54" s="1283">
        <v>48</v>
      </c>
      <c r="N54" s="1281">
        <v>17195.9375</v>
      </c>
      <c r="O54" s="1282">
        <v>23320.937500000004</v>
      </c>
      <c r="P54" s="1282">
        <v>26820.9375</v>
      </c>
      <c r="Q54" s="1282">
        <v>30583.4375</v>
      </c>
      <c r="R54" s="1282">
        <v>34993.43750000001</v>
      </c>
      <c r="S54" s="1282">
        <v>52152.1875</v>
      </c>
      <c r="T54" s="1282">
        <v>31344.6875</v>
      </c>
      <c r="U54" s="1282">
        <v>33969.6875</v>
      </c>
      <c r="V54" s="1283">
        <v>27383.125000000004</v>
      </c>
      <c r="W54" s="1283">
        <v>48</v>
      </c>
      <c r="X54" s="1284">
        <v>15666.087500000001</v>
      </c>
      <c r="Y54" s="1282">
        <v>22183.0875</v>
      </c>
      <c r="Z54" s="1282">
        <v>26948.687500000004</v>
      </c>
      <c r="AA54" s="1282">
        <v>31690.487500000003</v>
      </c>
      <c r="AB54" s="1282">
        <v>37455.22083333334</v>
      </c>
      <c r="AC54" s="1282">
        <v>55990.287500000006</v>
      </c>
      <c r="AD54" s="1282">
        <v>29976.8875</v>
      </c>
      <c r="AE54" s="1282">
        <v>33565.0875</v>
      </c>
      <c r="AF54" s="1285">
        <v>27412.875</v>
      </c>
    </row>
    <row r="55" ht="16.5" customHeight="1" spans="1:32" s="1274" customFormat="1" x14ac:dyDescent="0.25">
      <c r="A55" s="1301" t="s">
        <v>580</v>
      </c>
      <c r="B55" s="1283">
        <v>54</v>
      </c>
      <c r="C55" s="1286">
        <v>17483</v>
      </c>
      <c r="D55" s="1287">
        <v>23836</v>
      </c>
      <c r="E55" s="1287">
        <v>27191</v>
      </c>
      <c r="F55" s="1287">
        <v>33174</v>
      </c>
      <c r="G55" s="1287">
        <v>37146</v>
      </c>
      <c r="H55" s="1287">
        <v>48101</v>
      </c>
      <c r="I55" s="1287">
        <v>26167</v>
      </c>
      <c r="J55" s="1287">
        <v>31941</v>
      </c>
      <c r="K55" s="1288">
        <v>40008</v>
      </c>
      <c r="L55" s="1289">
        <v>31658</v>
      </c>
      <c r="M55" s="1283">
        <v>54</v>
      </c>
      <c r="N55" s="1281">
        <v>17429.34375</v>
      </c>
      <c r="O55" s="1282">
        <v>23554.343750000004</v>
      </c>
      <c r="P55" s="1282">
        <v>27054.34375</v>
      </c>
      <c r="Q55" s="1282">
        <v>30816.84375</v>
      </c>
      <c r="R55" s="1282">
        <v>35226.84375</v>
      </c>
      <c r="S55" s="1282">
        <v>52385.59375000001</v>
      </c>
      <c r="T55" s="1282">
        <v>31578.09375</v>
      </c>
      <c r="U55" s="1282">
        <v>34203.09375</v>
      </c>
      <c r="V55" s="1283">
        <v>27455.312500000004</v>
      </c>
      <c r="W55" s="1283">
        <v>54</v>
      </c>
      <c r="X55" s="1284">
        <v>15899.493750000001</v>
      </c>
      <c r="Y55" s="1282">
        <v>22416.493749999998</v>
      </c>
      <c r="Z55" s="1282">
        <v>27182.093750000004</v>
      </c>
      <c r="AA55" s="1282">
        <v>31923.893750000003</v>
      </c>
      <c r="AB55" s="1282">
        <v>37688.62708333334</v>
      </c>
      <c r="AC55" s="1282">
        <v>56223.693750000006</v>
      </c>
      <c r="AD55" s="1282">
        <v>30210.293750000004</v>
      </c>
      <c r="AE55" s="1282">
        <v>33798.49375</v>
      </c>
      <c r="AF55" s="1285">
        <v>27485.0625</v>
      </c>
    </row>
    <row r="56" ht="16.5" customHeight="1" spans="1:32" s="1274" customFormat="1" x14ac:dyDescent="0.25">
      <c r="A56" s="1301" t="s">
        <v>580</v>
      </c>
      <c r="B56" s="1283">
        <v>60</v>
      </c>
      <c r="C56" s="1286">
        <v>17476</v>
      </c>
      <c r="D56" s="1287">
        <v>23787</v>
      </c>
      <c r="E56" s="1287">
        <v>27120</v>
      </c>
      <c r="F56" s="1287">
        <v>33063</v>
      </c>
      <c r="G56" s="1287">
        <v>37009</v>
      </c>
      <c r="H56" s="1287">
        <v>47891</v>
      </c>
      <c r="I56" s="1287">
        <v>26103</v>
      </c>
      <c r="J56" s="1287">
        <v>31838</v>
      </c>
      <c r="K56" s="1288">
        <v>39852</v>
      </c>
      <c r="L56" s="1289">
        <v>31474</v>
      </c>
      <c r="M56" s="1283">
        <v>60</v>
      </c>
      <c r="N56" s="1281">
        <v>17662.750000000004</v>
      </c>
      <c r="O56" s="1282">
        <v>23787.75</v>
      </c>
      <c r="P56" s="1282">
        <v>27287.75</v>
      </c>
      <c r="Q56" s="1282">
        <v>31050.250000000004</v>
      </c>
      <c r="R56" s="1282">
        <v>35460.25</v>
      </c>
      <c r="S56" s="1282">
        <v>52619.00000000001</v>
      </c>
      <c r="T56" s="1282">
        <v>31811.500000000004</v>
      </c>
      <c r="U56" s="1282">
        <v>34436.5</v>
      </c>
      <c r="V56" s="1283">
        <v>27527.500000000004</v>
      </c>
      <c r="W56" s="1283">
        <v>60</v>
      </c>
      <c r="X56" s="1284">
        <v>16132.9</v>
      </c>
      <c r="Y56" s="1282">
        <v>22649.9</v>
      </c>
      <c r="Z56" s="1282">
        <v>27415.5</v>
      </c>
      <c r="AA56" s="1282">
        <v>32157.300000000003</v>
      </c>
      <c r="AB56" s="1282">
        <v>37922.03333333334</v>
      </c>
      <c r="AC56" s="1282">
        <v>56457.1</v>
      </c>
      <c r="AD56" s="1282">
        <v>30443.7</v>
      </c>
      <c r="AE56" s="1282">
        <v>34031.9</v>
      </c>
      <c r="AF56" s="1285">
        <v>27557.25</v>
      </c>
    </row>
    <row r="57" ht="17.5" customHeight="1" spans="1:32" s="1168" customFormat="1" x14ac:dyDescent="0.25">
      <c r="A57" s="1245" t="s">
        <v>581</v>
      </c>
      <c r="B57" s="1256">
        <v>24</v>
      </c>
      <c r="C57" s="1270">
        <v>21242</v>
      </c>
      <c r="D57" s="1271">
        <v>29748</v>
      </c>
      <c r="E57" s="1271">
        <v>34240</v>
      </c>
      <c r="F57" s="1271">
        <v>42251</v>
      </c>
      <c r="G57" s="1271">
        <v>47569</v>
      </c>
      <c r="H57" s="1271">
        <v>62236</v>
      </c>
      <c r="I57" s="1271">
        <v>32869</v>
      </c>
      <c r="J57" s="1271">
        <v>40599</v>
      </c>
      <c r="K57" s="1272">
        <v>51401</v>
      </c>
      <c r="L57" s="1273">
        <v>41030</v>
      </c>
      <c r="M57" s="1256">
        <v>24</v>
      </c>
      <c r="N57" s="1255">
        <v>16348.062500000002</v>
      </c>
      <c r="O57" s="1134">
        <v>23085.562500000004</v>
      </c>
      <c r="P57" s="1134">
        <v>26935.562500000004</v>
      </c>
      <c r="Q57" s="1134">
        <v>31074.312500000007</v>
      </c>
      <c r="R57" s="1134">
        <v>35925.31250000001</v>
      </c>
      <c r="S57" s="1134">
        <v>54799.937500000015</v>
      </c>
      <c r="T57" s="1134">
        <v>31911.687500000007</v>
      </c>
      <c r="U57" s="1134">
        <v>34799.18750000001</v>
      </c>
      <c r="V57" s="1256">
        <v>29327.375000000007</v>
      </c>
      <c r="W57" s="1256">
        <v>24</v>
      </c>
      <c r="X57" s="1251">
        <v>14665.2275</v>
      </c>
      <c r="Y57" s="1134">
        <v>21833.927499999998</v>
      </c>
      <c r="Z57" s="1134">
        <v>27076.0875</v>
      </c>
      <c r="AA57" s="1134">
        <v>32292.067500000005</v>
      </c>
      <c r="AB57" s="1134">
        <v>38633.27416666668</v>
      </c>
      <c r="AC57" s="1134">
        <v>59021.8475</v>
      </c>
      <c r="AD57" s="1134">
        <v>30407.107500000002</v>
      </c>
      <c r="AE57" s="1134">
        <v>34354.1275</v>
      </c>
      <c r="AF57" s="1254">
        <v>29360.100000000002</v>
      </c>
    </row>
    <row r="58" ht="17.5" customHeight="1" spans="1:32" s="1168" customFormat="1" x14ac:dyDescent="0.25">
      <c r="A58" s="1245" t="s">
        <v>581</v>
      </c>
      <c r="B58" s="1256">
        <v>30</v>
      </c>
      <c r="C58" s="1270">
        <v>21458</v>
      </c>
      <c r="D58" s="1271">
        <v>29883</v>
      </c>
      <c r="E58" s="1271">
        <v>34333</v>
      </c>
      <c r="F58" s="1271">
        <v>42267</v>
      </c>
      <c r="G58" s="1271">
        <v>47535</v>
      </c>
      <c r="H58" s="1271">
        <v>62062</v>
      </c>
      <c r="I58" s="1271">
        <v>32975</v>
      </c>
      <c r="J58" s="1271">
        <v>40631</v>
      </c>
      <c r="K58" s="1272">
        <v>51330</v>
      </c>
      <c r="L58" s="1273">
        <v>40677</v>
      </c>
      <c r="M58" s="1256">
        <v>30</v>
      </c>
      <c r="N58" s="1255">
        <v>17203.885416666668</v>
      </c>
      <c r="O58" s="1134">
        <v>23941.38541666667</v>
      </c>
      <c r="P58" s="1134">
        <v>27791.385416666668</v>
      </c>
      <c r="Q58" s="1134">
        <v>31930.13541666667</v>
      </c>
      <c r="R58" s="1134">
        <v>36781.13541666667</v>
      </c>
      <c r="S58" s="1134">
        <v>55655.76041666668</v>
      </c>
      <c r="T58" s="1134">
        <v>32767.51041666667</v>
      </c>
      <c r="U58" s="1134">
        <v>35655.01041666667</v>
      </c>
      <c r="V58" s="1256">
        <v>29592.062500000007</v>
      </c>
      <c r="W58" s="1256">
        <v>30</v>
      </c>
      <c r="X58" s="1251">
        <v>15521.050416666669</v>
      </c>
      <c r="Y58" s="1134">
        <v>22689.75041666667</v>
      </c>
      <c r="Z58" s="1134">
        <v>27931.910416666673</v>
      </c>
      <c r="AA58" s="1134">
        <v>33147.89041666667</v>
      </c>
      <c r="AB58" s="1134">
        <v>39489.09708333334</v>
      </c>
      <c r="AC58" s="1134">
        <v>59877.670416666675</v>
      </c>
      <c r="AD58" s="1134">
        <v>31262.930416666673</v>
      </c>
      <c r="AE58" s="1134">
        <v>35209.95041666667</v>
      </c>
      <c r="AF58" s="1254">
        <v>29624.787500000002</v>
      </c>
    </row>
    <row r="59" ht="17.5" customHeight="1" spans="1:32" s="1168" customFormat="1" x14ac:dyDescent="0.25">
      <c r="A59" s="1245" t="s">
        <v>581</v>
      </c>
      <c r="B59" s="1256">
        <v>36</v>
      </c>
      <c r="C59" s="1270">
        <v>21603</v>
      </c>
      <c r="D59" s="1271">
        <v>29974</v>
      </c>
      <c r="E59" s="1271">
        <v>34395</v>
      </c>
      <c r="F59" s="1271">
        <v>42278</v>
      </c>
      <c r="G59" s="1271">
        <v>47512</v>
      </c>
      <c r="H59" s="1271">
        <v>61946</v>
      </c>
      <c r="I59" s="1271">
        <v>33046</v>
      </c>
      <c r="J59" s="1271">
        <v>40653</v>
      </c>
      <c r="K59" s="1272">
        <v>51283</v>
      </c>
      <c r="L59" s="1273">
        <v>40442</v>
      </c>
      <c r="M59" s="1256">
        <v>36</v>
      </c>
      <c r="N59" s="1255">
        <v>18059.708333333336</v>
      </c>
      <c r="O59" s="1134">
        <v>24797.208333333336</v>
      </c>
      <c r="P59" s="1134">
        <v>28647.208333333336</v>
      </c>
      <c r="Q59" s="1134">
        <v>32785.958333333336</v>
      </c>
      <c r="R59" s="1134">
        <v>37636.958333333336</v>
      </c>
      <c r="S59" s="1134">
        <v>56511.58333333334</v>
      </c>
      <c r="T59" s="1134">
        <v>33623.333333333336</v>
      </c>
      <c r="U59" s="1134">
        <v>36510.833333333336</v>
      </c>
      <c r="V59" s="1256">
        <v>29856.750000000004</v>
      </c>
      <c r="W59" s="1256">
        <v>36</v>
      </c>
      <c r="X59" s="1251">
        <v>16376.873333333335</v>
      </c>
      <c r="Y59" s="1134">
        <v>23545.573333333334</v>
      </c>
      <c r="Z59" s="1134">
        <v>28787.733333333337</v>
      </c>
      <c r="AA59" s="1134">
        <v>34003.71333333333</v>
      </c>
      <c r="AB59" s="1134">
        <v>40344.92</v>
      </c>
      <c r="AC59" s="1134">
        <v>60733.49333333334</v>
      </c>
      <c r="AD59" s="1134">
        <v>32118.753333333338</v>
      </c>
      <c r="AE59" s="1134">
        <v>36065.77333333334</v>
      </c>
      <c r="AF59" s="1254">
        <v>29889.475000000002</v>
      </c>
    </row>
    <row r="60" ht="17.5" customHeight="1" spans="1:32" s="1168" customFormat="1" x14ac:dyDescent="0.25">
      <c r="A60" s="1245" t="s">
        <v>581</v>
      </c>
      <c r="B60" s="1256">
        <v>42</v>
      </c>
      <c r="C60" s="1270">
        <v>21706</v>
      </c>
      <c r="D60" s="1271">
        <v>30039</v>
      </c>
      <c r="E60" s="1271">
        <v>34439</v>
      </c>
      <c r="F60" s="1271">
        <v>42286</v>
      </c>
      <c r="G60" s="1271">
        <v>47496</v>
      </c>
      <c r="H60" s="1271">
        <v>61864</v>
      </c>
      <c r="I60" s="1271">
        <v>33096</v>
      </c>
      <c r="J60" s="1271">
        <v>40668</v>
      </c>
      <c r="K60" s="1272">
        <v>51250</v>
      </c>
      <c r="L60" s="1273">
        <v>40274</v>
      </c>
      <c r="M60" s="1256">
        <v>42</v>
      </c>
      <c r="N60" s="1255">
        <v>18487.61979166667</v>
      </c>
      <c r="O60" s="1134">
        <v>25225.119791666668</v>
      </c>
      <c r="P60" s="1134">
        <v>29075.11979166667</v>
      </c>
      <c r="Q60" s="1134">
        <v>33213.86979166667</v>
      </c>
      <c r="R60" s="1134">
        <v>38064.869791666664</v>
      </c>
      <c r="S60" s="1134">
        <v>56939.49479166667</v>
      </c>
      <c r="T60" s="1134">
        <v>34051.24479166667</v>
      </c>
      <c r="U60" s="1134">
        <v>36938.744791666664</v>
      </c>
      <c r="V60" s="1256">
        <v>29989.093750000007</v>
      </c>
      <c r="W60" s="1256">
        <v>42</v>
      </c>
      <c r="X60" s="1251">
        <v>16804.78479166667</v>
      </c>
      <c r="Y60" s="1134">
        <v>23973.484791666673</v>
      </c>
      <c r="Z60" s="1134">
        <v>29215.64479166667</v>
      </c>
      <c r="AA60" s="1134">
        <v>34431.62479166667</v>
      </c>
      <c r="AB60" s="1134">
        <v>40772.83145833334</v>
      </c>
      <c r="AC60" s="1134">
        <v>61161.404791666675</v>
      </c>
      <c r="AD60" s="1134">
        <v>32546.66479166667</v>
      </c>
      <c r="AE60" s="1134">
        <v>36493.684791666674</v>
      </c>
      <c r="AF60" s="1254">
        <v>30021.818750000002</v>
      </c>
    </row>
    <row r="61" ht="17.5" customHeight="1" spans="1:32" s="1168" customFormat="1" x14ac:dyDescent="0.25">
      <c r="A61" s="1245" t="s">
        <v>581</v>
      </c>
      <c r="B61" s="1256">
        <v>48</v>
      </c>
      <c r="C61" s="1270">
        <v>21784</v>
      </c>
      <c r="D61" s="1271">
        <v>30087</v>
      </c>
      <c r="E61" s="1271">
        <v>34473</v>
      </c>
      <c r="F61" s="1271">
        <v>42292</v>
      </c>
      <c r="G61" s="1271">
        <v>47484</v>
      </c>
      <c r="H61" s="1271">
        <v>61801</v>
      </c>
      <c r="I61" s="1271">
        <v>33134</v>
      </c>
      <c r="J61" s="1271">
        <v>40680</v>
      </c>
      <c r="K61" s="1272">
        <v>51225</v>
      </c>
      <c r="L61" s="1273">
        <v>40148</v>
      </c>
      <c r="M61" s="1256">
        <v>48</v>
      </c>
      <c r="N61" s="1255">
        <v>18915.53125</v>
      </c>
      <c r="O61" s="1134">
        <v>25653.031250000007</v>
      </c>
      <c r="P61" s="1134">
        <v>29503.031250000004</v>
      </c>
      <c r="Q61" s="1134">
        <v>33641.78125</v>
      </c>
      <c r="R61" s="1134">
        <v>38492.781250000015</v>
      </c>
      <c r="S61" s="1134">
        <v>57367.40625000001</v>
      </c>
      <c r="T61" s="1134">
        <v>34479.15625</v>
      </c>
      <c r="U61" s="1134">
        <v>37366.65625</v>
      </c>
      <c r="V61" s="1256">
        <v>30121.437500000007</v>
      </c>
      <c r="W61" s="1256">
        <v>48</v>
      </c>
      <c r="X61" s="1251">
        <v>17232.696250000005</v>
      </c>
      <c r="Y61" s="1134">
        <v>24401.396250000005</v>
      </c>
      <c r="Z61" s="1134">
        <v>29643.556250000005</v>
      </c>
      <c r="AA61" s="1134">
        <v>34859.536250000005</v>
      </c>
      <c r="AB61" s="1134">
        <v>41200.74291666668</v>
      </c>
      <c r="AC61" s="1134">
        <v>61589.31625000001</v>
      </c>
      <c r="AD61" s="1134">
        <v>32974.576250000006</v>
      </c>
      <c r="AE61" s="1134">
        <v>36921.59625</v>
      </c>
      <c r="AF61" s="1254">
        <v>30154.162500000002</v>
      </c>
    </row>
    <row r="62" ht="17.5" customHeight="1" spans="1:32" s="1168" customFormat="1" x14ac:dyDescent="0.25">
      <c r="A62" s="1245" t="s">
        <v>581</v>
      </c>
      <c r="B62" s="1256">
        <v>54</v>
      </c>
      <c r="C62" s="1270">
        <v>21794</v>
      </c>
      <c r="D62" s="1271">
        <v>30053</v>
      </c>
      <c r="E62" s="1271">
        <v>34415</v>
      </c>
      <c r="F62" s="1271">
        <v>42193</v>
      </c>
      <c r="G62" s="1271">
        <v>47357</v>
      </c>
      <c r="H62" s="1271">
        <v>61598</v>
      </c>
      <c r="I62" s="1271">
        <v>33084</v>
      </c>
      <c r="J62" s="1271">
        <v>40589</v>
      </c>
      <c r="K62" s="1272">
        <v>51078</v>
      </c>
      <c r="L62" s="1273">
        <v>39955</v>
      </c>
      <c r="M62" s="1256">
        <v>54</v>
      </c>
      <c r="N62" s="1255">
        <v>19172.278125</v>
      </c>
      <c r="O62" s="1134">
        <v>25909.778125000004</v>
      </c>
      <c r="P62" s="1134">
        <v>29759.778125</v>
      </c>
      <c r="Q62" s="1134">
        <v>33898.528125000004</v>
      </c>
      <c r="R62" s="1134">
        <v>38749.528125000004</v>
      </c>
      <c r="S62" s="1134">
        <v>57624.15312500001</v>
      </c>
      <c r="T62" s="1134">
        <v>34735.903125000004</v>
      </c>
      <c r="U62" s="1134">
        <v>37623.403125000004</v>
      </c>
      <c r="V62" s="1256">
        <v>30200.843750000007</v>
      </c>
      <c r="W62" s="1256">
        <v>54</v>
      </c>
      <c r="X62" s="1251">
        <v>17489.443125</v>
      </c>
      <c r="Y62" s="1134">
        <v>24658.143125</v>
      </c>
      <c r="Z62" s="1134">
        <v>29900.303125000006</v>
      </c>
      <c r="AA62" s="1134">
        <v>35116.28312500001</v>
      </c>
      <c r="AB62" s="1134">
        <v>41457.489791666674</v>
      </c>
      <c r="AC62" s="1134">
        <v>61846.06312500001</v>
      </c>
      <c r="AD62" s="1134">
        <v>33231.32312500001</v>
      </c>
      <c r="AE62" s="1134">
        <v>37178.34312500001</v>
      </c>
      <c r="AF62" s="1254">
        <v>30233.568750000002</v>
      </c>
    </row>
    <row r="63" spans="1:32" s="1168" customFormat="1" x14ac:dyDescent="0.25">
      <c r="A63" s="1245" t="s">
        <v>581</v>
      </c>
      <c r="B63" s="1256">
        <v>60</v>
      </c>
      <c r="C63" s="1270">
        <v>21759</v>
      </c>
      <c r="D63" s="1271">
        <v>29963</v>
      </c>
      <c r="E63" s="1271">
        <v>34296</v>
      </c>
      <c r="F63" s="1271">
        <v>42022</v>
      </c>
      <c r="G63" s="1271">
        <v>47152</v>
      </c>
      <c r="H63" s="1271">
        <v>61298</v>
      </c>
      <c r="I63" s="1271">
        <v>32974</v>
      </c>
      <c r="J63" s="1271">
        <v>40429</v>
      </c>
      <c r="K63" s="1272">
        <v>50848</v>
      </c>
      <c r="L63" s="1273">
        <v>39716</v>
      </c>
      <c r="M63" s="1256">
        <v>60</v>
      </c>
      <c r="N63" s="1255">
        <v>19429.025000000005</v>
      </c>
      <c r="O63" s="1134">
        <v>26166.525</v>
      </c>
      <c r="P63" s="1134">
        <v>30016.525</v>
      </c>
      <c r="Q63" s="1134">
        <v>34155.27500000001</v>
      </c>
      <c r="R63" s="1134">
        <v>39006.275</v>
      </c>
      <c r="S63" s="1134">
        <v>57880.900000000016</v>
      </c>
      <c r="T63" s="1134">
        <v>34992.65000000001</v>
      </c>
      <c r="U63" s="1134">
        <v>37880.15</v>
      </c>
      <c r="V63" s="1256">
        <v>30280.250000000007</v>
      </c>
      <c r="W63" s="1256">
        <v>60</v>
      </c>
      <c r="X63" s="1251">
        <v>17746.190000000002</v>
      </c>
      <c r="Y63" s="1134">
        <v>24914.890000000003</v>
      </c>
      <c r="Z63" s="1134">
        <v>30157.050000000003</v>
      </c>
      <c r="AA63" s="1134">
        <v>35373.030000000006</v>
      </c>
      <c r="AB63" s="1134">
        <v>41714.23666666668</v>
      </c>
      <c r="AC63" s="1134">
        <v>62102.810000000005</v>
      </c>
      <c r="AD63" s="1134">
        <v>33488.07000000001</v>
      </c>
      <c r="AE63" s="1134">
        <v>37435.090000000004</v>
      </c>
      <c r="AF63" s="1254">
        <v>30312.975000000002</v>
      </c>
    </row>
  </sheetData>
  <mergeCells count="3">
    <mergeCell ref="A2:B2"/>
    <mergeCell ref="M2:V2"/>
    <mergeCell ref="W2:AF2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1"/>
  <sheetViews>
    <sheetView workbookViewId="0" showGridLines="0" zoomScale="85" zoomScaleNormal="85">
      <selection activeCell="C29" sqref="C29"/>
    </sheetView>
  </sheetViews>
  <sheetFormatPr defaultRowHeight="22.5" outlineLevelRow="0" outlineLevelCol="0" x14ac:dyDescent="0" defaultColWidth="9" customHeight="1"/>
  <cols>
    <col min="1" max="1" width="12.75" style="1302" customWidth="1"/>
    <col min="2" max="14" width="9.5" style="1302" customWidth="1"/>
    <col min="15" max="16384" width="9" style="1302" customWidth="1"/>
  </cols>
  <sheetData>
    <row r="1" ht="22.5" customHeight="1" spans="1:14" x14ac:dyDescent="0.25">
      <c r="A1" s="1274" t="s">
        <v>1590</v>
      </c>
      <c r="B1" s="1274"/>
      <c r="C1" s="1274"/>
      <c r="D1" s="1274"/>
      <c r="E1" s="1274"/>
      <c r="F1" s="1274"/>
      <c r="G1" s="1274"/>
      <c r="H1" s="1274"/>
      <c r="I1" s="1274"/>
      <c r="J1" s="1274"/>
      <c r="K1" s="1274"/>
      <c r="L1" s="1274"/>
      <c r="M1" s="1302"/>
      <c r="N1" s="1302"/>
    </row>
    <row r="2" ht="21.75" customHeight="1" spans="1:14" x14ac:dyDescent="0.25">
      <c r="A2" s="1303"/>
      <c r="B2" s="1304"/>
      <c r="C2" s="1305"/>
      <c r="D2" s="1302"/>
      <c r="E2" s="1305"/>
      <c r="F2" s="1302"/>
      <c r="G2" s="1302"/>
      <c r="H2" s="1302"/>
      <c r="I2" s="1306"/>
      <c r="J2" s="1302"/>
      <c r="K2" s="1307" t="s">
        <v>1591</v>
      </c>
      <c r="L2" s="1307"/>
      <c r="M2" s="1302"/>
      <c r="N2" s="1302"/>
    </row>
    <row r="3" ht="22.5" customHeight="1" spans="1:14" x14ac:dyDescent="0.25">
      <c r="A3" s="1308" t="s">
        <v>303</v>
      </c>
      <c r="B3" s="1309" t="s">
        <v>18</v>
      </c>
      <c r="C3" s="1310" t="s">
        <v>18</v>
      </c>
      <c r="D3" s="1309" t="s">
        <v>76</v>
      </c>
      <c r="E3" s="1311"/>
      <c r="F3" s="1311"/>
      <c r="G3" s="1310"/>
      <c r="H3" s="1312" t="s">
        <v>1592</v>
      </c>
      <c r="I3" s="1309" t="s">
        <v>81</v>
      </c>
      <c r="J3" s="1311"/>
      <c r="K3" s="1310"/>
      <c r="L3" s="1312" t="s">
        <v>86</v>
      </c>
      <c r="M3" s="1312" t="s">
        <v>18</v>
      </c>
      <c r="N3" s="1312" t="s">
        <v>76</v>
      </c>
    </row>
    <row r="4" ht="22.5" customHeight="1" spans="1:14" x14ac:dyDescent="0.25">
      <c r="A4" s="1313"/>
      <c r="B4" s="1314" t="s">
        <v>400</v>
      </c>
      <c r="C4" s="1314" t="s">
        <v>388</v>
      </c>
      <c r="D4" s="1314" t="s">
        <v>469</v>
      </c>
      <c r="E4" s="1314" t="s">
        <v>487</v>
      </c>
      <c r="F4" s="1314" t="s">
        <v>480</v>
      </c>
      <c r="G4" s="1314" t="s">
        <v>477</v>
      </c>
      <c r="H4" s="1314" t="s">
        <v>530</v>
      </c>
      <c r="I4" s="1314" t="s">
        <v>1593</v>
      </c>
      <c r="J4" s="1314" t="s">
        <v>1594</v>
      </c>
      <c r="K4" s="1314" t="s">
        <v>539</v>
      </c>
      <c r="L4" s="1314" t="s">
        <v>550</v>
      </c>
      <c r="M4" s="1314" t="s">
        <v>1595</v>
      </c>
      <c r="N4" s="1314" t="s">
        <v>1596</v>
      </c>
    </row>
    <row r="5" ht="22.5" customHeight="1" spans="1:14" x14ac:dyDescent="0.25">
      <c r="A5" s="1315" t="s">
        <v>151</v>
      </c>
      <c r="B5" s="1316">
        <v>99000</v>
      </c>
      <c r="C5" s="1316">
        <v>215950</v>
      </c>
      <c r="D5" s="1316">
        <v>120350</v>
      </c>
      <c r="E5" s="1316">
        <v>119250</v>
      </c>
      <c r="F5" s="1316">
        <v>106270</v>
      </c>
      <c r="G5" s="1316">
        <v>182390</v>
      </c>
      <c r="H5" s="1317">
        <v>210000</v>
      </c>
      <c r="I5" s="1316">
        <v>121780</v>
      </c>
      <c r="J5" s="1316">
        <v>99000</v>
      </c>
      <c r="K5" s="1316">
        <v>213850</v>
      </c>
      <c r="L5" s="1318">
        <v>99000</v>
      </c>
      <c r="M5" s="1316">
        <v>176000</v>
      </c>
      <c r="N5" s="1316">
        <v>154000</v>
      </c>
    </row>
    <row r="6" ht="22.5" customHeight="1" spans="1:14" x14ac:dyDescent="0.25">
      <c r="A6" s="1319" t="s">
        <v>164</v>
      </c>
      <c r="B6" s="1320">
        <v>99000</v>
      </c>
      <c r="C6" s="1320">
        <v>214950</v>
      </c>
      <c r="D6" s="1320">
        <v>119350</v>
      </c>
      <c r="E6" s="1320">
        <v>118250</v>
      </c>
      <c r="F6" s="1320">
        <v>105270</v>
      </c>
      <c r="G6" s="1320">
        <v>181390</v>
      </c>
      <c r="H6" s="1321">
        <v>210000</v>
      </c>
      <c r="I6" s="1320">
        <v>120780</v>
      </c>
      <c r="J6" s="1320">
        <v>99000</v>
      </c>
      <c r="K6" s="1320">
        <v>212850</v>
      </c>
      <c r="L6" s="1322">
        <v>99000</v>
      </c>
      <c r="M6" s="1320">
        <v>176000</v>
      </c>
      <c r="N6" s="1320">
        <v>154000</v>
      </c>
    </row>
    <row r="7" ht="22.5" customHeight="1" spans="1:14" x14ac:dyDescent="0.25">
      <c r="A7" s="1323" t="s">
        <v>172</v>
      </c>
      <c r="B7" s="1324">
        <v>98000</v>
      </c>
      <c r="C7" s="1324">
        <v>213950</v>
      </c>
      <c r="D7" s="1324">
        <v>118350</v>
      </c>
      <c r="E7" s="1324">
        <v>117250</v>
      </c>
      <c r="F7" s="1324">
        <v>104270</v>
      </c>
      <c r="G7" s="1324">
        <v>180390</v>
      </c>
      <c r="H7" s="1325">
        <v>210000</v>
      </c>
      <c r="I7" s="1324">
        <v>119780</v>
      </c>
      <c r="J7" s="1324">
        <v>99000</v>
      </c>
      <c r="K7" s="1324">
        <v>211850</v>
      </c>
      <c r="L7" s="1326">
        <v>99000</v>
      </c>
      <c r="M7" s="1324">
        <v>176000</v>
      </c>
      <c r="N7" s="1324">
        <v>154000</v>
      </c>
    </row>
    <row r="8" ht="22.5" customHeight="1" spans="1:14" x14ac:dyDescent="0.25">
      <c r="A8" s="1327" t="s">
        <v>178</v>
      </c>
      <c r="B8" s="1328">
        <v>198000</v>
      </c>
      <c r="C8" s="1328">
        <v>286000</v>
      </c>
      <c r="D8" s="1328">
        <v>218350</v>
      </c>
      <c r="E8" s="1328">
        <v>217250</v>
      </c>
      <c r="F8" s="1328">
        <v>204270</v>
      </c>
      <c r="G8" s="1328">
        <v>280390</v>
      </c>
      <c r="H8" s="1329">
        <v>275000</v>
      </c>
      <c r="I8" s="1328">
        <v>219780</v>
      </c>
      <c r="J8" s="1328">
        <v>186000</v>
      </c>
      <c r="K8" s="1328">
        <v>275000</v>
      </c>
      <c r="L8" s="1328">
        <v>198000</v>
      </c>
      <c r="M8" s="1330">
        <v>220000</v>
      </c>
      <c r="N8" s="1330">
        <v>198000</v>
      </c>
    </row>
    <row r="9" ht="22.5" customHeight="1" spans="1:14" x14ac:dyDescent="0.25">
      <c r="A9" s="1331" t="s">
        <v>184</v>
      </c>
      <c r="B9" s="1320">
        <v>132000</v>
      </c>
      <c r="C9" s="1320">
        <v>247950</v>
      </c>
      <c r="D9" s="1320">
        <v>152350</v>
      </c>
      <c r="E9" s="1320">
        <v>151250</v>
      </c>
      <c r="F9" s="1320">
        <v>138270</v>
      </c>
      <c r="G9" s="1320">
        <v>214390</v>
      </c>
      <c r="H9" s="1321">
        <v>250000</v>
      </c>
      <c r="I9" s="1320">
        <v>153780</v>
      </c>
      <c r="J9" s="1320">
        <v>186000</v>
      </c>
      <c r="K9" s="1320">
        <v>245850</v>
      </c>
      <c r="L9" s="1320">
        <v>132000</v>
      </c>
      <c r="M9" s="1332">
        <v>202400</v>
      </c>
      <c r="N9" s="1332">
        <v>198000</v>
      </c>
    </row>
    <row r="10" ht="22.5" customHeight="1" spans="1:14" x14ac:dyDescent="0.25">
      <c r="A10" s="1331" t="s">
        <v>188</v>
      </c>
      <c r="B10" s="1320">
        <v>114000</v>
      </c>
      <c r="C10" s="1320">
        <v>229950</v>
      </c>
      <c r="D10" s="1320">
        <v>134350</v>
      </c>
      <c r="E10" s="1320">
        <v>133250</v>
      </c>
      <c r="F10" s="1320">
        <v>120270</v>
      </c>
      <c r="G10" s="1320">
        <v>196390</v>
      </c>
      <c r="H10" s="1321">
        <v>250000</v>
      </c>
      <c r="I10" s="1320">
        <v>135780</v>
      </c>
      <c r="J10" s="1320">
        <v>132000</v>
      </c>
      <c r="K10" s="1320">
        <v>227850</v>
      </c>
      <c r="L10" s="1320">
        <v>114000</v>
      </c>
      <c r="M10" s="1332">
        <v>200000</v>
      </c>
      <c r="N10" s="1332">
        <v>176000</v>
      </c>
    </row>
    <row r="11" ht="22.5" customHeight="1" spans="1:14" x14ac:dyDescent="0.25">
      <c r="A11" s="1331" t="s">
        <v>193</v>
      </c>
      <c r="B11" s="1320">
        <v>110000</v>
      </c>
      <c r="C11" s="1320">
        <v>225950</v>
      </c>
      <c r="D11" s="1320">
        <v>130350</v>
      </c>
      <c r="E11" s="1320">
        <v>129250</v>
      </c>
      <c r="F11" s="1320">
        <v>116270</v>
      </c>
      <c r="G11" s="1320">
        <v>192390</v>
      </c>
      <c r="H11" s="1321">
        <v>250000</v>
      </c>
      <c r="I11" s="1320">
        <v>131780</v>
      </c>
      <c r="J11" s="1320">
        <v>132000</v>
      </c>
      <c r="K11" s="1320">
        <v>223850</v>
      </c>
      <c r="L11" s="1320">
        <v>110000</v>
      </c>
      <c r="M11" s="1332">
        <v>200000</v>
      </c>
      <c r="N11" s="1332">
        <v>176000</v>
      </c>
    </row>
    <row r="12" ht="22.5" customHeight="1" spans="1:14" x14ac:dyDescent="0.25">
      <c r="A12" s="1331" t="s">
        <v>195</v>
      </c>
      <c r="B12" s="1320">
        <v>187000</v>
      </c>
      <c r="C12" s="1320">
        <v>275000</v>
      </c>
      <c r="D12" s="1320">
        <v>207350</v>
      </c>
      <c r="E12" s="1320">
        <v>206250</v>
      </c>
      <c r="F12" s="1320">
        <v>193270</v>
      </c>
      <c r="G12" s="1320">
        <v>269390</v>
      </c>
      <c r="H12" s="1321">
        <v>250000</v>
      </c>
      <c r="I12" s="1320">
        <v>208780</v>
      </c>
      <c r="J12" s="1320">
        <v>198000</v>
      </c>
      <c r="K12" s="1320">
        <v>275000</v>
      </c>
      <c r="L12" s="1320">
        <v>187000</v>
      </c>
      <c r="M12" s="1332">
        <v>193600</v>
      </c>
      <c r="N12" s="1332">
        <v>220000</v>
      </c>
    </row>
    <row r="13" ht="22.5" customHeight="1" spans="1:14" x14ac:dyDescent="0.25">
      <c r="A13" s="1331" t="s">
        <v>202</v>
      </c>
      <c r="B13" s="1320">
        <v>224000</v>
      </c>
      <c r="C13" s="1320">
        <v>286000</v>
      </c>
      <c r="D13" s="1320">
        <v>244350</v>
      </c>
      <c r="E13" s="1320">
        <v>243250</v>
      </c>
      <c r="F13" s="1320">
        <v>230270</v>
      </c>
      <c r="G13" s="1320">
        <v>275000</v>
      </c>
      <c r="H13" s="1321">
        <v>275000</v>
      </c>
      <c r="I13" s="1320">
        <v>245780</v>
      </c>
      <c r="J13" s="1320">
        <v>209000</v>
      </c>
      <c r="K13" s="1320">
        <v>286000</v>
      </c>
      <c r="L13" s="1320">
        <v>224000</v>
      </c>
      <c r="M13" s="1332">
        <v>200000</v>
      </c>
      <c r="N13" s="1332">
        <v>220000</v>
      </c>
    </row>
    <row r="14" ht="22.5" customHeight="1" spans="1:14" x14ac:dyDescent="0.25">
      <c r="A14" s="1331" t="s">
        <v>207</v>
      </c>
      <c r="B14" s="1320">
        <v>219000</v>
      </c>
      <c r="C14" s="1320">
        <v>250000</v>
      </c>
      <c r="D14" s="1320">
        <v>184350</v>
      </c>
      <c r="E14" s="1320">
        <v>183250</v>
      </c>
      <c r="F14" s="1320">
        <v>219000</v>
      </c>
      <c r="G14" s="1320">
        <v>246390</v>
      </c>
      <c r="H14" s="1321">
        <v>250000</v>
      </c>
      <c r="I14" s="1320">
        <v>185780</v>
      </c>
      <c r="J14" s="1320">
        <v>219000</v>
      </c>
      <c r="K14" s="1320">
        <v>250000</v>
      </c>
      <c r="L14" s="1320">
        <v>164000</v>
      </c>
      <c r="M14" s="1332">
        <v>193600</v>
      </c>
      <c r="N14" s="1332">
        <v>198000</v>
      </c>
    </row>
    <row r="15" ht="22.5" customHeight="1" spans="1:14" x14ac:dyDescent="0.25">
      <c r="A15" s="1331" t="s">
        <v>210</v>
      </c>
      <c r="B15" s="1320">
        <v>225270</v>
      </c>
      <c r="C15" s="1320">
        <v>286000</v>
      </c>
      <c r="D15" s="1320">
        <v>239350</v>
      </c>
      <c r="E15" s="1320">
        <v>238250</v>
      </c>
      <c r="F15" s="1320">
        <v>225270</v>
      </c>
      <c r="G15" s="1320">
        <v>275000</v>
      </c>
      <c r="H15" s="1321">
        <v>275000</v>
      </c>
      <c r="I15" s="1320">
        <v>240780</v>
      </c>
      <c r="J15" s="1320">
        <v>225270</v>
      </c>
      <c r="K15" s="1320">
        <v>275000</v>
      </c>
      <c r="L15" s="1320">
        <v>219000</v>
      </c>
      <c r="M15" s="1332">
        <v>239350</v>
      </c>
      <c r="N15" s="1332">
        <v>225270</v>
      </c>
    </row>
    <row r="16" ht="12" customHeight="1" x14ac:dyDescent="0.25"/>
    <row r="17" ht="22.5" customHeight="1" spans="1:2" x14ac:dyDescent="0.25">
      <c r="A17" s="1274" t="s">
        <v>1597</v>
      </c>
      <c r="B17" s="1305">
        <v>440000</v>
      </c>
    </row>
    <row r="20" ht="22.5" customHeight="1" spans="1:3" x14ac:dyDescent="0.25">
      <c r="A20" s="1302" t="s">
        <v>1598</v>
      </c>
      <c r="B20" s="1333" t="s">
        <v>151</v>
      </c>
      <c r="C20" s="1334">
        <v>215950</v>
      </c>
    </row>
    <row r="21" ht="22.5" customHeight="1" spans="1:3" x14ac:dyDescent="0.25">
      <c r="A21" s="1302" t="s">
        <v>1599</v>
      </c>
      <c r="B21" s="1335" t="s">
        <v>164</v>
      </c>
      <c r="C21" s="1334">
        <v>214950</v>
      </c>
    </row>
    <row r="22" ht="22.5" customHeight="1" spans="2:3" x14ac:dyDescent="0.25">
      <c r="B22" s="1335" t="s">
        <v>172</v>
      </c>
      <c r="C22" s="1334">
        <v>213950</v>
      </c>
    </row>
    <row r="23" ht="22.5" customHeight="1" spans="2:3" x14ac:dyDescent="0.25">
      <c r="B23" s="1335" t="s">
        <v>195</v>
      </c>
      <c r="C23" s="1336">
        <v>275000</v>
      </c>
    </row>
    <row r="24" ht="22.5" customHeight="1" spans="2:3" x14ac:dyDescent="0.25">
      <c r="B24" s="1335" t="s">
        <v>202</v>
      </c>
      <c r="C24" s="1336">
        <v>286000</v>
      </c>
    </row>
    <row r="25" ht="22.5" customHeight="1" spans="2:3" x14ac:dyDescent="0.25">
      <c r="B25" s="1335" t="s">
        <v>188</v>
      </c>
      <c r="C25" s="1336">
        <v>229950</v>
      </c>
    </row>
    <row r="26" ht="22.5" customHeight="1" spans="2:3" x14ac:dyDescent="0.25">
      <c r="B26" s="1335" t="s">
        <v>193</v>
      </c>
      <c r="C26" s="1336">
        <v>225950</v>
      </c>
    </row>
    <row r="27" ht="22.5" customHeight="1" spans="2:3" x14ac:dyDescent="0.25">
      <c r="B27" s="1335" t="s">
        <v>207</v>
      </c>
      <c r="C27" s="1336">
        <v>250000</v>
      </c>
    </row>
    <row r="28" ht="22.5" customHeight="1" spans="2:3" x14ac:dyDescent="0.25">
      <c r="B28" s="1335" t="s">
        <v>210</v>
      </c>
      <c r="C28" s="1336">
        <v>286000</v>
      </c>
    </row>
    <row r="29" ht="22.5" customHeight="1" spans="2:3" x14ac:dyDescent="0.25">
      <c r="B29" s="1335" t="s">
        <v>178</v>
      </c>
      <c r="C29" s="1336">
        <v>286000</v>
      </c>
    </row>
    <row r="30" ht="22.5" customHeight="1" spans="2:3" x14ac:dyDescent="0.25">
      <c r="B30" s="1335" t="s">
        <v>184</v>
      </c>
      <c r="C30" s="1336">
        <v>247950</v>
      </c>
    </row>
    <row r="31" ht="22.5" customHeight="1" spans="2:3" x14ac:dyDescent="0.25">
      <c r="B31" s="1337" t="s">
        <v>213</v>
      </c>
      <c r="C31" s="1338">
        <v>440000</v>
      </c>
    </row>
  </sheetData>
  <mergeCells count="2">
    <mergeCell ref="K2:L2"/>
    <mergeCell ref="A3:A4"/>
  </mergeCells>
  <pageMargins left="0.7086614173228347" right="0.7086614173228347" top="0.7480314960629921" bottom="0.7480314960629921" header="0.31496062992125984" footer="0.31496062992125984"/>
  <pageSetup paperSize="9" orientation="landscape" horizontalDpi="4294967295" verticalDpi="4294967295" scale="7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70"/>
  <sheetViews>
    <sheetView workbookViewId="0" zoomScale="85" zoomScaleNormal="85">
      <selection activeCell="E8" sqref="E8"/>
    </sheetView>
  </sheetViews>
  <sheetFormatPr defaultRowHeight="17" outlineLevelRow="0" outlineLevelCol="0" x14ac:dyDescent="0" defaultColWidth="8.75" customHeight="1"/>
  <cols>
    <col min="1" max="1" width="12.33203125" style="3" customWidth="1"/>
    <col min="2" max="2" width="48.5" style="3" customWidth="1"/>
    <col min="3" max="7" width="11.83203125" style="3" customWidth="1"/>
    <col min="8" max="9" width="11.83203125" style="856" customWidth="1"/>
    <col min="10" max="10" width="11.83203125" style="723" customWidth="1"/>
    <col min="11" max="11" width="15.33203125" style="712" customWidth="1"/>
    <col min="12" max="23" width="10.08203125" style="1051" customWidth="1"/>
    <col min="24" max="24" width="12.25" style="1052" customWidth="1"/>
    <col min="25" max="25" width="8.75" style="3" customWidth="1"/>
    <col min="26" max="26" width="31.58203125" style="3" customWidth="1"/>
    <col min="27" max="27" width="11.83203125" style="3" customWidth="1"/>
    <col min="28" max="28" width="8.75" style="3" customWidth="1"/>
    <col min="29" max="29" width="9.83203125" style="3" customWidth="1"/>
    <col min="30" max="16384" width="8.75" style="3" customWidth="1"/>
  </cols>
  <sheetData>
    <row r="2" spans="12:25" x14ac:dyDescent="0.25">
      <c r="L2" s="1051" t="s">
        <v>375</v>
      </c>
      <c r="X2" s="1053" t="s">
        <v>176</v>
      </c>
      <c r="Y2" s="1051"/>
    </row>
    <row r="3" spans="1:29" x14ac:dyDescent="0.25">
      <c r="A3" s="1054" t="s">
        <v>17</v>
      </c>
      <c r="B3" s="1054" t="s">
        <v>20</v>
      </c>
      <c r="C3" s="1054" t="s">
        <v>376</v>
      </c>
      <c r="D3" s="1054" t="s">
        <v>377</v>
      </c>
      <c r="E3" s="1054" t="s">
        <v>38</v>
      </c>
      <c r="F3" s="1054" t="s">
        <v>39</v>
      </c>
      <c r="G3" s="1054" t="s">
        <v>143</v>
      </c>
      <c r="H3" s="1055" t="s">
        <v>378</v>
      </c>
      <c r="I3" s="1054" t="s">
        <v>379</v>
      </c>
      <c r="J3" s="1056" t="s">
        <v>380</v>
      </c>
      <c r="K3" s="712" t="s">
        <v>381</v>
      </c>
      <c r="L3" s="1051" t="s">
        <v>151</v>
      </c>
      <c r="M3" s="1051" t="s">
        <v>164</v>
      </c>
      <c r="N3" s="1051" t="s">
        <v>172</v>
      </c>
      <c r="O3" s="1051" t="s">
        <v>178</v>
      </c>
      <c r="P3" s="1051" t="s">
        <v>184</v>
      </c>
      <c r="Q3" s="1051" t="s">
        <v>188</v>
      </c>
      <c r="R3" s="1051" t="s">
        <v>193</v>
      </c>
      <c r="S3" s="1051" t="s">
        <v>195</v>
      </c>
      <c r="T3" s="1051" t="s">
        <v>202</v>
      </c>
      <c r="U3" s="1051" t="s">
        <v>207</v>
      </c>
      <c r="V3" s="1051" t="s">
        <v>210</v>
      </c>
      <c r="W3" s="1051" t="s">
        <v>213</v>
      </c>
      <c r="X3" s="1053"/>
      <c r="Z3" s="1054" t="s">
        <v>20</v>
      </c>
      <c r="AA3" s="1054" t="s">
        <v>39</v>
      </c>
      <c r="AB3" s="1054" t="s">
        <v>382</v>
      </c>
      <c r="AC3" s="1054" t="s">
        <v>383</v>
      </c>
    </row>
    <row r="4" spans="1:29" x14ac:dyDescent="0.25">
      <c r="A4" s="1057" t="s">
        <v>18</v>
      </c>
      <c r="B4" s="1058" t="s">
        <v>384</v>
      </c>
      <c r="C4" s="1059" t="s">
        <v>385</v>
      </c>
      <c r="D4" s="1060" t="s">
        <v>386</v>
      </c>
      <c r="E4" s="1060" t="s">
        <v>387</v>
      </c>
      <c r="F4" s="1061">
        <v>1598</v>
      </c>
      <c r="G4" s="1061">
        <v>3</v>
      </c>
      <c r="H4" s="1062">
        <v>0.02</v>
      </c>
      <c r="I4" s="1063"/>
      <c r="J4" s="1064" t="s">
        <v>388</v>
      </c>
      <c r="K4" s="712">
        <v>231000</v>
      </c>
      <c r="L4" s="1051">
        <v>215950</v>
      </c>
      <c r="M4" s="1051">
        <v>214950</v>
      </c>
      <c r="N4" s="1051">
        <v>213950</v>
      </c>
      <c r="O4" s="1051">
        <v>286000</v>
      </c>
      <c r="P4" s="1051">
        <v>247950</v>
      </c>
      <c r="Q4" s="1051">
        <v>229950</v>
      </c>
      <c r="R4" s="1051">
        <v>225950</v>
      </c>
      <c r="S4" s="1051">
        <v>275000</v>
      </c>
      <c r="T4" s="1051">
        <v>286000</v>
      </c>
      <c r="U4" s="1051">
        <v>250000</v>
      </c>
      <c r="V4" s="1051">
        <v>286000</v>
      </c>
      <c r="W4" s="1051">
        <v>440000</v>
      </c>
      <c r="X4" s="1052">
        <v>260000</v>
      </c>
      <c r="Z4" s="1058" t="s">
        <v>384</v>
      </c>
      <c r="AA4" s="1061">
        <v>1598</v>
      </c>
      <c r="AB4" s="3" t="s">
        <v>255</v>
      </c>
      <c r="AC4" s="1051"/>
    </row>
    <row r="5" spans="1:30" s="1065" customFormat="1" x14ac:dyDescent="0.25">
      <c r="A5" s="1066" t="s">
        <v>18</v>
      </c>
      <c r="B5" s="1067" t="s">
        <v>389</v>
      </c>
      <c r="C5" s="1068" t="s">
        <v>385</v>
      </c>
      <c r="D5" s="1069" t="s">
        <v>390</v>
      </c>
      <c r="E5" s="1069" t="s">
        <v>387</v>
      </c>
      <c r="F5" s="1070">
        <v>1598</v>
      </c>
      <c r="G5" s="1070">
        <v>5</v>
      </c>
      <c r="H5" s="1071">
        <v>0.02</v>
      </c>
      <c r="I5" s="1072"/>
      <c r="J5" s="1073" t="s">
        <v>388</v>
      </c>
      <c r="K5" s="1074">
        <v>226000</v>
      </c>
      <c r="L5" s="1075">
        <v>215950</v>
      </c>
      <c r="M5" s="1075">
        <v>214950</v>
      </c>
      <c r="N5" s="1075">
        <v>213950</v>
      </c>
      <c r="O5" s="1075">
        <v>286000</v>
      </c>
      <c r="P5" s="1075">
        <v>247950</v>
      </c>
      <c r="Q5" s="1075">
        <v>229950</v>
      </c>
      <c r="R5" s="1075">
        <v>225950</v>
      </c>
      <c r="S5" s="1075">
        <v>275000</v>
      </c>
      <c r="T5" s="1075">
        <v>286000</v>
      </c>
      <c r="U5" s="1075">
        <v>250000</v>
      </c>
      <c r="V5" s="1075">
        <v>286000</v>
      </c>
      <c r="W5" s="1075">
        <v>440000</v>
      </c>
      <c r="X5" s="1075">
        <v>262000</v>
      </c>
      <c r="Z5" s="1067" t="s">
        <v>389</v>
      </c>
      <c r="AA5" s="1070">
        <v>1598</v>
      </c>
      <c r="AB5" s="3" t="s">
        <v>255</v>
      </c>
      <c r="AC5" s="1075"/>
      <c r="AD5" s="3"/>
    </row>
    <row r="6" spans="1:30" s="1065" customFormat="1" x14ac:dyDescent="0.25">
      <c r="A6" s="1066" t="s">
        <v>18</v>
      </c>
      <c r="B6" s="1067" t="s">
        <v>391</v>
      </c>
      <c r="C6" s="1068" t="s">
        <v>385</v>
      </c>
      <c r="D6" s="1069" t="s">
        <v>390</v>
      </c>
      <c r="E6" s="1069" t="s">
        <v>387</v>
      </c>
      <c r="F6" s="1070">
        <v>1598</v>
      </c>
      <c r="G6" s="1070">
        <v>5</v>
      </c>
      <c r="H6" s="1071">
        <v>0.02</v>
      </c>
      <c r="I6" s="1072"/>
      <c r="J6" s="1073" t="s">
        <v>388</v>
      </c>
      <c r="K6" s="1074">
        <v>226000</v>
      </c>
      <c r="L6" s="1075">
        <v>215950</v>
      </c>
      <c r="M6" s="1075">
        <v>214950</v>
      </c>
      <c r="N6" s="1075">
        <v>213950</v>
      </c>
      <c r="O6" s="1075">
        <v>286000</v>
      </c>
      <c r="P6" s="1075">
        <v>247950</v>
      </c>
      <c r="Q6" s="1075">
        <v>229950</v>
      </c>
      <c r="R6" s="1075">
        <v>225950</v>
      </c>
      <c r="S6" s="1075">
        <v>275000</v>
      </c>
      <c r="T6" s="1075">
        <v>286000</v>
      </c>
      <c r="U6" s="1075">
        <v>250000</v>
      </c>
      <c r="V6" s="1075">
        <v>286000</v>
      </c>
      <c r="W6" s="1075">
        <v>440000</v>
      </c>
      <c r="X6" s="1075">
        <v>262000</v>
      </c>
      <c r="Z6" s="1067" t="s">
        <v>391</v>
      </c>
      <c r="AA6" s="1070">
        <v>1598</v>
      </c>
      <c r="AB6" s="3" t="s">
        <v>255</v>
      </c>
      <c r="AC6" s="1075"/>
      <c r="AD6" s="3"/>
    </row>
    <row r="7" spans="1:30" s="1065" customFormat="1" x14ac:dyDescent="0.25">
      <c r="A7" s="1066" t="s">
        <v>18</v>
      </c>
      <c r="B7" s="1067" t="s">
        <v>392</v>
      </c>
      <c r="C7" s="1068" t="s">
        <v>385</v>
      </c>
      <c r="D7" s="1069" t="s">
        <v>390</v>
      </c>
      <c r="E7" s="1069" t="s">
        <v>387</v>
      </c>
      <c r="F7" s="1070">
        <v>1999</v>
      </c>
      <c r="G7" s="1070">
        <v>5</v>
      </c>
      <c r="H7" s="1071">
        <v>0.02</v>
      </c>
      <c r="I7" s="1072"/>
      <c r="J7" s="1073" t="s">
        <v>388</v>
      </c>
      <c r="K7" s="1074">
        <v>226000</v>
      </c>
      <c r="L7" s="1075">
        <v>215950</v>
      </c>
      <c r="M7" s="1075">
        <v>214950</v>
      </c>
      <c r="N7" s="1075">
        <v>213950</v>
      </c>
      <c r="O7" s="1075">
        <v>286000</v>
      </c>
      <c r="P7" s="1075">
        <v>247950</v>
      </c>
      <c r="Q7" s="1075">
        <v>229950</v>
      </c>
      <c r="R7" s="1075">
        <v>225950</v>
      </c>
      <c r="S7" s="1075">
        <v>275000</v>
      </c>
      <c r="T7" s="1075">
        <v>286000</v>
      </c>
      <c r="U7" s="1075">
        <v>250000</v>
      </c>
      <c r="V7" s="1075">
        <v>286000</v>
      </c>
      <c r="W7" s="1075">
        <v>440000</v>
      </c>
      <c r="X7" s="1075">
        <v>262000</v>
      </c>
      <c r="Z7" s="1067" t="s">
        <v>392</v>
      </c>
      <c r="AA7" s="1070">
        <v>1999</v>
      </c>
      <c r="AB7" s="3" t="s">
        <v>255</v>
      </c>
      <c r="AC7" s="1075"/>
      <c r="AD7" s="3"/>
    </row>
    <row r="8" spans="1:30" s="1065" customFormat="1" x14ac:dyDescent="0.25">
      <c r="A8" s="1066" t="s">
        <v>18</v>
      </c>
      <c r="B8" s="1067" t="s">
        <v>393</v>
      </c>
      <c r="C8" s="1068" t="s">
        <v>385</v>
      </c>
      <c r="D8" s="1069" t="s">
        <v>390</v>
      </c>
      <c r="E8" s="1069" t="s">
        <v>387</v>
      </c>
      <c r="F8" s="1070">
        <v>1998</v>
      </c>
      <c r="G8" s="1070">
        <v>5</v>
      </c>
      <c r="H8" s="1071">
        <v>0.02</v>
      </c>
      <c r="I8" s="1072"/>
      <c r="J8" s="1073" t="s">
        <v>388</v>
      </c>
      <c r="K8" s="1074">
        <v>226000</v>
      </c>
      <c r="L8" s="1075">
        <v>215950</v>
      </c>
      <c r="M8" s="1075">
        <v>214950</v>
      </c>
      <c r="N8" s="1075">
        <v>213950</v>
      </c>
      <c r="O8" s="1075">
        <v>286000</v>
      </c>
      <c r="P8" s="1075">
        <v>247950</v>
      </c>
      <c r="Q8" s="1075">
        <v>229950</v>
      </c>
      <c r="R8" s="1075">
        <v>225950</v>
      </c>
      <c r="S8" s="1075">
        <v>275000</v>
      </c>
      <c r="T8" s="1075">
        <v>286000</v>
      </c>
      <c r="U8" s="1075">
        <v>250000</v>
      </c>
      <c r="V8" s="1075">
        <v>286000</v>
      </c>
      <c r="W8" s="1075">
        <v>440000</v>
      </c>
      <c r="X8" s="1075">
        <v>262000</v>
      </c>
      <c r="Z8" s="1067" t="s">
        <v>393</v>
      </c>
      <c r="AA8" s="1070">
        <v>1998</v>
      </c>
      <c r="AB8" s="3" t="s">
        <v>255</v>
      </c>
      <c r="AC8" s="1075"/>
      <c r="AD8" s="3"/>
    </row>
    <row r="9" spans="1:30" s="1076" customFormat="1" x14ac:dyDescent="0.25">
      <c r="A9" s="1066" t="s">
        <v>18</v>
      </c>
      <c r="B9" s="1067" t="s">
        <v>394</v>
      </c>
      <c r="C9" s="1068" t="s">
        <v>385</v>
      </c>
      <c r="D9" s="1069" t="s">
        <v>395</v>
      </c>
      <c r="E9" s="1069" t="s">
        <v>396</v>
      </c>
      <c r="F9" s="1070">
        <v>1580</v>
      </c>
      <c r="G9" s="1070">
        <v>5</v>
      </c>
      <c r="H9" s="1071">
        <v>0.02</v>
      </c>
      <c r="I9" s="1072"/>
      <c r="J9" s="1073" t="s">
        <v>388</v>
      </c>
      <c r="K9" s="1077">
        <v>226000</v>
      </c>
      <c r="L9" s="1075">
        <v>215950</v>
      </c>
      <c r="M9" s="1075">
        <v>214950</v>
      </c>
      <c r="N9" s="1075">
        <v>213950</v>
      </c>
      <c r="O9" s="1075">
        <v>286000</v>
      </c>
      <c r="P9" s="1075">
        <v>247950</v>
      </c>
      <c r="Q9" s="1075">
        <v>229950</v>
      </c>
      <c r="R9" s="1075">
        <v>225950</v>
      </c>
      <c r="S9" s="1075">
        <v>275000</v>
      </c>
      <c r="T9" s="1075">
        <v>286000</v>
      </c>
      <c r="U9" s="1075">
        <v>250000</v>
      </c>
      <c r="V9" s="1075">
        <v>286000</v>
      </c>
      <c r="W9" s="1075">
        <v>440000</v>
      </c>
      <c r="X9" s="1075">
        <v>262000</v>
      </c>
      <c r="Z9" s="1067" t="s">
        <v>394</v>
      </c>
      <c r="AA9" s="1070">
        <v>1580</v>
      </c>
      <c r="AB9" s="3" t="s">
        <v>255</v>
      </c>
      <c r="AC9" s="1075"/>
      <c r="AD9" s="3"/>
    </row>
    <row r="10" spans="1:30" s="1076" customFormat="1" x14ac:dyDescent="0.25">
      <c r="A10" s="1066" t="s">
        <v>18</v>
      </c>
      <c r="B10" s="1067" t="s">
        <v>397</v>
      </c>
      <c r="C10" s="1068" t="s">
        <v>385</v>
      </c>
      <c r="D10" s="1069" t="s">
        <v>398</v>
      </c>
      <c r="E10" s="1069" t="s">
        <v>387</v>
      </c>
      <c r="F10" s="1070">
        <v>998</v>
      </c>
      <c r="G10" s="1070">
        <v>2</v>
      </c>
      <c r="H10" s="1071">
        <v>0.02</v>
      </c>
      <c r="I10" s="1072" t="s">
        <v>399</v>
      </c>
      <c r="J10" s="1073" t="s">
        <v>400</v>
      </c>
      <c r="K10" s="712">
        <v>129000</v>
      </c>
      <c r="L10" s="1051">
        <v>99000</v>
      </c>
      <c r="M10" s="1051">
        <v>99000</v>
      </c>
      <c r="N10" s="1051">
        <v>98000</v>
      </c>
      <c r="O10" s="1051">
        <v>198000</v>
      </c>
      <c r="P10" s="1051">
        <v>132000</v>
      </c>
      <c r="Q10" s="1051">
        <v>114000</v>
      </c>
      <c r="R10" s="1051">
        <v>110000</v>
      </c>
      <c r="S10" s="1051">
        <v>187000</v>
      </c>
      <c r="T10" s="1051">
        <v>224000</v>
      </c>
      <c r="U10" s="1051">
        <v>219000</v>
      </c>
      <c r="V10" s="1051">
        <v>225270</v>
      </c>
      <c r="W10" s="1051">
        <v>440000</v>
      </c>
      <c r="X10" s="1052">
        <v>349000</v>
      </c>
      <c r="Z10" s="1067" t="s">
        <v>397</v>
      </c>
      <c r="AA10" s="1070">
        <v>998</v>
      </c>
      <c r="AB10" s="3" t="s">
        <v>255</v>
      </c>
      <c r="AC10" s="1078">
        <v>117000</v>
      </c>
      <c r="AD10" s="3"/>
    </row>
    <row r="11" spans="1:30" s="1076" customFormat="1" x14ac:dyDescent="0.25">
      <c r="A11" s="1066" t="s">
        <v>18</v>
      </c>
      <c r="B11" s="1067" t="s">
        <v>401</v>
      </c>
      <c r="C11" s="1068" t="s">
        <v>385</v>
      </c>
      <c r="D11" s="1069" t="s">
        <v>386</v>
      </c>
      <c r="E11" s="1069" t="s">
        <v>387</v>
      </c>
      <c r="F11" s="1070">
        <v>998</v>
      </c>
      <c r="G11" s="1070">
        <v>2</v>
      </c>
      <c r="H11" s="1071">
        <v>0.02</v>
      </c>
      <c r="I11" s="1072" t="s">
        <v>399</v>
      </c>
      <c r="J11" s="1073" t="s">
        <v>400</v>
      </c>
      <c r="K11" s="712">
        <v>129000</v>
      </c>
      <c r="L11" s="1051">
        <v>99000</v>
      </c>
      <c r="M11" s="1051">
        <v>99000</v>
      </c>
      <c r="N11" s="1051">
        <v>98000</v>
      </c>
      <c r="O11" s="1051">
        <v>198000</v>
      </c>
      <c r="P11" s="1051">
        <v>132000</v>
      </c>
      <c r="Q11" s="1051">
        <v>114000</v>
      </c>
      <c r="R11" s="1051">
        <v>110000</v>
      </c>
      <c r="S11" s="1051">
        <v>187000</v>
      </c>
      <c r="T11" s="1051">
        <v>224000</v>
      </c>
      <c r="U11" s="1051">
        <v>219000</v>
      </c>
      <c r="V11" s="1051">
        <v>225270</v>
      </c>
      <c r="W11" s="1051">
        <v>440000</v>
      </c>
      <c r="X11" s="1052">
        <v>349000</v>
      </c>
      <c r="Z11" s="1067" t="s">
        <v>401</v>
      </c>
      <c r="AA11" s="1070">
        <v>998</v>
      </c>
      <c r="AB11" s="3" t="s">
        <v>255</v>
      </c>
      <c r="AC11" s="1078">
        <v>117000</v>
      </c>
      <c r="AD11" s="3"/>
    </row>
    <row r="12" spans="1:29" x14ac:dyDescent="0.25">
      <c r="A12" s="1057" t="s">
        <v>18</v>
      </c>
      <c r="B12" s="1058" t="s">
        <v>21</v>
      </c>
      <c r="C12" s="1059" t="s">
        <v>385</v>
      </c>
      <c r="D12" s="1060" t="s">
        <v>402</v>
      </c>
      <c r="E12" s="1060" t="s">
        <v>387</v>
      </c>
      <c r="F12" s="1061">
        <v>1598</v>
      </c>
      <c r="G12" s="1061">
        <v>3</v>
      </c>
      <c r="H12" s="1062">
        <v>0.035</v>
      </c>
      <c r="I12" s="1063"/>
      <c r="J12" s="1079" t="s">
        <v>388</v>
      </c>
      <c r="K12" s="712">
        <v>231000</v>
      </c>
      <c r="L12" s="1051">
        <v>215950</v>
      </c>
      <c r="M12" s="1051">
        <v>214950</v>
      </c>
      <c r="N12" s="1051">
        <v>213950</v>
      </c>
      <c r="O12" s="1051">
        <v>286000</v>
      </c>
      <c r="P12" s="1051">
        <v>247950</v>
      </c>
      <c r="Q12" s="1051">
        <v>229950</v>
      </c>
      <c r="R12" s="1051">
        <v>225950</v>
      </c>
      <c r="S12" s="1051">
        <v>275000</v>
      </c>
      <c r="T12" s="1051">
        <v>286000</v>
      </c>
      <c r="U12" s="1051">
        <v>250000</v>
      </c>
      <c r="V12" s="1051">
        <v>286000</v>
      </c>
      <c r="W12" s="1051">
        <v>440000</v>
      </c>
      <c r="X12" s="1052">
        <v>201600</v>
      </c>
      <c r="Z12" s="1058" t="s">
        <v>21</v>
      </c>
      <c r="AA12" s="1061">
        <v>1598</v>
      </c>
      <c r="AB12" s="3" t="str">
        <f t="shared" ref="AB12:AB42" si="0">IF(AA12&lt;1000,"경형",IF(AA12&lt;1600,"소형",IF(AA12&lt;2000,"중형",IF(AA12&lt;2500,"대형",IF(AA12&lt;3400,"고급",IF(AA12&gt;=3400,"최고급"))))))</f>
        <v>소형</v>
      </c>
      <c r="AC12" s="1051"/>
    </row>
    <row r="13" spans="1:29" x14ac:dyDescent="0.25">
      <c r="A13" s="1057" t="s">
        <v>18</v>
      </c>
      <c r="B13" s="1058" t="s">
        <v>403</v>
      </c>
      <c r="C13" s="1059" t="s">
        <v>385</v>
      </c>
      <c r="D13" s="1060" t="s">
        <v>395</v>
      </c>
      <c r="E13" s="1060" t="s">
        <v>404</v>
      </c>
      <c r="F13" s="1061">
        <v>1591</v>
      </c>
      <c r="G13" s="1061">
        <v>3</v>
      </c>
      <c r="H13" s="1062">
        <v>0.035</v>
      </c>
      <c r="I13" s="1063" t="s">
        <v>405</v>
      </c>
      <c r="J13" s="1079" t="s">
        <v>388</v>
      </c>
      <c r="K13" s="712">
        <v>231000</v>
      </c>
      <c r="L13" s="1051">
        <v>215950</v>
      </c>
      <c r="M13" s="1051">
        <v>214950</v>
      </c>
      <c r="N13" s="1051">
        <v>213950</v>
      </c>
      <c r="O13" s="1051">
        <v>286000</v>
      </c>
      <c r="P13" s="1051">
        <v>247950</v>
      </c>
      <c r="Q13" s="1051">
        <v>229950</v>
      </c>
      <c r="R13" s="1051">
        <v>225950</v>
      </c>
      <c r="S13" s="1051">
        <v>275000</v>
      </c>
      <c r="T13" s="1051">
        <v>286000</v>
      </c>
      <c r="U13" s="1051">
        <v>250000</v>
      </c>
      <c r="V13" s="1051">
        <v>286000</v>
      </c>
      <c r="W13" s="1051">
        <v>440000</v>
      </c>
      <c r="X13" s="1052">
        <v>201600</v>
      </c>
      <c r="Z13" s="1058" t="s">
        <v>403</v>
      </c>
      <c r="AA13" s="1061">
        <v>1591</v>
      </c>
      <c r="AB13" s="3" t="str">
        <f t="shared" si="0"/>
        <v>소형</v>
      </c>
      <c r="AC13" s="1051"/>
    </row>
    <row r="14" spans="1:29" x14ac:dyDescent="0.25">
      <c r="A14" s="1057" t="s">
        <v>18</v>
      </c>
      <c r="B14" s="1058" t="s">
        <v>406</v>
      </c>
      <c r="C14" s="1059" t="s">
        <v>385</v>
      </c>
      <c r="D14" s="1060" t="s">
        <v>407</v>
      </c>
      <c r="E14" s="1060" t="s">
        <v>387</v>
      </c>
      <c r="F14" s="1061">
        <v>1598</v>
      </c>
      <c r="G14" s="1061">
        <v>3</v>
      </c>
      <c r="H14" s="1062">
        <v>0.035</v>
      </c>
      <c r="I14" s="1063"/>
      <c r="J14" s="1079" t="s">
        <v>388</v>
      </c>
      <c r="K14" s="712">
        <v>231000</v>
      </c>
      <c r="L14" s="1051">
        <v>215950</v>
      </c>
      <c r="M14" s="1051">
        <v>214950</v>
      </c>
      <c r="N14" s="1051">
        <v>213950</v>
      </c>
      <c r="O14" s="1051">
        <v>286000</v>
      </c>
      <c r="P14" s="1051">
        <v>247950</v>
      </c>
      <c r="Q14" s="1051">
        <v>229950</v>
      </c>
      <c r="R14" s="1051">
        <v>225950</v>
      </c>
      <c r="S14" s="1051">
        <v>275000</v>
      </c>
      <c r="T14" s="1051">
        <v>286000</v>
      </c>
      <c r="U14" s="1051">
        <v>250000</v>
      </c>
      <c r="V14" s="1051">
        <v>286000</v>
      </c>
      <c r="W14" s="1051">
        <v>440000</v>
      </c>
      <c r="X14" s="1052">
        <v>201600</v>
      </c>
      <c r="Z14" s="1058" t="s">
        <v>406</v>
      </c>
      <c r="AA14" s="1061">
        <v>1598</v>
      </c>
      <c r="AB14" s="3" t="str">
        <f t="shared" si="0"/>
        <v>소형</v>
      </c>
      <c r="AC14" s="1051"/>
    </row>
    <row r="15" spans="1:30" s="1065" customFormat="1" x14ac:dyDescent="0.25">
      <c r="A15" s="1066" t="s">
        <v>18</v>
      </c>
      <c r="B15" s="1067" t="s">
        <v>408</v>
      </c>
      <c r="C15" s="1068" t="s">
        <v>385</v>
      </c>
      <c r="D15" s="1080" t="s">
        <v>407</v>
      </c>
      <c r="E15" s="1069" t="s">
        <v>396</v>
      </c>
      <c r="F15" s="1070">
        <v>1580</v>
      </c>
      <c r="G15" s="1070">
        <v>3</v>
      </c>
      <c r="H15" s="1071">
        <v>0.035</v>
      </c>
      <c r="I15" s="1072"/>
      <c r="J15" s="1079" t="s">
        <v>388</v>
      </c>
      <c r="K15" s="1074">
        <v>231000</v>
      </c>
      <c r="L15" s="1075">
        <v>215950</v>
      </c>
      <c r="M15" s="1075">
        <v>214950</v>
      </c>
      <c r="N15" s="1075">
        <v>213950</v>
      </c>
      <c r="O15" s="1075">
        <v>286000</v>
      </c>
      <c r="P15" s="1075">
        <v>247950</v>
      </c>
      <c r="Q15" s="1075">
        <v>229950</v>
      </c>
      <c r="R15" s="1075">
        <v>225950</v>
      </c>
      <c r="S15" s="1075">
        <v>275000</v>
      </c>
      <c r="T15" s="1075">
        <v>286000</v>
      </c>
      <c r="U15" s="1075">
        <v>250000</v>
      </c>
      <c r="V15" s="1075">
        <v>286000</v>
      </c>
      <c r="W15" s="1075">
        <v>440000</v>
      </c>
      <c r="X15" s="1075">
        <v>201600</v>
      </c>
      <c r="Z15" s="1067" t="s">
        <v>408</v>
      </c>
      <c r="AA15" s="1070">
        <v>1580</v>
      </c>
      <c r="AB15" s="3" t="str">
        <f t="shared" si="0"/>
        <v>소형</v>
      </c>
      <c r="AC15" s="1051"/>
      <c r="AD15" s="3"/>
    </row>
    <row r="16" spans="1:29" x14ac:dyDescent="0.25">
      <c r="A16" s="1057" t="s">
        <v>18</v>
      </c>
      <c r="B16" s="1058" t="s">
        <v>409</v>
      </c>
      <c r="C16" s="1059" t="s">
        <v>385</v>
      </c>
      <c r="D16" s="1060" t="s">
        <v>410</v>
      </c>
      <c r="E16" s="1060" t="s">
        <v>387</v>
      </c>
      <c r="F16" s="1061">
        <v>1998</v>
      </c>
      <c r="G16" s="1061">
        <v>3</v>
      </c>
      <c r="H16" s="1062">
        <v>0.015</v>
      </c>
      <c r="I16" s="1063"/>
      <c r="J16" s="1064" t="s">
        <v>388</v>
      </c>
      <c r="K16" s="712" t="s">
        <v>411</v>
      </c>
      <c r="L16" s="1051">
        <v>215950</v>
      </c>
      <c r="M16" s="1051">
        <v>214950</v>
      </c>
      <c r="N16" s="1051">
        <v>213950</v>
      </c>
      <c r="O16" s="1051">
        <v>286000</v>
      </c>
      <c r="P16" s="1051">
        <v>247950</v>
      </c>
      <c r="Q16" s="1051">
        <v>229950</v>
      </c>
      <c r="R16" s="1051">
        <v>225950</v>
      </c>
      <c r="S16" s="1051">
        <v>275000</v>
      </c>
      <c r="T16" s="1051">
        <v>286000</v>
      </c>
      <c r="U16" s="1051">
        <v>250000</v>
      </c>
      <c r="V16" s="1051">
        <v>286000</v>
      </c>
      <c r="W16" s="1051">
        <v>440000</v>
      </c>
      <c r="X16" s="1052">
        <v>300000</v>
      </c>
      <c r="Z16" s="1058" t="s">
        <v>409</v>
      </c>
      <c r="AA16" s="1061">
        <v>1998</v>
      </c>
      <c r="AB16" s="3" t="str">
        <f t="shared" si="0"/>
        <v>중형</v>
      </c>
      <c r="AC16" s="1051"/>
    </row>
    <row r="17" spans="1:29" x14ac:dyDescent="0.25">
      <c r="A17" s="1057"/>
      <c r="B17" s="1058"/>
      <c r="C17" s="1059"/>
      <c r="D17" s="1060"/>
      <c r="E17" s="1060"/>
      <c r="F17" s="1061"/>
      <c r="G17" s="1061"/>
      <c r="H17" s="1062"/>
      <c r="I17" s="1063"/>
      <c r="J17" s="1064"/>
      <c r="Z17" s="1058"/>
      <c r="AA17" s="1061"/>
      <c r="AC17" s="1051"/>
    </row>
    <row r="18" spans="1:29" x14ac:dyDescent="0.25">
      <c r="A18" s="1057" t="s">
        <v>18</v>
      </c>
      <c r="B18" s="1058" t="s">
        <v>412</v>
      </c>
      <c r="C18" s="1059" t="s">
        <v>413</v>
      </c>
      <c r="D18" s="1060" t="s">
        <v>398</v>
      </c>
      <c r="E18" s="1060" t="s">
        <v>404</v>
      </c>
      <c r="F18" s="1061">
        <v>3470</v>
      </c>
      <c r="G18" s="1061">
        <v>9</v>
      </c>
      <c r="H18" s="1062">
        <v>0.02</v>
      </c>
      <c r="I18" s="1063"/>
      <c r="J18" s="1064" t="s">
        <v>388</v>
      </c>
      <c r="K18" s="712" t="s">
        <v>411</v>
      </c>
      <c r="L18" s="1051">
        <v>215950</v>
      </c>
      <c r="M18" s="1051">
        <v>214950</v>
      </c>
      <c r="N18" s="1051">
        <v>213950</v>
      </c>
      <c r="O18" s="1051">
        <v>286000</v>
      </c>
      <c r="P18" s="1051">
        <v>247950</v>
      </c>
      <c r="Q18" s="1051">
        <v>229950</v>
      </c>
      <c r="R18" s="1051">
        <v>225950</v>
      </c>
      <c r="S18" s="1051">
        <v>275000</v>
      </c>
      <c r="T18" s="1051">
        <v>286000</v>
      </c>
      <c r="U18" s="1051">
        <v>250000</v>
      </c>
      <c r="V18" s="1051">
        <v>286000</v>
      </c>
      <c r="W18" s="1051">
        <v>440000</v>
      </c>
      <c r="X18" s="1052">
        <v>270000</v>
      </c>
      <c r="Z18" s="1058" t="s">
        <v>412</v>
      </c>
      <c r="AA18" s="1061">
        <v>3470</v>
      </c>
      <c r="AB18" s="3" t="str">
        <f t="shared" si="0"/>
        <v>최고급</v>
      </c>
      <c r="AC18" s="1075"/>
    </row>
    <row r="19" spans="1:29" x14ac:dyDescent="0.25">
      <c r="A19" s="1057" t="s">
        <v>18</v>
      </c>
      <c r="B19" s="1058" t="s">
        <v>414</v>
      </c>
      <c r="C19" s="1059" t="s">
        <v>413</v>
      </c>
      <c r="D19" s="1060" t="s">
        <v>398</v>
      </c>
      <c r="E19" s="1060" t="s">
        <v>404</v>
      </c>
      <c r="F19" s="1061">
        <v>3470</v>
      </c>
      <c r="G19" s="1061">
        <v>9</v>
      </c>
      <c r="H19" s="1062">
        <v>0.02</v>
      </c>
      <c r="I19" s="1063"/>
      <c r="J19" s="1064" t="s">
        <v>388</v>
      </c>
      <c r="K19" s="712" t="s">
        <v>411</v>
      </c>
      <c r="L19" s="1051">
        <v>215950</v>
      </c>
      <c r="M19" s="1051">
        <v>214950</v>
      </c>
      <c r="N19" s="1051">
        <v>213950</v>
      </c>
      <c r="O19" s="1051">
        <v>286000</v>
      </c>
      <c r="P19" s="1051">
        <v>247950</v>
      </c>
      <c r="Q19" s="1051">
        <v>229950</v>
      </c>
      <c r="R19" s="1051">
        <v>225950</v>
      </c>
      <c r="S19" s="1051">
        <v>275000</v>
      </c>
      <c r="T19" s="1051">
        <v>286000</v>
      </c>
      <c r="U19" s="1051">
        <v>250000</v>
      </c>
      <c r="V19" s="1051">
        <v>286000</v>
      </c>
      <c r="W19" s="1051">
        <v>440000</v>
      </c>
      <c r="X19" s="1052">
        <v>270000</v>
      </c>
      <c r="Z19" s="1058" t="s">
        <v>414</v>
      </c>
      <c r="AA19" s="1061">
        <v>3470</v>
      </c>
      <c r="AB19" s="3" t="str">
        <f t="shared" si="0"/>
        <v>최고급</v>
      </c>
      <c r="AC19" s="1075"/>
    </row>
    <row r="20" spans="1:29" x14ac:dyDescent="0.25">
      <c r="A20" s="1057" t="s">
        <v>18</v>
      </c>
      <c r="B20" s="1058" t="s">
        <v>415</v>
      </c>
      <c r="C20" s="1059" t="s">
        <v>413</v>
      </c>
      <c r="D20" s="1060" t="s">
        <v>407</v>
      </c>
      <c r="E20" s="1060" t="s">
        <v>416</v>
      </c>
      <c r="F20" s="1061">
        <v>2151</v>
      </c>
      <c r="G20" s="1061">
        <v>8</v>
      </c>
      <c r="H20" s="1062">
        <v>0.02</v>
      </c>
      <c r="I20" s="1063"/>
      <c r="J20" s="1064" t="s">
        <v>388</v>
      </c>
      <c r="K20" s="712" t="s">
        <v>411</v>
      </c>
      <c r="L20" s="1051">
        <v>215950</v>
      </c>
      <c r="M20" s="1051">
        <v>214950</v>
      </c>
      <c r="N20" s="1051">
        <v>213950</v>
      </c>
      <c r="O20" s="1051">
        <v>286000</v>
      </c>
      <c r="P20" s="1051">
        <v>247950</v>
      </c>
      <c r="Q20" s="1051">
        <v>229950</v>
      </c>
      <c r="R20" s="1051">
        <v>225950</v>
      </c>
      <c r="S20" s="1051">
        <v>275000</v>
      </c>
      <c r="T20" s="1051">
        <v>286000</v>
      </c>
      <c r="U20" s="1051">
        <v>250000</v>
      </c>
      <c r="V20" s="1051">
        <v>286000</v>
      </c>
      <c r="W20" s="1051">
        <v>440000</v>
      </c>
      <c r="X20" s="1052">
        <v>270000</v>
      </c>
      <c r="Z20" s="1058" t="s">
        <v>415</v>
      </c>
      <c r="AA20" s="1061">
        <v>2151</v>
      </c>
      <c r="AB20" s="3" t="str">
        <f t="shared" si="0"/>
        <v>대형</v>
      </c>
      <c r="AC20" s="1075"/>
    </row>
    <row r="21" spans="1:29" x14ac:dyDescent="0.25">
      <c r="A21" s="1057" t="s">
        <v>18</v>
      </c>
      <c r="B21" s="1058" t="s">
        <v>417</v>
      </c>
      <c r="C21" s="1059" t="s">
        <v>413</v>
      </c>
      <c r="D21" s="1060" t="s">
        <v>407</v>
      </c>
      <c r="E21" s="1060" t="s">
        <v>416</v>
      </c>
      <c r="F21" s="1061">
        <v>2151</v>
      </c>
      <c r="G21" s="1061">
        <v>8</v>
      </c>
      <c r="H21" s="1062">
        <v>0.02</v>
      </c>
      <c r="I21" s="1063"/>
      <c r="J21" s="1064" t="s">
        <v>388</v>
      </c>
      <c r="K21" s="712" t="s">
        <v>411</v>
      </c>
      <c r="L21" s="1051">
        <v>215950</v>
      </c>
      <c r="M21" s="1051">
        <v>214950</v>
      </c>
      <c r="N21" s="1051">
        <v>213950</v>
      </c>
      <c r="O21" s="1051">
        <v>286000</v>
      </c>
      <c r="P21" s="1051">
        <v>247950</v>
      </c>
      <c r="Q21" s="1051">
        <v>229950</v>
      </c>
      <c r="R21" s="1051">
        <v>225950</v>
      </c>
      <c r="S21" s="1051">
        <v>275000</v>
      </c>
      <c r="T21" s="1051">
        <v>286000</v>
      </c>
      <c r="U21" s="1051">
        <v>250000</v>
      </c>
      <c r="V21" s="1051">
        <v>286000</v>
      </c>
      <c r="W21" s="1051">
        <v>440000</v>
      </c>
      <c r="X21" s="1052">
        <v>270000</v>
      </c>
      <c r="Z21" s="1058" t="s">
        <v>417</v>
      </c>
      <c r="AA21" s="1061">
        <v>2151</v>
      </c>
      <c r="AB21" s="3" t="str">
        <f t="shared" si="0"/>
        <v>대형</v>
      </c>
      <c r="AC21" s="1075"/>
    </row>
    <row r="22" spans="1:29" x14ac:dyDescent="0.25">
      <c r="A22" s="1057" t="s">
        <v>18</v>
      </c>
      <c r="B22" s="1058" t="s">
        <v>418</v>
      </c>
      <c r="C22" s="1059" t="s">
        <v>413</v>
      </c>
      <c r="D22" s="1060" t="s">
        <v>398</v>
      </c>
      <c r="E22" s="1060" t="s">
        <v>404</v>
      </c>
      <c r="F22" s="1061">
        <v>3470</v>
      </c>
      <c r="G22" s="1061">
        <v>9</v>
      </c>
      <c r="H22" s="1071">
        <v>0.02</v>
      </c>
      <c r="I22" s="1063" t="s">
        <v>399</v>
      </c>
      <c r="J22" s="1064" t="s">
        <v>388</v>
      </c>
      <c r="K22" s="712" t="s">
        <v>411</v>
      </c>
      <c r="L22" s="1051">
        <v>215950</v>
      </c>
      <c r="M22" s="1051">
        <v>214950</v>
      </c>
      <c r="N22" s="1051">
        <v>213950</v>
      </c>
      <c r="O22" s="1051">
        <v>286000</v>
      </c>
      <c r="P22" s="1051">
        <v>247950</v>
      </c>
      <c r="Q22" s="1051">
        <v>229950</v>
      </c>
      <c r="R22" s="1051">
        <v>225950</v>
      </c>
      <c r="S22" s="1051">
        <v>275000</v>
      </c>
      <c r="T22" s="1051">
        <v>286000</v>
      </c>
      <c r="U22" s="1051">
        <v>250000</v>
      </c>
      <c r="V22" s="1051">
        <v>286000</v>
      </c>
      <c r="W22" s="1051">
        <v>440000</v>
      </c>
      <c r="X22" s="1052">
        <v>270000</v>
      </c>
      <c r="Z22" s="1058" t="s">
        <v>418</v>
      </c>
      <c r="AA22" s="1061">
        <v>3470</v>
      </c>
      <c r="AB22" s="3" t="str">
        <f t="shared" si="0"/>
        <v>최고급</v>
      </c>
      <c r="AC22" s="1075"/>
    </row>
    <row r="23" spans="1:29" x14ac:dyDescent="0.25">
      <c r="A23" s="1057" t="s">
        <v>18</v>
      </c>
      <c r="B23" s="1067" t="s">
        <v>419</v>
      </c>
      <c r="C23" s="1059" t="s">
        <v>258</v>
      </c>
      <c r="D23" s="1060" t="s">
        <v>398</v>
      </c>
      <c r="E23" s="1060" t="s">
        <v>404</v>
      </c>
      <c r="F23" s="1061">
        <v>3470</v>
      </c>
      <c r="G23" s="1061">
        <v>10</v>
      </c>
      <c r="H23" s="1071">
        <v>0.02</v>
      </c>
      <c r="I23" s="1063" t="s">
        <v>399</v>
      </c>
      <c r="J23" s="1064" t="s">
        <v>388</v>
      </c>
      <c r="K23" s="712" t="s">
        <v>411</v>
      </c>
      <c r="L23" s="1051">
        <v>215950</v>
      </c>
      <c r="M23" s="1051">
        <v>214950</v>
      </c>
      <c r="N23" s="1051">
        <v>213950</v>
      </c>
      <c r="O23" s="1051">
        <v>286000</v>
      </c>
      <c r="P23" s="1051">
        <v>247950</v>
      </c>
      <c r="Q23" s="1051">
        <v>229950</v>
      </c>
      <c r="R23" s="1051">
        <v>225950</v>
      </c>
      <c r="S23" s="1051">
        <v>275000</v>
      </c>
      <c r="T23" s="1051">
        <v>286000</v>
      </c>
      <c r="U23" s="1051">
        <v>250000</v>
      </c>
      <c r="V23" s="1051">
        <v>286000</v>
      </c>
      <c r="W23" s="1051">
        <v>440000</v>
      </c>
      <c r="X23" s="1052">
        <v>270000</v>
      </c>
      <c r="Z23" s="1067" t="s">
        <v>419</v>
      </c>
      <c r="AA23" s="1061">
        <v>3470</v>
      </c>
      <c r="AB23" s="3" t="s">
        <v>258</v>
      </c>
      <c r="AC23" s="1075"/>
    </row>
    <row r="24" spans="1:29" x14ac:dyDescent="0.25">
      <c r="A24" s="1057" t="s">
        <v>18</v>
      </c>
      <c r="B24" s="1058" t="s">
        <v>420</v>
      </c>
      <c r="C24" s="1059" t="s">
        <v>413</v>
      </c>
      <c r="D24" s="1060" t="s">
        <v>407</v>
      </c>
      <c r="E24" s="1060" t="s">
        <v>416</v>
      </c>
      <c r="F24" s="1061">
        <v>2151</v>
      </c>
      <c r="G24" s="1061">
        <v>8</v>
      </c>
      <c r="H24" s="1071">
        <v>0.02</v>
      </c>
      <c r="I24" s="1063" t="s">
        <v>399</v>
      </c>
      <c r="J24" s="1064" t="s">
        <v>388</v>
      </c>
      <c r="K24" s="712" t="s">
        <v>411</v>
      </c>
      <c r="L24" s="1051">
        <v>215950</v>
      </c>
      <c r="M24" s="1051">
        <v>214950</v>
      </c>
      <c r="N24" s="1051">
        <v>213950</v>
      </c>
      <c r="O24" s="1051">
        <v>286000</v>
      </c>
      <c r="P24" s="1051">
        <v>247950</v>
      </c>
      <c r="Q24" s="1051">
        <v>229950</v>
      </c>
      <c r="R24" s="1051">
        <v>225950</v>
      </c>
      <c r="S24" s="1051">
        <v>275000</v>
      </c>
      <c r="T24" s="1051">
        <v>286000</v>
      </c>
      <c r="U24" s="1051">
        <v>250000</v>
      </c>
      <c r="V24" s="1051">
        <v>286000</v>
      </c>
      <c r="W24" s="1051">
        <v>440000</v>
      </c>
      <c r="X24" s="1052">
        <v>270000</v>
      </c>
      <c r="Z24" s="1058" t="s">
        <v>420</v>
      </c>
      <c r="AA24" s="1061">
        <v>2151</v>
      </c>
      <c r="AB24" s="3" t="str">
        <f t="shared" si="0"/>
        <v>대형</v>
      </c>
      <c r="AC24" s="1075"/>
    </row>
    <row r="25" spans="1:29" x14ac:dyDescent="0.25">
      <c r="A25" s="1057" t="s">
        <v>18</v>
      </c>
      <c r="B25" s="1067" t="s">
        <v>421</v>
      </c>
      <c r="C25" s="1059" t="s">
        <v>258</v>
      </c>
      <c r="D25" s="1060" t="s">
        <v>407</v>
      </c>
      <c r="E25" s="1060" t="s">
        <v>416</v>
      </c>
      <c r="F25" s="1061">
        <v>2151</v>
      </c>
      <c r="G25" s="1061">
        <v>10</v>
      </c>
      <c r="H25" s="1071">
        <v>0.02</v>
      </c>
      <c r="I25" s="1063" t="s">
        <v>399</v>
      </c>
      <c r="J25" s="1064" t="s">
        <v>388</v>
      </c>
      <c r="K25" s="712" t="s">
        <v>411</v>
      </c>
      <c r="L25" s="1051">
        <v>215950</v>
      </c>
      <c r="M25" s="1051">
        <v>214950</v>
      </c>
      <c r="N25" s="1051">
        <v>213950</v>
      </c>
      <c r="O25" s="1051">
        <v>286000</v>
      </c>
      <c r="P25" s="1051">
        <v>247950</v>
      </c>
      <c r="Q25" s="1051">
        <v>229950</v>
      </c>
      <c r="R25" s="1051">
        <v>225950</v>
      </c>
      <c r="S25" s="1051">
        <v>275000</v>
      </c>
      <c r="T25" s="1051">
        <v>286000</v>
      </c>
      <c r="U25" s="1051">
        <v>250000</v>
      </c>
      <c r="V25" s="1051">
        <v>286000</v>
      </c>
      <c r="W25" s="1051">
        <v>440000</v>
      </c>
      <c r="X25" s="1052">
        <v>270000</v>
      </c>
      <c r="Z25" s="1067" t="s">
        <v>421</v>
      </c>
      <c r="AA25" s="1061">
        <v>2151</v>
      </c>
      <c r="AB25" s="3" t="s">
        <v>258</v>
      </c>
      <c r="AC25" s="1075"/>
    </row>
    <row r="26" spans="1:27" x14ac:dyDescent="0.25">
      <c r="A26" s="1057"/>
      <c r="B26" s="1058"/>
      <c r="C26" s="1059"/>
      <c r="D26" s="1060"/>
      <c r="E26" s="1060"/>
      <c r="F26" s="1061"/>
      <c r="G26" s="1081"/>
      <c r="H26" s="1082"/>
      <c r="I26" s="1063"/>
      <c r="J26" s="1064"/>
      <c r="Z26" s="1058"/>
      <c r="AA26" s="1061"/>
    </row>
    <row r="27" spans="1:28" x14ac:dyDescent="0.25">
      <c r="A27" s="1057" t="s">
        <v>18</v>
      </c>
      <c r="B27" s="1058" t="s">
        <v>422</v>
      </c>
      <c r="C27" s="1059" t="s">
        <v>385</v>
      </c>
      <c r="D27" s="1060" t="s">
        <v>390</v>
      </c>
      <c r="E27" s="1060" t="s">
        <v>396</v>
      </c>
      <c r="F27" s="1061">
        <v>1999</v>
      </c>
      <c r="G27" s="1061">
        <v>4</v>
      </c>
      <c r="H27" s="1062">
        <v>0.035</v>
      </c>
      <c r="I27" s="1063"/>
      <c r="J27" s="1079" t="s">
        <v>423</v>
      </c>
      <c r="K27" s="1083">
        <v>129000</v>
      </c>
      <c r="L27" s="693">
        <v>99000</v>
      </c>
      <c r="M27" s="693">
        <v>99000</v>
      </c>
      <c r="N27" s="693">
        <v>98000</v>
      </c>
      <c r="O27" s="693">
        <v>198000</v>
      </c>
      <c r="P27" s="693">
        <v>132000</v>
      </c>
      <c r="Q27" s="693">
        <v>114000</v>
      </c>
      <c r="R27" s="693">
        <v>110000</v>
      </c>
      <c r="S27" s="693">
        <v>187000</v>
      </c>
      <c r="T27" s="693">
        <v>224000</v>
      </c>
      <c r="U27" s="693">
        <v>219000</v>
      </c>
      <c r="V27" s="693">
        <v>225270</v>
      </c>
      <c r="W27" s="693">
        <v>440000</v>
      </c>
      <c r="X27" s="1084">
        <v>349000</v>
      </c>
      <c r="Z27" s="1058" t="s">
        <v>422</v>
      </c>
      <c r="AA27" s="1061">
        <v>1999</v>
      </c>
      <c r="AB27" s="3" t="str">
        <f t="shared" si="0"/>
        <v>중형</v>
      </c>
    </row>
    <row r="28" spans="1:28" x14ac:dyDescent="0.25">
      <c r="A28" s="1057" t="s">
        <v>18</v>
      </c>
      <c r="B28" s="1058" t="s">
        <v>424</v>
      </c>
      <c r="C28" s="1059" t="s">
        <v>385</v>
      </c>
      <c r="D28" s="1060" t="s">
        <v>398</v>
      </c>
      <c r="E28" s="1060" t="s">
        <v>387</v>
      </c>
      <c r="F28" s="1061">
        <v>1598</v>
      </c>
      <c r="G28" s="1061">
        <v>3</v>
      </c>
      <c r="H28" s="1062">
        <v>0.035</v>
      </c>
      <c r="I28" s="1063"/>
      <c r="J28" s="1079" t="s">
        <v>423</v>
      </c>
      <c r="K28" s="1083">
        <v>129000</v>
      </c>
      <c r="L28" s="693">
        <v>99000</v>
      </c>
      <c r="M28" s="693">
        <v>99000</v>
      </c>
      <c r="N28" s="693">
        <v>98000</v>
      </c>
      <c r="O28" s="693">
        <v>198000</v>
      </c>
      <c r="P28" s="693">
        <v>132000</v>
      </c>
      <c r="Q28" s="693">
        <v>114000</v>
      </c>
      <c r="R28" s="693">
        <v>110000</v>
      </c>
      <c r="S28" s="693">
        <v>187000</v>
      </c>
      <c r="T28" s="693">
        <v>224000</v>
      </c>
      <c r="U28" s="693">
        <v>219000</v>
      </c>
      <c r="V28" s="693">
        <v>225270</v>
      </c>
      <c r="W28" s="693">
        <v>440000</v>
      </c>
      <c r="X28" s="1084">
        <v>349000</v>
      </c>
      <c r="Z28" s="1058" t="s">
        <v>424</v>
      </c>
      <c r="AA28" s="1061">
        <v>1598</v>
      </c>
      <c r="AB28" s="3" t="s">
        <v>250</v>
      </c>
    </row>
    <row r="29" spans="1:28" x14ac:dyDescent="0.25">
      <c r="A29" s="1057" t="s">
        <v>18</v>
      </c>
      <c r="B29" s="1058" t="s">
        <v>425</v>
      </c>
      <c r="C29" s="1059" t="s">
        <v>385</v>
      </c>
      <c r="D29" s="1060" t="s">
        <v>407</v>
      </c>
      <c r="E29" s="1060" t="s">
        <v>387</v>
      </c>
      <c r="F29" s="1061">
        <v>1999</v>
      </c>
      <c r="G29" s="1061">
        <v>4</v>
      </c>
      <c r="H29" s="1062">
        <v>0.035</v>
      </c>
      <c r="I29" s="1063"/>
      <c r="J29" s="1079" t="s">
        <v>423</v>
      </c>
      <c r="K29" s="1083">
        <v>129000</v>
      </c>
      <c r="L29" s="693">
        <v>99000</v>
      </c>
      <c r="M29" s="693">
        <v>99000</v>
      </c>
      <c r="N29" s="693">
        <v>98000</v>
      </c>
      <c r="O29" s="693">
        <v>198000</v>
      </c>
      <c r="P29" s="693">
        <v>132000</v>
      </c>
      <c r="Q29" s="693">
        <v>114000</v>
      </c>
      <c r="R29" s="693">
        <v>110000</v>
      </c>
      <c r="S29" s="693">
        <v>187000</v>
      </c>
      <c r="T29" s="693">
        <v>224000</v>
      </c>
      <c r="U29" s="693">
        <v>219000</v>
      </c>
      <c r="V29" s="693">
        <v>225270</v>
      </c>
      <c r="W29" s="693">
        <v>440000</v>
      </c>
      <c r="X29" s="1084">
        <v>349000</v>
      </c>
      <c r="Z29" s="1058" t="s">
        <v>425</v>
      </c>
      <c r="AA29" s="1061">
        <v>1999</v>
      </c>
      <c r="AB29" s="3" t="str">
        <f t="shared" si="0"/>
        <v>중형</v>
      </c>
    </row>
    <row r="30" spans="1:28" x14ac:dyDescent="0.25">
      <c r="A30" s="1057" t="s">
        <v>18</v>
      </c>
      <c r="B30" s="1058" t="s">
        <v>426</v>
      </c>
      <c r="C30" s="1059" t="s">
        <v>385</v>
      </c>
      <c r="D30" s="1060" t="s">
        <v>398</v>
      </c>
      <c r="E30" s="1060" t="s">
        <v>404</v>
      </c>
      <c r="F30" s="1061">
        <v>1999</v>
      </c>
      <c r="G30" s="1061">
        <v>4</v>
      </c>
      <c r="H30" s="1062">
        <v>0.035</v>
      </c>
      <c r="I30" s="1063" t="s">
        <v>405</v>
      </c>
      <c r="J30" s="1079" t="s">
        <v>423</v>
      </c>
      <c r="K30" s="1083">
        <v>129000</v>
      </c>
      <c r="L30" s="693">
        <v>99000</v>
      </c>
      <c r="M30" s="693">
        <v>99000</v>
      </c>
      <c r="N30" s="693">
        <v>98000</v>
      </c>
      <c r="O30" s="693">
        <v>198000</v>
      </c>
      <c r="P30" s="693">
        <v>132000</v>
      </c>
      <c r="Q30" s="693">
        <v>114000</v>
      </c>
      <c r="R30" s="693">
        <v>110000</v>
      </c>
      <c r="S30" s="693">
        <v>187000</v>
      </c>
      <c r="T30" s="693">
        <v>224000</v>
      </c>
      <c r="U30" s="693">
        <v>219000</v>
      </c>
      <c r="V30" s="693">
        <v>225270</v>
      </c>
      <c r="W30" s="693">
        <v>440000</v>
      </c>
      <c r="X30" s="1084">
        <v>349000</v>
      </c>
      <c r="Z30" s="1058" t="s">
        <v>426</v>
      </c>
      <c r="AA30" s="1061">
        <v>1999</v>
      </c>
      <c r="AB30" s="3" t="str">
        <f t="shared" si="0"/>
        <v>중형</v>
      </c>
    </row>
    <row r="31" spans="1:30" s="1085" customFormat="1" x14ac:dyDescent="0.25">
      <c r="A31" s="1057" t="s">
        <v>18</v>
      </c>
      <c r="B31" s="1058" t="s">
        <v>427</v>
      </c>
      <c r="C31" s="1059" t="s">
        <v>385</v>
      </c>
      <c r="D31" s="1060" t="s">
        <v>390</v>
      </c>
      <c r="E31" s="1060" t="s">
        <v>404</v>
      </c>
      <c r="F31" s="1061">
        <v>3470</v>
      </c>
      <c r="G31" s="1061">
        <v>4</v>
      </c>
      <c r="H31" s="1062">
        <v>0.02</v>
      </c>
      <c r="I31" s="1063" t="s">
        <v>405</v>
      </c>
      <c r="J31" s="1079" t="s">
        <v>400</v>
      </c>
      <c r="K31" s="1083">
        <v>129000</v>
      </c>
      <c r="L31" s="693">
        <v>99000</v>
      </c>
      <c r="M31" s="693">
        <v>99000</v>
      </c>
      <c r="N31" s="693">
        <v>98000</v>
      </c>
      <c r="O31" s="693">
        <v>198000</v>
      </c>
      <c r="P31" s="693">
        <v>132000</v>
      </c>
      <c r="Q31" s="693">
        <v>114000</v>
      </c>
      <c r="R31" s="693">
        <v>110000</v>
      </c>
      <c r="S31" s="693">
        <v>187000</v>
      </c>
      <c r="T31" s="693">
        <v>224000</v>
      </c>
      <c r="U31" s="693">
        <v>219000</v>
      </c>
      <c r="V31" s="693">
        <v>225270</v>
      </c>
      <c r="W31" s="693">
        <v>440000</v>
      </c>
      <c r="X31" s="1084">
        <v>246000</v>
      </c>
      <c r="Z31" s="1058" t="s">
        <v>427</v>
      </c>
      <c r="AA31" s="1061">
        <v>3470</v>
      </c>
      <c r="AB31" s="3" t="s">
        <v>254</v>
      </c>
      <c r="AD31" s="3"/>
    </row>
    <row r="32" spans="1:30" s="1085" customFormat="1" x14ac:dyDescent="0.25">
      <c r="A32" s="1057" t="s">
        <v>18</v>
      </c>
      <c r="B32" s="1058" t="s">
        <v>428</v>
      </c>
      <c r="C32" s="1059" t="s">
        <v>385</v>
      </c>
      <c r="D32" s="1060" t="s">
        <v>407</v>
      </c>
      <c r="E32" s="1060" t="s">
        <v>396</v>
      </c>
      <c r="F32" s="1061">
        <v>1598</v>
      </c>
      <c r="G32" s="1061">
        <v>5</v>
      </c>
      <c r="H32" s="1062">
        <v>0.02</v>
      </c>
      <c r="I32" s="1063"/>
      <c r="J32" s="1079" t="s">
        <v>400</v>
      </c>
      <c r="K32" s="1083">
        <v>129000</v>
      </c>
      <c r="L32" s="693">
        <v>99000</v>
      </c>
      <c r="M32" s="693">
        <v>99000</v>
      </c>
      <c r="N32" s="693">
        <v>98000</v>
      </c>
      <c r="O32" s="693">
        <v>198000</v>
      </c>
      <c r="P32" s="693">
        <v>132000</v>
      </c>
      <c r="Q32" s="693">
        <v>114000</v>
      </c>
      <c r="R32" s="693">
        <v>110000</v>
      </c>
      <c r="S32" s="693">
        <v>187000</v>
      </c>
      <c r="T32" s="693">
        <v>224000</v>
      </c>
      <c r="U32" s="693">
        <v>219000</v>
      </c>
      <c r="V32" s="693">
        <v>225270</v>
      </c>
      <c r="W32" s="693">
        <v>440000</v>
      </c>
      <c r="X32" s="1084">
        <v>347600</v>
      </c>
      <c r="Z32" s="1058" t="s">
        <v>428</v>
      </c>
      <c r="AA32" s="1061">
        <v>1598</v>
      </c>
      <c r="AB32" s="3" t="s">
        <v>252</v>
      </c>
      <c r="AD32" s="3"/>
    </row>
    <row r="33" spans="1:28" x14ac:dyDescent="0.25">
      <c r="A33" s="1057" t="s">
        <v>18</v>
      </c>
      <c r="B33" s="1058" t="s">
        <v>429</v>
      </c>
      <c r="C33" s="1059" t="s">
        <v>385</v>
      </c>
      <c r="D33" s="1060" t="s">
        <v>407</v>
      </c>
      <c r="E33" s="1060" t="s">
        <v>387</v>
      </c>
      <c r="F33" s="1061">
        <v>2497</v>
      </c>
      <c r="G33" s="1061">
        <v>5</v>
      </c>
      <c r="H33" s="1062">
        <v>0.02</v>
      </c>
      <c r="I33" s="1063"/>
      <c r="J33" s="1079" t="s">
        <v>400</v>
      </c>
      <c r="K33" s="1083">
        <v>129000</v>
      </c>
      <c r="L33" s="693">
        <v>99000</v>
      </c>
      <c r="M33" s="693">
        <v>99000</v>
      </c>
      <c r="N33" s="693">
        <v>98000</v>
      </c>
      <c r="O33" s="693">
        <v>198000</v>
      </c>
      <c r="P33" s="693">
        <v>132000</v>
      </c>
      <c r="Q33" s="693">
        <v>114000</v>
      </c>
      <c r="R33" s="693">
        <v>110000</v>
      </c>
      <c r="S33" s="693">
        <v>187000</v>
      </c>
      <c r="T33" s="693">
        <v>224000</v>
      </c>
      <c r="U33" s="693">
        <v>219000</v>
      </c>
      <c r="V33" s="693">
        <v>225270</v>
      </c>
      <c r="W33" s="693">
        <v>440000</v>
      </c>
      <c r="X33" s="1084">
        <v>395800</v>
      </c>
      <c r="Z33" s="1058" t="s">
        <v>429</v>
      </c>
      <c r="AA33" s="1061">
        <v>2497</v>
      </c>
      <c r="AB33" s="3" t="str">
        <f t="shared" si="0"/>
        <v>대형</v>
      </c>
    </row>
    <row r="34" spans="1:28" x14ac:dyDescent="0.25">
      <c r="A34" s="1057" t="s">
        <v>18</v>
      </c>
      <c r="B34" s="1058" t="s">
        <v>430</v>
      </c>
      <c r="C34" s="1059" t="s">
        <v>385</v>
      </c>
      <c r="D34" s="1060" t="s">
        <v>390</v>
      </c>
      <c r="E34" s="1060" t="s">
        <v>387</v>
      </c>
      <c r="F34" s="1061">
        <v>3470</v>
      </c>
      <c r="G34" s="1061">
        <v>5</v>
      </c>
      <c r="H34" s="1062">
        <v>0.02</v>
      </c>
      <c r="I34" s="1063"/>
      <c r="J34" s="1079" t="s">
        <v>400</v>
      </c>
      <c r="K34" s="1083">
        <v>129000</v>
      </c>
      <c r="L34" s="693">
        <v>99000</v>
      </c>
      <c r="M34" s="693">
        <v>99000</v>
      </c>
      <c r="N34" s="693">
        <v>98000</v>
      </c>
      <c r="O34" s="693">
        <v>198000</v>
      </c>
      <c r="P34" s="693">
        <v>132000</v>
      </c>
      <c r="Q34" s="693">
        <v>114000</v>
      </c>
      <c r="R34" s="693">
        <v>110000</v>
      </c>
      <c r="S34" s="693">
        <v>187000</v>
      </c>
      <c r="T34" s="693">
        <v>224000</v>
      </c>
      <c r="U34" s="693">
        <v>219000</v>
      </c>
      <c r="V34" s="693">
        <v>225270</v>
      </c>
      <c r="W34" s="693">
        <v>440000</v>
      </c>
      <c r="X34" s="1084">
        <v>395800</v>
      </c>
      <c r="Z34" s="1058" t="s">
        <v>430</v>
      </c>
      <c r="AA34" s="1061">
        <v>3470</v>
      </c>
      <c r="AB34" s="3" t="s">
        <v>254</v>
      </c>
    </row>
    <row r="35" spans="1:30" s="1065" customFormat="1" x14ac:dyDescent="0.25">
      <c r="A35" s="1066" t="s">
        <v>18</v>
      </c>
      <c r="B35" s="1067" t="s">
        <v>431</v>
      </c>
      <c r="C35" s="1068" t="s">
        <v>385</v>
      </c>
      <c r="D35" s="1069" t="s">
        <v>398</v>
      </c>
      <c r="E35" s="1069" t="s">
        <v>387</v>
      </c>
      <c r="F35" s="1070">
        <v>1998</v>
      </c>
      <c r="G35" s="1070">
        <v>4</v>
      </c>
      <c r="H35" s="1071">
        <v>0.015</v>
      </c>
      <c r="I35" s="1072"/>
      <c r="J35" s="1073" t="s">
        <v>388</v>
      </c>
      <c r="K35" s="1077">
        <v>247000</v>
      </c>
      <c r="L35" s="1086">
        <v>215950</v>
      </c>
      <c r="M35" s="1086">
        <v>214950</v>
      </c>
      <c r="N35" s="1086">
        <v>213950</v>
      </c>
      <c r="O35" s="1086">
        <v>286000</v>
      </c>
      <c r="P35" s="1086">
        <v>247950</v>
      </c>
      <c r="Q35" s="1086">
        <v>229950</v>
      </c>
      <c r="R35" s="1086">
        <v>225950</v>
      </c>
      <c r="S35" s="1086">
        <v>275000</v>
      </c>
      <c r="T35" s="1086">
        <v>286000</v>
      </c>
      <c r="U35" s="1086">
        <v>250000</v>
      </c>
      <c r="V35" s="1086">
        <v>286000</v>
      </c>
      <c r="W35" s="1086">
        <v>440000</v>
      </c>
      <c r="X35" s="1086">
        <v>386000</v>
      </c>
      <c r="Z35" s="1067" t="s">
        <v>431</v>
      </c>
      <c r="AA35" s="1070">
        <v>1998</v>
      </c>
      <c r="AB35" s="3" t="s">
        <v>252</v>
      </c>
      <c r="AD35" s="3"/>
    </row>
    <row r="36" spans="1:30" s="1065" customFormat="1" x14ac:dyDescent="0.25">
      <c r="A36" s="1066" t="s">
        <v>18</v>
      </c>
      <c r="B36" s="1067" t="s">
        <v>432</v>
      </c>
      <c r="C36" s="1068" t="s">
        <v>385</v>
      </c>
      <c r="D36" s="1069" t="s">
        <v>386</v>
      </c>
      <c r="E36" s="1069" t="s">
        <v>387</v>
      </c>
      <c r="F36" s="1070">
        <v>3342</v>
      </c>
      <c r="G36" s="1070">
        <v>5</v>
      </c>
      <c r="H36" s="1071">
        <v>0.015</v>
      </c>
      <c r="I36" s="1072"/>
      <c r="J36" s="1073" t="s">
        <v>388</v>
      </c>
      <c r="K36" s="1077">
        <v>247000</v>
      </c>
      <c r="L36" s="1086">
        <v>215950</v>
      </c>
      <c r="M36" s="1086">
        <v>214950</v>
      </c>
      <c r="N36" s="1086">
        <v>213950</v>
      </c>
      <c r="O36" s="1086">
        <v>286000</v>
      </c>
      <c r="P36" s="1086">
        <v>247950</v>
      </c>
      <c r="Q36" s="1086">
        <v>229950</v>
      </c>
      <c r="R36" s="1086">
        <v>225950</v>
      </c>
      <c r="S36" s="1086">
        <v>275000</v>
      </c>
      <c r="T36" s="1086">
        <v>286000</v>
      </c>
      <c r="U36" s="1086">
        <v>250000</v>
      </c>
      <c r="V36" s="1086">
        <v>286000</v>
      </c>
      <c r="W36" s="1086">
        <v>440000</v>
      </c>
      <c r="X36" s="1086">
        <v>386000</v>
      </c>
      <c r="Z36" s="1067" t="s">
        <v>432</v>
      </c>
      <c r="AA36" s="1070">
        <v>3342</v>
      </c>
      <c r="AB36" s="3" t="str">
        <f t="shared" si="0"/>
        <v>고급</v>
      </c>
      <c r="AD36" s="3"/>
    </row>
    <row r="37" spans="1:30" s="1065" customFormat="1" x14ac:dyDescent="0.25">
      <c r="A37" s="1066" t="s">
        <v>18</v>
      </c>
      <c r="B37" s="1067" t="s">
        <v>433</v>
      </c>
      <c r="C37" s="1068" t="s">
        <v>385</v>
      </c>
      <c r="D37" s="1069" t="s">
        <v>398</v>
      </c>
      <c r="E37" s="1069" t="s">
        <v>387</v>
      </c>
      <c r="F37" s="1070">
        <v>1998</v>
      </c>
      <c r="G37" s="1070">
        <v>4</v>
      </c>
      <c r="H37" s="1071">
        <v>0.015</v>
      </c>
      <c r="I37" s="1072"/>
      <c r="J37" s="1073" t="s">
        <v>388</v>
      </c>
      <c r="K37" s="1077">
        <v>247000</v>
      </c>
      <c r="L37" s="1086">
        <v>215950</v>
      </c>
      <c r="M37" s="1086">
        <v>214950</v>
      </c>
      <c r="N37" s="1086">
        <v>213950</v>
      </c>
      <c r="O37" s="1086">
        <v>286000</v>
      </c>
      <c r="P37" s="1086">
        <v>247950</v>
      </c>
      <c r="Q37" s="1086">
        <v>229950</v>
      </c>
      <c r="R37" s="1086">
        <v>225950</v>
      </c>
      <c r="S37" s="1086">
        <v>275000</v>
      </c>
      <c r="T37" s="1086">
        <v>286000</v>
      </c>
      <c r="U37" s="1086">
        <v>250000</v>
      </c>
      <c r="V37" s="1086">
        <v>286000</v>
      </c>
      <c r="W37" s="1086">
        <v>440000</v>
      </c>
      <c r="X37" s="1086">
        <v>386000</v>
      </c>
      <c r="Z37" s="1067" t="s">
        <v>433</v>
      </c>
      <c r="AA37" s="1070">
        <v>1998</v>
      </c>
      <c r="AB37" s="3" t="s">
        <v>252</v>
      </c>
      <c r="AD37" s="3"/>
    </row>
    <row r="38" spans="1:30" s="1076" customFormat="1" x14ac:dyDescent="0.25">
      <c r="A38" s="1066" t="s">
        <v>18</v>
      </c>
      <c r="B38" s="1067" t="s">
        <v>434</v>
      </c>
      <c r="C38" s="1068" t="s">
        <v>385</v>
      </c>
      <c r="D38" s="1069" t="s">
        <v>386</v>
      </c>
      <c r="E38" s="1069" t="s">
        <v>416</v>
      </c>
      <c r="F38" s="1070">
        <v>2151</v>
      </c>
      <c r="G38" s="1070">
        <v>4</v>
      </c>
      <c r="H38" s="1062">
        <v>0.02</v>
      </c>
      <c r="I38" s="1072"/>
      <c r="J38" s="1073" t="s">
        <v>388</v>
      </c>
      <c r="K38" s="1077">
        <v>259000</v>
      </c>
      <c r="L38" s="1086">
        <v>215950</v>
      </c>
      <c r="M38" s="1086">
        <v>214950</v>
      </c>
      <c r="N38" s="1086">
        <v>213950</v>
      </c>
      <c r="O38" s="1086">
        <v>286000</v>
      </c>
      <c r="P38" s="1086">
        <v>247950</v>
      </c>
      <c r="Q38" s="1086">
        <v>229950</v>
      </c>
      <c r="R38" s="1086">
        <v>225950</v>
      </c>
      <c r="S38" s="1086">
        <v>275000</v>
      </c>
      <c r="T38" s="1086">
        <v>286000</v>
      </c>
      <c r="U38" s="1086">
        <v>250000</v>
      </c>
      <c r="V38" s="1086">
        <v>286000</v>
      </c>
      <c r="W38" s="1086">
        <v>440000</v>
      </c>
      <c r="X38" s="1086">
        <v>331000</v>
      </c>
      <c r="Z38" s="1067" t="s">
        <v>434</v>
      </c>
      <c r="AA38" s="1070">
        <v>2151</v>
      </c>
      <c r="AB38" s="3" t="str">
        <f t="shared" si="0"/>
        <v>대형</v>
      </c>
      <c r="AD38" s="3"/>
    </row>
    <row r="39" spans="1:30" s="1085" customFormat="1" x14ac:dyDescent="0.25">
      <c r="A39" s="1057" t="s">
        <v>18</v>
      </c>
      <c r="B39" s="1058" t="s">
        <v>435</v>
      </c>
      <c r="C39" s="1059" t="s">
        <v>385</v>
      </c>
      <c r="D39" s="1060" t="s">
        <v>390</v>
      </c>
      <c r="E39" s="1060" t="s">
        <v>387</v>
      </c>
      <c r="F39" s="1061">
        <v>2497</v>
      </c>
      <c r="G39" s="1061">
        <v>5</v>
      </c>
      <c r="H39" s="1062">
        <v>0.02</v>
      </c>
      <c r="I39" s="1063"/>
      <c r="J39" s="1073" t="s">
        <v>388</v>
      </c>
      <c r="K39" s="1083">
        <v>259000</v>
      </c>
      <c r="L39" s="693">
        <v>215950</v>
      </c>
      <c r="M39" s="693">
        <v>214950</v>
      </c>
      <c r="N39" s="693">
        <v>213950</v>
      </c>
      <c r="O39" s="693">
        <v>286000</v>
      </c>
      <c r="P39" s="693">
        <v>247950</v>
      </c>
      <c r="Q39" s="693">
        <v>229950</v>
      </c>
      <c r="R39" s="693">
        <v>225950</v>
      </c>
      <c r="S39" s="693">
        <v>275000</v>
      </c>
      <c r="T39" s="693">
        <v>286000</v>
      </c>
      <c r="U39" s="693">
        <v>250000</v>
      </c>
      <c r="V39" s="693">
        <v>286000</v>
      </c>
      <c r="W39" s="693">
        <v>440000</v>
      </c>
      <c r="X39" s="1084">
        <v>347000</v>
      </c>
      <c r="Z39" s="1058" t="s">
        <v>435</v>
      </c>
      <c r="AA39" s="1061">
        <v>2497</v>
      </c>
      <c r="AB39" s="3" t="str">
        <f t="shared" si="0"/>
        <v>대형</v>
      </c>
      <c r="AD39" s="3"/>
    </row>
    <row r="40" spans="1:30" s="1085" customFormat="1" x14ac:dyDescent="0.25">
      <c r="A40" s="1057" t="s">
        <v>18</v>
      </c>
      <c r="B40" s="1058" t="s">
        <v>436</v>
      </c>
      <c r="C40" s="1059" t="s">
        <v>385</v>
      </c>
      <c r="D40" s="1060" t="s">
        <v>390</v>
      </c>
      <c r="E40" s="1060" t="s">
        <v>387</v>
      </c>
      <c r="F40" s="1061">
        <v>3470</v>
      </c>
      <c r="G40" s="1061">
        <v>6</v>
      </c>
      <c r="H40" s="1062">
        <v>0.02</v>
      </c>
      <c r="I40" s="1063"/>
      <c r="J40" s="1073" t="s">
        <v>388</v>
      </c>
      <c r="K40" s="1083">
        <v>259000</v>
      </c>
      <c r="L40" s="693">
        <v>215950</v>
      </c>
      <c r="M40" s="693">
        <v>214950</v>
      </c>
      <c r="N40" s="693">
        <v>213950</v>
      </c>
      <c r="O40" s="693">
        <v>286000</v>
      </c>
      <c r="P40" s="693">
        <v>247950</v>
      </c>
      <c r="Q40" s="693">
        <v>229950</v>
      </c>
      <c r="R40" s="693">
        <v>225950</v>
      </c>
      <c r="S40" s="693">
        <v>275000</v>
      </c>
      <c r="T40" s="693">
        <v>286000</v>
      </c>
      <c r="U40" s="693">
        <v>250000</v>
      </c>
      <c r="V40" s="693">
        <v>286000</v>
      </c>
      <c r="W40" s="693">
        <v>440000</v>
      </c>
      <c r="X40" s="1084">
        <v>459200</v>
      </c>
      <c r="Z40" s="1058" t="s">
        <v>436</v>
      </c>
      <c r="AA40" s="1061">
        <v>3470</v>
      </c>
      <c r="AB40" s="3" t="str">
        <f t="shared" si="0"/>
        <v>최고급</v>
      </c>
      <c r="AD40" s="3"/>
    </row>
    <row r="41" spans="1:28" x14ac:dyDescent="0.25">
      <c r="A41" s="1057" t="s">
        <v>18</v>
      </c>
      <c r="B41" s="1058" t="s">
        <v>437</v>
      </c>
      <c r="C41" s="1059" t="s">
        <v>385</v>
      </c>
      <c r="D41" s="1060" t="s">
        <v>395</v>
      </c>
      <c r="E41" s="1060" t="s">
        <v>387</v>
      </c>
      <c r="F41" s="1061">
        <v>3470</v>
      </c>
      <c r="G41" s="1061">
        <v>6</v>
      </c>
      <c r="H41" s="1062">
        <v>0.02</v>
      </c>
      <c r="I41" s="1063"/>
      <c r="J41" s="1073" t="s">
        <v>388</v>
      </c>
      <c r="K41" s="1083">
        <v>259000</v>
      </c>
      <c r="L41" s="693">
        <v>215950</v>
      </c>
      <c r="M41" s="693">
        <v>214950</v>
      </c>
      <c r="N41" s="693">
        <v>213950</v>
      </c>
      <c r="O41" s="693">
        <v>286000</v>
      </c>
      <c r="P41" s="693">
        <v>247950</v>
      </c>
      <c r="Q41" s="693">
        <v>229950</v>
      </c>
      <c r="R41" s="693">
        <v>225950</v>
      </c>
      <c r="S41" s="693">
        <v>275000</v>
      </c>
      <c r="T41" s="693">
        <v>286000</v>
      </c>
      <c r="U41" s="693">
        <v>250000</v>
      </c>
      <c r="V41" s="693">
        <v>286000</v>
      </c>
      <c r="W41" s="693">
        <v>440000</v>
      </c>
      <c r="X41" s="1084">
        <v>459200</v>
      </c>
      <c r="Z41" s="1058" t="s">
        <v>437</v>
      </c>
      <c r="AA41" s="1061">
        <v>3470</v>
      </c>
      <c r="AB41" s="3" t="str">
        <f t="shared" si="0"/>
        <v>최고급</v>
      </c>
    </row>
    <row r="42" spans="1:28" x14ac:dyDescent="0.25">
      <c r="A42" s="1057" t="s">
        <v>18</v>
      </c>
      <c r="B42" s="1058" t="s">
        <v>438</v>
      </c>
      <c r="C42" s="1059" t="s">
        <v>385</v>
      </c>
      <c r="D42" s="1060" t="s">
        <v>439</v>
      </c>
      <c r="E42" s="1060" t="s">
        <v>387</v>
      </c>
      <c r="F42" s="1061">
        <v>3470</v>
      </c>
      <c r="G42" s="1061">
        <v>9</v>
      </c>
      <c r="H42" s="1062">
        <v>0.02</v>
      </c>
      <c r="I42" s="1063"/>
      <c r="J42" s="1073" t="s">
        <v>388</v>
      </c>
      <c r="K42" s="1083">
        <v>259000</v>
      </c>
      <c r="L42" s="693">
        <v>215950</v>
      </c>
      <c r="M42" s="693">
        <v>214950</v>
      </c>
      <c r="N42" s="693">
        <v>213950</v>
      </c>
      <c r="O42" s="693">
        <v>286000</v>
      </c>
      <c r="P42" s="693">
        <v>247950</v>
      </c>
      <c r="Q42" s="693">
        <v>229950</v>
      </c>
      <c r="R42" s="693">
        <v>225950</v>
      </c>
      <c r="S42" s="693">
        <v>275000</v>
      </c>
      <c r="T42" s="693">
        <v>286000</v>
      </c>
      <c r="U42" s="693">
        <v>250000</v>
      </c>
      <c r="V42" s="693">
        <v>286000</v>
      </c>
      <c r="W42" s="693">
        <v>440000</v>
      </c>
      <c r="X42" s="1084">
        <v>459200</v>
      </c>
      <c r="Z42" s="1058" t="s">
        <v>438</v>
      </c>
      <c r="AA42" s="1061">
        <v>3470</v>
      </c>
      <c r="AB42" s="3" t="str">
        <f t="shared" si="0"/>
        <v>최고급</v>
      </c>
    </row>
    <row r="43" spans="1:27" x14ac:dyDescent="0.25">
      <c r="A43" s="1057"/>
      <c r="B43" s="1058"/>
      <c r="C43" s="1059"/>
      <c r="D43" s="1060"/>
      <c r="E43" s="1060"/>
      <c r="F43" s="1061"/>
      <c r="G43" s="1061"/>
      <c r="H43" s="1082"/>
      <c r="I43" s="1063"/>
      <c r="J43" s="1064"/>
      <c r="K43" s="1083"/>
      <c r="L43" s="693"/>
      <c r="M43" s="693"/>
      <c r="N43" s="693"/>
      <c r="O43" s="693"/>
      <c r="P43" s="693"/>
      <c r="Q43" s="693"/>
      <c r="R43" s="693"/>
      <c r="S43" s="693"/>
      <c r="T43" s="693"/>
      <c r="U43" s="693"/>
      <c r="V43" s="693"/>
      <c r="W43" s="693"/>
      <c r="X43" s="1084"/>
      <c r="Z43" s="1058"/>
      <c r="AA43" s="1061"/>
    </row>
    <row r="44" spans="1:29" x14ac:dyDescent="0.25">
      <c r="A44" s="1057" t="s">
        <v>18</v>
      </c>
      <c r="B44" s="1058" t="s">
        <v>440</v>
      </c>
      <c r="C44" s="1059" t="s">
        <v>385</v>
      </c>
      <c r="D44" s="1060" t="s">
        <v>407</v>
      </c>
      <c r="E44" s="1060" t="s">
        <v>387</v>
      </c>
      <c r="F44" s="1061">
        <v>1598</v>
      </c>
      <c r="G44" s="1061">
        <v>8</v>
      </c>
      <c r="H44" s="1062">
        <v>0.02</v>
      </c>
      <c r="I44" s="1063"/>
      <c r="J44" s="1064" t="s">
        <v>388</v>
      </c>
      <c r="K44" s="1083">
        <v>226000</v>
      </c>
      <c r="L44" s="693">
        <v>215950</v>
      </c>
      <c r="M44" s="693">
        <v>214950</v>
      </c>
      <c r="N44" s="693">
        <v>213950</v>
      </c>
      <c r="O44" s="693">
        <v>286000</v>
      </c>
      <c r="P44" s="693">
        <v>247950</v>
      </c>
      <c r="Q44" s="693">
        <v>229950</v>
      </c>
      <c r="R44" s="693">
        <v>225950</v>
      </c>
      <c r="S44" s="693">
        <v>275000</v>
      </c>
      <c r="T44" s="693">
        <v>286000</v>
      </c>
      <c r="U44" s="693">
        <v>250000</v>
      </c>
      <c r="V44" s="693">
        <v>286000</v>
      </c>
      <c r="W44" s="693">
        <v>440000</v>
      </c>
      <c r="X44" s="1084">
        <v>303600</v>
      </c>
      <c r="Z44" s="1058" t="s">
        <v>440</v>
      </c>
      <c r="AA44" s="1061">
        <v>1598</v>
      </c>
      <c r="AB44" s="3" t="s">
        <v>255</v>
      </c>
      <c r="AC44" s="1075"/>
    </row>
    <row r="45" spans="1:29" x14ac:dyDescent="0.25">
      <c r="A45" s="1057" t="s">
        <v>18</v>
      </c>
      <c r="B45" s="1058" t="s">
        <v>441</v>
      </c>
      <c r="C45" s="1059" t="s">
        <v>385</v>
      </c>
      <c r="D45" s="1060" t="s">
        <v>402</v>
      </c>
      <c r="E45" s="1060" t="s">
        <v>416</v>
      </c>
      <c r="F45" s="1061">
        <v>1995</v>
      </c>
      <c r="G45" s="1061">
        <v>8</v>
      </c>
      <c r="H45" s="1062">
        <v>0.02</v>
      </c>
      <c r="I45" s="1063"/>
      <c r="J45" s="1064" t="s">
        <v>388</v>
      </c>
      <c r="K45" s="1083">
        <v>226000</v>
      </c>
      <c r="L45" s="693">
        <v>215950</v>
      </c>
      <c r="M45" s="693">
        <v>214950</v>
      </c>
      <c r="N45" s="693">
        <v>213950</v>
      </c>
      <c r="O45" s="693">
        <v>286000</v>
      </c>
      <c r="P45" s="693">
        <v>247950</v>
      </c>
      <c r="Q45" s="693">
        <v>229950</v>
      </c>
      <c r="R45" s="693">
        <v>225950</v>
      </c>
      <c r="S45" s="693">
        <v>275000</v>
      </c>
      <c r="T45" s="693">
        <v>286000</v>
      </c>
      <c r="U45" s="693">
        <v>250000</v>
      </c>
      <c r="V45" s="693">
        <v>286000</v>
      </c>
      <c r="W45" s="693">
        <v>440000</v>
      </c>
      <c r="X45" s="1084">
        <v>303600</v>
      </c>
      <c r="Z45" s="1058" t="s">
        <v>441</v>
      </c>
      <c r="AA45" s="1061">
        <v>1995</v>
      </c>
      <c r="AB45" s="3" t="s">
        <v>255</v>
      </c>
      <c r="AC45" s="1075"/>
    </row>
    <row r="46" spans="1:29" x14ac:dyDescent="0.25">
      <c r="A46" s="1057" t="s">
        <v>18</v>
      </c>
      <c r="B46" s="1058" t="s">
        <v>442</v>
      </c>
      <c r="C46" s="1059" t="s">
        <v>385</v>
      </c>
      <c r="D46" s="1060" t="s">
        <v>402</v>
      </c>
      <c r="E46" s="1060" t="s">
        <v>396</v>
      </c>
      <c r="F46" s="1061">
        <v>1598</v>
      </c>
      <c r="G46" s="1061">
        <v>8</v>
      </c>
      <c r="H46" s="1062">
        <v>0.02</v>
      </c>
      <c r="I46" s="1063"/>
      <c r="J46" s="1064" t="s">
        <v>388</v>
      </c>
      <c r="K46" s="712">
        <v>226000</v>
      </c>
      <c r="L46" s="1051">
        <v>215950</v>
      </c>
      <c r="M46" s="1051">
        <v>214950</v>
      </c>
      <c r="N46" s="1051">
        <v>213950</v>
      </c>
      <c r="O46" s="1051">
        <v>286000</v>
      </c>
      <c r="P46" s="1051">
        <v>247950</v>
      </c>
      <c r="Q46" s="1051">
        <v>229950</v>
      </c>
      <c r="R46" s="1051">
        <v>225950</v>
      </c>
      <c r="S46" s="1051">
        <v>275000</v>
      </c>
      <c r="T46" s="1051">
        <v>286000</v>
      </c>
      <c r="U46" s="1051">
        <v>250000</v>
      </c>
      <c r="V46" s="1051">
        <v>286000</v>
      </c>
      <c r="W46" s="1051">
        <v>440000</v>
      </c>
      <c r="X46" s="1052">
        <v>303600</v>
      </c>
      <c r="Z46" s="1058" t="s">
        <v>442</v>
      </c>
      <c r="AA46" s="1061">
        <v>1598</v>
      </c>
      <c r="AB46" s="3" t="s">
        <v>255</v>
      </c>
      <c r="AC46" s="1075"/>
    </row>
    <row r="47" spans="1:30" s="1065" customFormat="1" x14ac:dyDescent="0.25">
      <c r="A47" s="1066" t="s">
        <v>18</v>
      </c>
      <c r="B47" s="1067" t="s">
        <v>443</v>
      </c>
      <c r="C47" s="1068" t="s">
        <v>385</v>
      </c>
      <c r="D47" s="1060" t="s">
        <v>402</v>
      </c>
      <c r="E47" s="1069" t="s">
        <v>416</v>
      </c>
      <c r="F47" s="1070">
        <v>2151</v>
      </c>
      <c r="G47" s="1070">
        <v>8</v>
      </c>
      <c r="H47" s="1071">
        <v>0.02</v>
      </c>
      <c r="I47" s="1072"/>
      <c r="J47" s="1087" t="s">
        <v>388</v>
      </c>
      <c r="K47" s="1074">
        <v>226000</v>
      </c>
      <c r="L47" s="1075">
        <v>215950</v>
      </c>
      <c r="M47" s="1075">
        <v>214950</v>
      </c>
      <c r="N47" s="1075">
        <v>213950</v>
      </c>
      <c r="O47" s="1075">
        <v>286000</v>
      </c>
      <c r="P47" s="1075">
        <v>247950</v>
      </c>
      <c r="Q47" s="1075">
        <v>229950</v>
      </c>
      <c r="R47" s="1075">
        <v>225950</v>
      </c>
      <c r="S47" s="1075">
        <v>275000</v>
      </c>
      <c r="T47" s="1075">
        <v>286000</v>
      </c>
      <c r="U47" s="1075">
        <v>250000</v>
      </c>
      <c r="V47" s="1075">
        <v>286000</v>
      </c>
      <c r="W47" s="1075">
        <v>440000</v>
      </c>
      <c r="X47" s="1075">
        <v>352400</v>
      </c>
      <c r="Z47" s="1067" t="s">
        <v>443</v>
      </c>
      <c r="AA47" s="1070">
        <v>2151</v>
      </c>
      <c r="AB47" s="3" t="s">
        <v>256</v>
      </c>
      <c r="AC47" s="1075"/>
      <c r="AD47" s="3"/>
    </row>
    <row r="48" spans="1:30" s="1065" customFormat="1" x14ac:dyDescent="0.25">
      <c r="A48" s="1066" t="s">
        <v>18</v>
      </c>
      <c r="B48" s="1067" t="s">
        <v>444</v>
      </c>
      <c r="C48" s="1068" t="s">
        <v>413</v>
      </c>
      <c r="D48" s="1060" t="s">
        <v>402</v>
      </c>
      <c r="E48" s="1069" t="s">
        <v>416</v>
      </c>
      <c r="F48" s="1070">
        <v>2151</v>
      </c>
      <c r="G48" s="1070">
        <v>8</v>
      </c>
      <c r="H48" s="1071">
        <v>0.02</v>
      </c>
      <c r="I48" s="1072"/>
      <c r="J48" s="1087" t="s">
        <v>388</v>
      </c>
      <c r="K48" s="1074">
        <v>226000</v>
      </c>
      <c r="L48" s="1075">
        <v>215950</v>
      </c>
      <c r="M48" s="1075">
        <v>214950</v>
      </c>
      <c r="N48" s="1075">
        <v>213950</v>
      </c>
      <c r="O48" s="1075">
        <v>286000</v>
      </c>
      <c r="P48" s="1075">
        <v>247950</v>
      </c>
      <c r="Q48" s="1075">
        <v>229950</v>
      </c>
      <c r="R48" s="1075">
        <v>225950</v>
      </c>
      <c r="S48" s="1075">
        <v>275000</v>
      </c>
      <c r="T48" s="1075">
        <v>286000</v>
      </c>
      <c r="U48" s="1075">
        <v>250000</v>
      </c>
      <c r="V48" s="1075">
        <v>286000</v>
      </c>
      <c r="W48" s="1075">
        <v>440000</v>
      </c>
      <c r="X48" s="1075">
        <v>352400</v>
      </c>
      <c r="Z48" s="1067" t="s">
        <v>444</v>
      </c>
      <c r="AA48" s="1070">
        <v>2151</v>
      </c>
      <c r="AB48" s="3" t="s">
        <v>256</v>
      </c>
      <c r="AC48" s="1075"/>
      <c r="AD48" s="3"/>
    </row>
    <row r="49" spans="1:30" s="1065" customFormat="1" x14ac:dyDescent="0.25">
      <c r="A49" s="1066" t="s">
        <v>18</v>
      </c>
      <c r="B49" s="1067" t="s">
        <v>445</v>
      </c>
      <c r="C49" s="1068" t="s">
        <v>385</v>
      </c>
      <c r="D49" s="1060" t="s">
        <v>398</v>
      </c>
      <c r="E49" s="1069" t="s">
        <v>387</v>
      </c>
      <c r="F49" s="1070">
        <v>2497</v>
      </c>
      <c r="G49" s="1070">
        <v>8</v>
      </c>
      <c r="H49" s="1071">
        <v>0.02</v>
      </c>
      <c r="I49" s="1072"/>
      <c r="J49" s="1087" t="s">
        <v>388</v>
      </c>
      <c r="K49" s="1074">
        <v>226000</v>
      </c>
      <c r="L49" s="1075">
        <v>215950</v>
      </c>
      <c r="M49" s="1075">
        <v>214950</v>
      </c>
      <c r="N49" s="1075">
        <v>213950</v>
      </c>
      <c r="O49" s="1075">
        <v>286000</v>
      </c>
      <c r="P49" s="1075">
        <v>247950</v>
      </c>
      <c r="Q49" s="1075">
        <v>229950</v>
      </c>
      <c r="R49" s="1075">
        <v>225950</v>
      </c>
      <c r="S49" s="1075">
        <v>275000</v>
      </c>
      <c r="T49" s="1075">
        <v>286000</v>
      </c>
      <c r="U49" s="1075">
        <v>250000</v>
      </c>
      <c r="V49" s="1075">
        <v>286000</v>
      </c>
      <c r="W49" s="1075">
        <v>440000</v>
      </c>
      <c r="X49" s="1075">
        <v>352400</v>
      </c>
      <c r="Z49" s="1067" t="s">
        <v>445</v>
      </c>
      <c r="AA49" s="1070">
        <v>2497</v>
      </c>
      <c r="AB49" s="3" t="s">
        <v>256</v>
      </c>
      <c r="AC49" s="1075"/>
      <c r="AD49" s="3"/>
    </row>
    <row r="50" spans="1:30" s="1065" customFormat="1" x14ac:dyDescent="0.25">
      <c r="A50" s="1066" t="s">
        <v>18</v>
      </c>
      <c r="B50" s="1067" t="s">
        <v>446</v>
      </c>
      <c r="C50" s="1068" t="s">
        <v>413</v>
      </c>
      <c r="D50" s="1060" t="s">
        <v>398</v>
      </c>
      <c r="E50" s="1069" t="s">
        <v>387</v>
      </c>
      <c r="F50" s="1070">
        <v>2497</v>
      </c>
      <c r="G50" s="1070">
        <v>8</v>
      </c>
      <c r="H50" s="1071">
        <v>0.02</v>
      </c>
      <c r="I50" s="1072"/>
      <c r="J50" s="1087" t="s">
        <v>388</v>
      </c>
      <c r="K50" s="1074">
        <v>226000</v>
      </c>
      <c r="L50" s="1075">
        <v>215950</v>
      </c>
      <c r="M50" s="1075">
        <v>214950</v>
      </c>
      <c r="N50" s="1075">
        <v>213950</v>
      </c>
      <c r="O50" s="1075">
        <v>286000</v>
      </c>
      <c r="P50" s="1075">
        <v>247950</v>
      </c>
      <c r="Q50" s="1075">
        <v>229950</v>
      </c>
      <c r="R50" s="1075">
        <v>225950</v>
      </c>
      <c r="S50" s="1075">
        <v>275000</v>
      </c>
      <c r="T50" s="1075">
        <v>286000</v>
      </c>
      <c r="U50" s="1075">
        <v>250000</v>
      </c>
      <c r="V50" s="1075">
        <v>286000</v>
      </c>
      <c r="W50" s="1075">
        <v>440000</v>
      </c>
      <c r="X50" s="1075">
        <v>352400</v>
      </c>
      <c r="Z50" s="1067" t="s">
        <v>446</v>
      </c>
      <c r="AA50" s="1070">
        <v>2497</v>
      </c>
      <c r="AB50" s="3" t="s">
        <v>256</v>
      </c>
      <c r="AC50" s="1075"/>
      <c r="AD50" s="3"/>
    </row>
    <row r="51" spans="1:30" s="1065" customFormat="1" x14ac:dyDescent="0.25">
      <c r="A51" s="1066" t="s">
        <v>18</v>
      </c>
      <c r="B51" s="1067" t="s">
        <v>447</v>
      </c>
      <c r="C51" s="1068" t="s">
        <v>385</v>
      </c>
      <c r="D51" s="1060" t="s">
        <v>402</v>
      </c>
      <c r="E51" s="1069" t="s">
        <v>396</v>
      </c>
      <c r="F51" s="1070">
        <v>1598</v>
      </c>
      <c r="G51" s="1070">
        <v>8</v>
      </c>
      <c r="H51" s="1071">
        <v>0.02</v>
      </c>
      <c r="I51" s="1072"/>
      <c r="J51" s="1087" t="s">
        <v>388</v>
      </c>
      <c r="K51" s="1074">
        <v>226000</v>
      </c>
      <c r="L51" s="1075">
        <v>215950</v>
      </c>
      <c r="M51" s="1075">
        <v>214950</v>
      </c>
      <c r="N51" s="1075">
        <v>213950</v>
      </c>
      <c r="O51" s="1075">
        <v>286000</v>
      </c>
      <c r="P51" s="1075">
        <v>247950</v>
      </c>
      <c r="Q51" s="1075">
        <v>229950</v>
      </c>
      <c r="R51" s="1075">
        <v>225950</v>
      </c>
      <c r="S51" s="1075">
        <v>275000</v>
      </c>
      <c r="T51" s="1075">
        <v>286000</v>
      </c>
      <c r="U51" s="1075">
        <v>250000</v>
      </c>
      <c r="V51" s="1075">
        <v>286000</v>
      </c>
      <c r="W51" s="1075">
        <v>440000</v>
      </c>
      <c r="X51" s="1075">
        <v>352400</v>
      </c>
      <c r="Z51" s="1067" t="s">
        <v>447</v>
      </c>
      <c r="AA51" s="1070">
        <v>1598</v>
      </c>
      <c r="AB51" s="3" t="s">
        <v>256</v>
      </c>
      <c r="AC51" s="1075"/>
      <c r="AD51" s="3"/>
    </row>
    <row r="52" spans="1:30" s="1065" customFormat="1" x14ac:dyDescent="0.25">
      <c r="A52" s="1066" t="s">
        <v>18</v>
      </c>
      <c r="B52" s="1067" t="s">
        <v>448</v>
      </c>
      <c r="C52" s="1068" t="s">
        <v>385</v>
      </c>
      <c r="D52" s="1060" t="s">
        <v>402</v>
      </c>
      <c r="E52" s="1069" t="s">
        <v>396</v>
      </c>
      <c r="F52" s="1070">
        <v>1598</v>
      </c>
      <c r="G52" s="1070">
        <v>8</v>
      </c>
      <c r="H52" s="1071">
        <v>0.02</v>
      </c>
      <c r="I52" s="1072"/>
      <c r="J52" s="1087" t="s">
        <v>388</v>
      </c>
      <c r="K52" s="1074">
        <v>226000</v>
      </c>
      <c r="L52" s="1075">
        <v>215950</v>
      </c>
      <c r="M52" s="1075">
        <v>214950</v>
      </c>
      <c r="N52" s="1075">
        <v>213950</v>
      </c>
      <c r="O52" s="1075">
        <v>286000</v>
      </c>
      <c r="P52" s="1075">
        <v>247950</v>
      </c>
      <c r="Q52" s="1075">
        <v>229950</v>
      </c>
      <c r="R52" s="1075">
        <v>225950</v>
      </c>
      <c r="S52" s="1075">
        <v>275000</v>
      </c>
      <c r="T52" s="1075">
        <v>286000</v>
      </c>
      <c r="U52" s="1075">
        <v>250000</v>
      </c>
      <c r="V52" s="1075">
        <v>286000</v>
      </c>
      <c r="W52" s="1075">
        <v>440000</v>
      </c>
      <c r="X52" s="1075">
        <v>352400</v>
      </c>
      <c r="Z52" s="1067" t="s">
        <v>448</v>
      </c>
      <c r="AA52" s="1070">
        <v>1598</v>
      </c>
      <c r="AB52" s="3" t="s">
        <v>256</v>
      </c>
      <c r="AC52" s="1075"/>
      <c r="AD52" s="3"/>
    </row>
    <row r="53" spans="1:30" s="1065" customFormat="1" x14ac:dyDescent="0.25">
      <c r="A53" s="1066" t="s">
        <v>18</v>
      </c>
      <c r="B53" s="1067" t="s">
        <v>449</v>
      </c>
      <c r="C53" s="1068" t="s">
        <v>413</v>
      </c>
      <c r="D53" s="1060" t="s">
        <v>402</v>
      </c>
      <c r="E53" s="1069" t="s">
        <v>396</v>
      </c>
      <c r="F53" s="1070">
        <v>1598</v>
      </c>
      <c r="G53" s="1070">
        <v>8</v>
      </c>
      <c r="H53" s="1071">
        <v>0.02</v>
      </c>
      <c r="I53" s="1072"/>
      <c r="J53" s="1087" t="s">
        <v>388</v>
      </c>
      <c r="K53" s="1074">
        <v>226000</v>
      </c>
      <c r="L53" s="1075">
        <v>215950</v>
      </c>
      <c r="M53" s="1075">
        <v>214950</v>
      </c>
      <c r="N53" s="1075">
        <v>213950</v>
      </c>
      <c r="O53" s="1075">
        <v>286000</v>
      </c>
      <c r="P53" s="1075">
        <v>247950</v>
      </c>
      <c r="Q53" s="1075">
        <v>229950</v>
      </c>
      <c r="R53" s="1075">
        <v>225950</v>
      </c>
      <c r="S53" s="1075">
        <v>275000</v>
      </c>
      <c r="T53" s="1075">
        <v>286000</v>
      </c>
      <c r="U53" s="1075">
        <v>250000</v>
      </c>
      <c r="V53" s="1075">
        <v>286000</v>
      </c>
      <c r="W53" s="1075">
        <v>440000</v>
      </c>
      <c r="X53" s="1075">
        <v>352400</v>
      </c>
      <c r="Z53" s="1067" t="s">
        <v>449</v>
      </c>
      <c r="AA53" s="1070">
        <v>1598</v>
      </c>
      <c r="AB53" s="3" t="s">
        <v>256</v>
      </c>
      <c r="AC53" s="1075"/>
      <c r="AD53" s="3"/>
    </row>
    <row r="54" spans="1:30" s="1065" customFormat="1" x14ac:dyDescent="0.25">
      <c r="A54" s="1066" t="s">
        <v>18</v>
      </c>
      <c r="B54" s="1067" t="s">
        <v>450</v>
      </c>
      <c r="C54" s="1068" t="s">
        <v>385</v>
      </c>
      <c r="D54" s="1060" t="s">
        <v>402</v>
      </c>
      <c r="E54" s="1069" t="s">
        <v>451</v>
      </c>
      <c r="F54" s="1070">
        <v>1598</v>
      </c>
      <c r="G54" s="1070">
        <v>8</v>
      </c>
      <c r="H54" s="1071">
        <v>0.02</v>
      </c>
      <c r="I54" s="1072"/>
      <c r="J54" s="1087" t="s">
        <v>388</v>
      </c>
      <c r="K54" s="1074">
        <v>226000</v>
      </c>
      <c r="L54" s="1075">
        <v>215950</v>
      </c>
      <c r="M54" s="1075">
        <v>214950</v>
      </c>
      <c r="N54" s="1075">
        <v>213950</v>
      </c>
      <c r="O54" s="1075">
        <v>286000</v>
      </c>
      <c r="P54" s="1075">
        <v>247950</v>
      </c>
      <c r="Q54" s="1075">
        <v>229950</v>
      </c>
      <c r="R54" s="1075">
        <v>225950</v>
      </c>
      <c r="S54" s="1075">
        <v>275000</v>
      </c>
      <c r="T54" s="1075">
        <v>286000</v>
      </c>
      <c r="U54" s="1075">
        <v>250000</v>
      </c>
      <c r="V54" s="1075">
        <v>286000</v>
      </c>
      <c r="W54" s="1075">
        <v>440000</v>
      </c>
      <c r="X54" s="1075">
        <v>352400</v>
      </c>
      <c r="Z54" s="1067" t="s">
        <v>450</v>
      </c>
      <c r="AA54" s="1070">
        <v>1598</v>
      </c>
      <c r="AB54" s="3" t="s">
        <v>256</v>
      </c>
      <c r="AC54" s="1075"/>
      <c r="AD54" s="3"/>
    </row>
    <row r="55" spans="1:30" s="1065" customFormat="1" x14ac:dyDescent="0.25">
      <c r="A55" s="1066" t="s">
        <v>18</v>
      </c>
      <c r="B55" s="1067" t="s">
        <v>452</v>
      </c>
      <c r="C55" s="1068" t="s">
        <v>385</v>
      </c>
      <c r="D55" s="1060" t="s">
        <v>402</v>
      </c>
      <c r="E55" s="1069" t="s">
        <v>451</v>
      </c>
      <c r="F55" s="1070">
        <v>1598</v>
      </c>
      <c r="G55" s="1070">
        <v>8</v>
      </c>
      <c r="H55" s="1071">
        <v>0.02</v>
      </c>
      <c r="I55" s="1072"/>
      <c r="J55" s="1087" t="s">
        <v>388</v>
      </c>
      <c r="K55" s="1074">
        <v>226000</v>
      </c>
      <c r="L55" s="1075">
        <v>215950</v>
      </c>
      <c r="M55" s="1075">
        <v>214950</v>
      </c>
      <c r="N55" s="1075">
        <v>213950</v>
      </c>
      <c r="O55" s="1075">
        <v>286000</v>
      </c>
      <c r="P55" s="1075">
        <v>247950</v>
      </c>
      <c r="Q55" s="1075">
        <v>229950</v>
      </c>
      <c r="R55" s="1075">
        <v>225950</v>
      </c>
      <c r="S55" s="1075">
        <v>275000</v>
      </c>
      <c r="T55" s="1075">
        <v>286000</v>
      </c>
      <c r="U55" s="1075">
        <v>250000</v>
      </c>
      <c r="V55" s="1075">
        <v>286000</v>
      </c>
      <c r="W55" s="1075">
        <v>440000</v>
      </c>
      <c r="X55" s="1075">
        <v>352400</v>
      </c>
      <c r="Z55" s="1067" t="s">
        <v>452</v>
      </c>
      <c r="AA55" s="1070">
        <v>1598</v>
      </c>
      <c r="AB55" s="3" t="s">
        <v>256</v>
      </c>
      <c r="AC55" s="1075"/>
      <c r="AD55" s="3"/>
    </row>
    <row r="56" spans="1:30" s="1065" customFormat="1" x14ac:dyDescent="0.25">
      <c r="A56" s="1066" t="s">
        <v>18</v>
      </c>
      <c r="B56" s="1067" t="s">
        <v>453</v>
      </c>
      <c r="C56" s="1068" t="s">
        <v>413</v>
      </c>
      <c r="D56" s="1060" t="s">
        <v>402</v>
      </c>
      <c r="E56" s="1069" t="s">
        <v>451</v>
      </c>
      <c r="F56" s="1070">
        <v>1598</v>
      </c>
      <c r="G56" s="1070">
        <v>8</v>
      </c>
      <c r="H56" s="1071">
        <v>0.02</v>
      </c>
      <c r="I56" s="1072"/>
      <c r="J56" s="1087" t="s">
        <v>388</v>
      </c>
      <c r="K56" s="1074">
        <v>226000</v>
      </c>
      <c r="L56" s="1075">
        <v>215950</v>
      </c>
      <c r="M56" s="1075">
        <v>214950</v>
      </c>
      <c r="N56" s="1075">
        <v>213950</v>
      </c>
      <c r="O56" s="1075">
        <v>286000</v>
      </c>
      <c r="P56" s="1075">
        <v>247950</v>
      </c>
      <c r="Q56" s="1075">
        <v>229950</v>
      </c>
      <c r="R56" s="1075">
        <v>225950</v>
      </c>
      <c r="S56" s="1075">
        <v>275000</v>
      </c>
      <c r="T56" s="1075">
        <v>286000</v>
      </c>
      <c r="U56" s="1075">
        <v>250000</v>
      </c>
      <c r="V56" s="1075">
        <v>286000</v>
      </c>
      <c r="W56" s="1075">
        <v>440000</v>
      </c>
      <c r="X56" s="1075">
        <v>352400</v>
      </c>
      <c r="Z56" s="1067" t="s">
        <v>453</v>
      </c>
      <c r="AA56" s="1070">
        <v>1598</v>
      </c>
      <c r="AB56" s="3" t="s">
        <v>256</v>
      </c>
      <c r="AC56" s="1075"/>
      <c r="AD56" s="3"/>
    </row>
    <row r="57" spans="1:28" x14ac:dyDescent="0.25">
      <c r="A57" s="1057" t="s">
        <v>18</v>
      </c>
      <c r="B57" s="1058" t="s">
        <v>454</v>
      </c>
      <c r="C57" s="1059" t="s">
        <v>413</v>
      </c>
      <c r="D57" s="1060" t="s">
        <v>407</v>
      </c>
      <c r="E57" s="1060" t="s">
        <v>416</v>
      </c>
      <c r="F57" s="1061">
        <v>2199</v>
      </c>
      <c r="G57" s="1061">
        <v>8</v>
      </c>
      <c r="H57" s="1062">
        <v>0.02</v>
      </c>
      <c r="I57" s="1063"/>
      <c r="J57" s="1064" t="s">
        <v>388</v>
      </c>
      <c r="K57" s="712">
        <v>226000</v>
      </c>
      <c r="L57" s="1051">
        <v>215950</v>
      </c>
      <c r="M57" s="1051">
        <v>214950</v>
      </c>
      <c r="N57" s="1051">
        <v>213950</v>
      </c>
      <c r="O57" s="1051">
        <v>286000</v>
      </c>
      <c r="P57" s="1051">
        <v>247950</v>
      </c>
      <c r="Q57" s="1051">
        <v>229950</v>
      </c>
      <c r="R57" s="1051">
        <v>225950</v>
      </c>
      <c r="S57" s="1051">
        <v>275000</v>
      </c>
      <c r="T57" s="1051">
        <v>286000</v>
      </c>
      <c r="U57" s="1051">
        <v>250000</v>
      </c>
      <c r="V57" s="1051">
        <v>286000</v>
      </c>
      <c r="W57" s="1051">
        <v>440000</v>
      </c>
      <c r="X57" s="1052">
        <v>433400</v>
      </c>
      <c r="Z57" s="1058" t="s">
        <v>454</v>
      </c>
      <c r="AA57" s="1061">
        <v>2199</v>
      </c>
      <c r="AB57" s="3" t="s">
        <v>256</v>
      </c>
    </row>
    <row r="58" spans="1:28" x14ac:dyDescent="0.25">
      <c r="A58" s="1057" t="s">
        <v>18</v>
      </c>
      <c r="B58" s="1058" t="s">
        <v>455</v>
      </c>
      <c r="C58" s="1059" t="s">
        <v>413</v>
      </c>
      <c r="D58" s="1060" t="s">
        <v>407</v>
      </c>
      <c r="E58" s="1060" t="s">
        <v>416</v>
      </c>
      <c r="F58" s="1061">
        <v>2199</v>
      </c>
      <c r="G58" s="1061">
        <v>8</v>
      </c>
      <c r="H58" s="1062">
        <v>0.02</v>
      </c>
      <c r="I58" s="1063"/>
      <c r="J58" s="1064" t="s">
        <v>388</v>
      </c>
      <c r="K58" s="712">
        <v>226000</v>
      </c>
      <c r="L58" s="1051">
        <v>215950</v>
      </c>
      <c r="M58" s="1051">
        <v>214950</v>
      </c>
      <c r="N58" s="1051">
        <v>213950</v>
      </c>
      <c r="O58" s="1051">
        <v>286000</v>
      </c>
      <c r="P58" s="1051">
        <v>247950</v>
      </c>
      <c r="Q58" s="1051">
        <v>229950</v>
      </c>
      <c r="R58" s="1051">
        <v>225950</v>
      </c>
      <c r="S58" s="1051">
        <v>275000</v>
      </c>
      <c r="T58" s="1051">
        <v>286000</v>
      </c>
      <c r="U58" s="1051">
        <v>250000</v>
      </c>
      <c r="V58" s="1051">
        <v>286000</v>
      </c>
      <c r="W58" s="1051">
        <v>440000</v>
      </c>
      <c r="X58" s="1052">
        <v>433400</v>
      </c>
      <c r="Z58" s="1058" t="s">
        <v>455</v>
      </c>
      <c r="AA58" s="1061">
        <v>2199</v>
      </c>
      <c r="AB58" s="3" t="s">
        <v>256</v>
      </c>
    </row>
    <row r="59" spans="1:28" x14ac:dyDescent="0.25">
      <c r="A59" s="1057" t="s">
        <v>18</v>
      </c>
      <c r="B59" s="1058" t="s">
        <v>456</v>
      </c>
      <c r="C59" s="1059" t="s">
        <v>413</v>
      </c>
      <c r="D59" s="1060" t="s">
        <v>395</v>
      </c>
      <c r="E59" s="1060" t="s">
        <v>387</v>
      </c>
      <c r="F59" s="1061">
        <v>3778</v>
      </c>
      <c r="G59" s="1061">
        <v>9</v>
      </c>
      <c r="H59" s="1062">
        <v>0.02</v>
      </c>
      <c r="I59" s="1063"/>
      <c r="J59" s="1064" t="s">
        <v>388</v>
      </c>
      <c r="K59" s="712">
        <v>226000</v>
      </c>
      <c r="L59" s="1051">
        <v>215950</v>
      </c>
      <c r="M59" s="1051">
        <v>214950</v>
      </c>
      <c r="N59" s="1051">
        <v>213950</v>
      </c>
      <c r="O59" s="1051">
        <v>286000</v>
      </c>
      <c r="P59" s="1051">
        <v>247950</v>
      </c>
      <c r="Q59" s="1051">
        <v>229950</v>
      </c>
      <c r="R59" s="1051">
        <v>225950</v>
      </c>
      <c r="S59" s="1051">
        <v>275000</v>
      </c>
      <c r="T59" s="1051">
        <v>286000</v>
      </c>
      <c r="U59" s="1051">
        <v>250000</v>
      </c>
      <c r="V59" s="1051">
        <v>286000</v>
      </c>
      <c r="W59" s="1051">
        <v>440000</v>
      </c>
      <c r="X59" s="1052">
        <v>433400</v>
      </c>
      <c r="Z59" s="1058" t="s">
        <v>456</v>
      </c>
      <c r="AA59" s="1061">
        <v>3778</v>
      </c>
      <c r="AB59" s="3" t="s">
        <v>257</v>
      </c>
    </row>
    <row r="60" spans="1:28" x14ac:dyDescent="0.25">
      <c r="A60" s="1057" t="s">
        <v>18</v>
      </c>
      <c r="B60" s="1058" t="s">
        <v>457</v>
      </c>
      <c r="C60" s="1059" t="s">
        <v>413</v>
      </c>
      <c r="D60" s="1060" t="s">
        <v>395</v>
      </c>
      <c r="E60" s="1060" t="s">
        <v>387</v>
      </c>
      <c r="F60" s="1061">
        <v>3778</v>
      </c>
      <c r="G60" s="1061">
        <v>9</v>
      </c>
      <c r="H60" s="1062">
        <v>0.02</v>
      </c>
      <c r="I60" s="1063"/>
      <c r="J60" s="1064" t="s">
        <v>388</v>
      </c>
      <c r="K60" s="712">
        <v>226000</v>
      </c>
      <c r="L60" s="1051">
        <v>215950</v>
      </c>
      <c r="M60" s="1051">
        <v>214950</v>
      </c>
      <c r="N60" s="1051">
        <v>213950</v>
      </c>
      <c r="O60" s="1051">
        <v>286000</v>
      </c>
      <c r="P60" s="1051">
        <v>247950</v>
      </c>
      <c r="Q60" s="1051">
        <v>229950</v>
      </c>
      <c r="R60" s="1051">
        <v>225950</v>
      </c>
      <c r="S60" s="1051">
        <v>275000</v>
      </c>
      <c r="T60" s="1051">
        <v>286000</v>
      </c>
      <c r="U60" s="1051">
        <v>250000</v>
      </c>
      <c r="V60" s="1051">
        <v>286000</v>
      </c>
      <c r="W60" s="1051">
        <v>440000</v>
      </c>
      <c r="X60" s="1052">
        <v>433400</v>
      </c>
      <c r="Z60" s="1058" t="s">
        <v>457</v>
      </c>
      <c r="AA60" s="1061">
        <v>3778</v>
      </c>
      <c r="AB60" s="3" t="s">
        <v>257</v>
      </c>
    </row>
    <row r="61" spans="1:29" x14ac:dyDescent="0.25">
      <c r="A61" s="1057" t="s">
        <v>18</v>
      </c>
      <c r="B61" s="1058" t="s">
        <v>458</v>
      </c>
      <c r="C61" s="1059" t="s">
        <v>385</v>
      </c>
      <c r="D61" s="1060" t="s">
        <v>390</v>
      </c>
      <c r="E61" s="1060" t="s">
        <v>387</v>
      </c>
      <c r="F61" s="1061">
        <v>2497</v>
      </c>
      <c r="G61" s="1061">
        <v>8</v>
      </c>
      <c r="H61" s="1062">
        <v>0.015</v>
      </c>
      <c r="I61" s="1063"/>
      <c r="J61" s="1064" t="s">
        <v>388</v>
      </c>
      <c r="K61" s="712">
        <v>259000</v>
      </c>
      <c r="L61" s="1051">
        <v>215950</v>
      </c>
      <c r="M61" s="1051">
        <v>214950</v>
      </c>
      <c r="N61" s="1051">
        <v>213950</v>
      </c>
      <c r="O61" s="1051">
        <v>286000</v>
      </c>
      <c r="P61" s="1051">
        <v>247950</v>
      </c>
      <c r="Q61" s="1051">
        <v>229950</v>
      </c>
      <c r="R61" s="1051">
        <v>225950</v>
      </c>
      <c r="S61" s="1051">
        <v>275000</v>
      </c>
      <c r="T61" s="1051">
        <v>286000</v>
      </c>
      <c r="U61" s="1051">
        <v>250000</v>
      </c>
      <c r="V61" s="1051">
        <v>286000</v>
      </c>
      <c r="W61" s="1051">
        <v>440000</v>
      </c>
      <c r="X61" s="1052">
        <v>740000</v>
      </c>
      <c r="Z61" s="1058" t="s">
        <v>458</v>
      </c>
      <c r="AA61" s="1061">
        <v>2497</v>
      </c>
      <c r="AB61" s="3" t="s">
        <v>256</v>
      </c>
      <c r="AC61" s="1065"/>
    </row>
    <row r="62" spans="1:29" x14ac:dyDescent="0.25">
      <c r="A62" s="1057" t="s">
        <v>18</v>
      </c>
      <c r="B62" s="1058" t="s">
        <v>459</v>
      </c>
      <c r="C62" s="1059" t="s">
        <v>385</v>
      </c>
      <c r="D62" s="1060" t="s">
        <v>390</v>
      </c>
      <c r="E62" s="1060" t="s">
        <v>387</v>
      </c>
      <c r="F62" s="1061">
        <v>3470</v>
      </c>
      <c r="G62" s="1061">
        <v>9</v>
      </c>
      <c r="H62" s="1062">
        <v>0.015</v>
      </c>
      <c r="I62" s="1063"/>
      <c r="J62" s="1064" t="s">
        <v>388</v>
      </c>
      <c r="K62" s="712">
        <v>259000</v>
      </c>
      <c r="L62" s="1051">
        <v>215950</v>
      </c>
      <c r="M62" s="1051">
        <v>214950</v>
      </c>
      <c r="N62" s="1051">
        <v>213950</v>
      </c>
      <c r="O62" s="1051">
        <v>286000</v>
      </c>
      <c r="P62" s="1051">
        <v>247950</v>
      </c>
      <c r="Q62" s="1051">
        <v>229950</v>
      </c>
      <c r="R62" s="1051">
        <v>225950</v>
      </c>
      <c r="S62" s="1051">
        <v>275000</v>
      </c>
      <c r="T62" s="1051">
        <v>286000</v>
      </c>
      <c r="U62" s="1051">
        <v>250000</v>
      </c>
      <c r="V62" s="1051">
        <v>286000</v>
      </c>
      <c r="W62" s="1051">
        <v>440000</v>
      </c>
      <c r="X62" s="1052">
        <v>740000</v>
      </c>
      <c r="Z62" s="1058" t="s">
        <v>459</v>
      </c>
      <c r="AA62" s="1061">
        <v>3470</v>
      </c>
      <c r="AB62" s="3" t="s">
        <v>257</v>
      </c>
      <c r="AC62" s="1065"/>
    </row>
    <row r="63" spans="1:29" x14ac:dyDescent="0.25">
      <c r="A63" s="1057" t="s">
        <v>18</v>
      </c>
      <c r="B63" s="1058" t="s">
        <v>460</v>
      </c>
      <c r="C63" s="1059" t="s">
        <v>385</v>
      </c>
      <c r="D63" s="1060" t="s">
        <v>390</v>
      </c>
      <c r="E63" s="1060" t="s">
        <v>416</v>
      </c>
      <c r="F63" s="1061">
        <v>2497</v>
      </c>
      <c r="G63" s="1061">
        <v>8</v>
      </c>
      <c r="H63" s="1062">
        <v>0.015</v>
      </c>
      <c r="I63" s="1063"/>
      <c r="J63" s="1064" t="s">
        <v>388</v>
      </c>
      <c r="K63" s="712">
        <v>259000</v>
      </c>
      <c r="L63" s="1051">
        <v>215950</v>
      </c>
      <c r="M63" s="1051">
        <v>214950</v>
      </c>
      <c r="N63" s="1051">
        <v>213950</v>
      </c>
      <c r="O63" s="1051">
        <v>286000</v>
      </c>
      <c r="P63" s="1051">
        <v>247950</v>
      </c>
      <c r="Q63" s="1051">
        <v>229950</v>
      </c>
      <c r="R63" s="1051">
        <v>225950</v>
      </c>
      <c r="S63" s="1051">
        <v>275000</v>
      </c>
      <c r="T63" s="1051">
        <v>286000</v>
      </c>
      <c r="U63" s="1051">
        <v>250000</v>
      </c>
      <c r="V63" s="1051">
        <v>286000</v>
      </c>
      <c r="W63" s="1051">
        <v>440000</v>
      </c>
      <c r="X63" s="1052">
        <v>740000</v>
      </c>
      <c r="Z63" s="1058" t="s">
        <v>460</v>
      </c>
      <c r="AA63" s="1061">
        <v>2497</v>
      </c>
      <c r="AB63" s="3" t="s">
        <v>256</v>
      </c>
      <c r="AC63" s="1065"/>
    </row>
    <row r="64" spans="1:28" x14ac:dyDescent="0.25">
      <c r="A64" s="1057" t="s">
        <v>18</v>
      </c>
      <c r="B64" s="1058" t="s">
        <v>461</v>
      </c>
      <c r="C64" s="1059" t="s">
        <v>385</v>
      </c>
      <c r="D64" s="1060" t="s">
        <v>402</v>
      </c>
      <c r="E64" s="1060" t="s">
        <v>416</v>
      </c>
      <c r="F64" s="1061">
        <v>2996</v>
      </c>
      <c r="G64" s="1061">
        <v>9</v>
      </c>
      <c r="H64" s="1062">
        <v>0.02</v>
      </c>
      <c r="I64" s="1063"/>
      <c r="J64" s="1064" t="s">
        <v>388</v>
      </c>
      <c r="K64" s="712">
        <v>259000</v>
      </c>
      <c r="L64" s="1051">
        <v>215950</v>
      </c>
      <c r="M64" s="1051">
        <v>214950</v>
      </c>
      <c r="N64" s="1051">
        <v>213950</v>
      </c>
      <c r="O64" s="1051">
        <v>286000</v>
      </c>
      <c r="P64" s="1051">
        <v>247950</v>
      </c>
      <c r="Q64" s="1051">
        <v>229950</v>
      </c>
      <c r="R64" s="1051">
        <v>225950</v>
      </c>
      <c r="S64" s="1051">
        <v>275000</v>
      </c>
      <c r="T64" s="1051">
        <v>286000</v>
      </c>
      <c r="U64" s="1051">
        <v>250000</v>
      </c>
      <c r="V64" s="1051">
        <v>286000</v>
      </c>
      <c r="W64" s="1051">
        <v>440000</v>
      </c>
      <c r="X64" s="1052">
        <v>740000</v>
      </c>
      <c r="Z64" s="1058" t="s">
        <v>461</v>
      </c>
      <c r="AA64" s="1061">
        <v>2996</v>
      </c>
      <c r="AB64" s="3" t="s">
        <v>256</v>
      </c>
    </row>
    <row r="65" spans="1:28" x14ac:dyDescent="0.25">
      <c r="A65" s="1057" t="s">
        <v>18</v>
      </c>
      <c r="B65" s="1058" t="s">
        <v>462</v>
      </c>
      <c r="C65" s="1059" t="s">
        <v>413</v>
      </c>
      <c r="D65" s="1060" t="s">
        <v>402</v>
      </c>
      <c r="E65" s="1060" t="s">
        <v>416</v>
      </c>
      <c r="F65" s="1061">
        <v>2996</v>
      </c>
      <c r="G65" s="1061">
        <v>9</v>
      </c>
      <c r="H65" s="1082">
        <v>0.02</v>
      </c>
      <c r="I65" s="1063"/>
      <c r="J65" s="1064" t="s">
        <v>388</v>
      </c>
      <c r="K65" s="712">
        <v>259000</v>
      </c>
      <c r="L65" s="1051">
        <v>215950</v>
      </c>
      <c r="M65" s="1051">
        <v>214950</v>
      </c>
      <c r="N65" s="1051">
        <v>213950</v>
      </c>
      <c r="O65" s="1051">
        <v>286000</v>
      </c>
      <c r="P65" s="1051">
        <v>247950</v>
      </c>
      <c r="Q65" s="1051">
        <v>229950</v>
      </c>
      <c r="R65" s="1051">
        <v>225950</v>
      </c>
      <c r="S65" s="1051">
        <v>275000</v>
      </c>
      <c r="T65" s="1051">
        <v>286000</v>
      </c>
      <c r="U65" s="1051">
        <v>250000</v>
      </c>
      <c r="V65" s="1051">
        <v>286000</v>
      </c>
      <c r="W65" s="1051">
        <v>440000</v>
      </c>
      <c r="X65" s="1052">
        <v>740000</v>
      </c>
      <c r="Z65" s="1058" t="s">
        <v>462</v>
      </c>
      <c r="AA65" s="1061">
        <v>2996</v>
      </c>
      <c r="AB65" s="3" t="s">
        <v>256</v>
      </c>
    </row>
    <row r="66" spans="1:28" x14ac:dyDescent="0.25">
      <c r="A66" s="1057" t="s">
        <v>18</v>
      </c>
      <c r="B66" s="1058" t="s">
        <v>463</v>
      </c>
      <c r="C66" s="1059" t="s">
        <v>385</v>
      </c>
      <c r="D66" s="1060" t="s">
        <v>402</v>
      </c>
      <c r="E66" s="1060" t="s">
        <v>387</v>
      </c>
      <c r="F66" s="1061">
        <v>2497</v>
      </c>
      <c r="G66" s="1061">
        <v>8</v>
      </c>
      <c r="H66" s="1082">
        <v>0.02</v>
      </c>
      <c r="I66" s="1063"/>
      <c r="J66" s="1064" t="s">
        <v>388</v>
      </c>
      <c r="K66" s="712">
        <v>259000</v>
      </c>
      <c r="L66" s="1051">
        <v>215950</v>
      </c>
      <c r="M66" s="1051">
        <v>214950</v>
      </c>
      <c r="N66" s="1051">
        <v>213950</v>
      </c>
      <c r="O66" s="1051">
        <v>286000</v>
      </c>
      <c r="P66" s="1051">
        <v>247950</v>
      </c>
      <c r="Q66" s="1051">
        <v>229950</v>
      </c>
      <c r="R66" s="1051">
        <v>225950</v>
      </c>
      <c r="S66" s="1051">
        <v>275000</v>
      </c>
      <c r="T66" s="1051">
        <v>286000</v>
      </c>
      <c r="U66" s="1051">
        <v>250000</v>
      </c>
      <c r="V66" s="1051">
        <v>286000</v>
      </c>
      <c r="W66" s="1051">
        <v>440000</v>
      </c>
      <c r="X66" s="1052">
        <v>740000</v>
      </c>
      <c r="Z66" s="1058" t="s">
        <v>463</v>
      </c>
      <c r="AA66" s="1061">
        <v>2497</v>
      </c>
      <c r="AB66" s="3" t="s">
        <v>256</v>
      </c>
    </row>
    <row r="67" spans="1:28" x14ac:dyDescent="0.25">
      <c r="A67" s="1057" t="s">
        <v>18</v>
      </c>
      <c r="B67" s="1058" t="s">
        <v>464</v>
      </c>
      <c r="C67" s="1059" t="s">
        <v>413</v>
      </c>
      <c r="D67" s="1060" t="s">
        <v>402</v>
      </c>
      <c r="E67" s="1060" t="s">
        <v>387</v>
      </c>
      <c r="F67" s="1061">
        <v>2497</v>
      </c>
      <c r="G67" s="1061">
        <v>8</v>
      </c>
      <c r="H67" s="1082">
        <v>0.02</v>
      </c>
      <c r="I67" s="1063"/>
      <c r="J67" s="1064" t="s">
        <v>388</v>
      </c>
      <c r="K67" s="712">
        <v>259000</v>
      </c>
      <c r="L67" s="1051">
        <v>215950</v>
      </c>
      <c r="M67" s="1051">
        <v>214950</v>
      </c>
      <c r="N67" s="1051">
        <v>213950</v>
      </c>
      <c r="O67" s="1051">
        <v>286000</v>
      </c>
      <c r="P67" s="1051">
        <v>247950</v>
      </c>
      <c r="Q67" s="1051">
        <v>229950</v>
      </c>
      <c r="R67" s="1051">
        <v>225950</v>
      </c>
      <c r="S67" s="1051">
        <v>275000</v>
      </c>
      <c r="T67" s="1051">
        <v>286000</v>
      </c>
      <c r="U67" s="1051">
        <v>250000</v>
      </c>
      <c r="V67" s="1051">
        <v>286000</v>
      </c>
      <c r="W67" s="1051">
        <v>440000</v>
      </c>
      <c r="X67" s="1052">
        <v>740000</v>
      </c>
      <c r="Z67" s="1058" t="s">
        <v>464</v>
      </c>
      <c r="AA67" s="1061">
        <v>2497</v>
      </c>
      <c r="AB67" s="3" t="s">
        <v>256</v>
      </c>
    </row>
    <row r="68" spans="1:28" x14ac:dyDescent="0.25">
      <c r="A68" s="1057" t="s">
        <v>18</v>
      </c>
      <c r="B68" s="1058" t="s">
        <v>465</v>
      </c>
      <c r="C68" s="1059" t="s">
        <v>385</v>
      </c>
      <c r="D68" s="1060" t="s">
        <v>402</v>
      </c>
      <c r="E68" s="1060" t="s">
        <v>387</v>
      </c>
      <c r="F68" s="1061">
        <v>3470</v>
      </c>
      <c r="G68" s="1061">
        <v>9</v>
      </c>
      <c r="H68" s="1082">
        <v>0.02</v>
      </c>
      <c r="I68" s="1063"/>
      <c r="J68" s="1064" t="s">
        <v>388</v>
      </c>
      <c r="K68" s="712">
        <v>259000</v>
      </c>
      <c r="L68" s="1051">
        <v>215950</v>
      </c>
      <c r="M68" s="1051">
        <v>214950</v>
      </c>
      <c r="N68" s="1051">
        <v>213950</v>
      </c>
      <c r="O68" s="1051">
        <v>286000</v>
      </c>
      <c r="P68" s="1051">
        <v>247950</v>
      </c>
      <c r="Q68" s="1051">
        <v>229950</v>
      </c>
      <c r="R68" s="1051">
        <v>225950</v>
      </c>
      <c r="S68" s="1051">
        <v>275000</v>
      </c>
      <c r="T68" s="1051">
        <v>286000</v>
      </c>
      <c r="U68" s="1051">
        <v>250000</v>
      </c>
      <c r="V68" s="1051">
        <v>286000</v>
      </c>
      <c r="W68" s="1051">
        <v>440000</v>
      </c>
      <c r="X68" s="1052">
        <v>740000</v>
      </c>
      <c r="Z68" s="1058" t="s">
        <v>465</v>
      </c>
      <c r="AA68" s="1061">
        <v>3470</v>
      </c>
      <c r="AB68" s="3" t="s">
        <v>257</v>
      </c>
    </row>
    <row r="69" spans="1:28" x14ac:dyDescent="0.25">
      <c r="A69" s="1057" t="s">
        <v>18</v>
      </c>
      <c r="B69" s="1058" t="s">
        <v>466</v>
      </c>
      <c r="C69" s="1059" t="s">
        <v>385</v>
      </c>
      <c r="D69" s="1060" t="s">
        <v>402</v>
      </c>
      <c r="E69" s="1060" t="s">
        <v>387</v>
      </c>
      <c r="F69" s="1061">
        <v>3470</v>
      </c>
      <c r="G69" s="1061">
        <v>9</v>
      </c>
      <c r="H69" s="1082">
        <v>0.02</v>
      </c>
      <c r="I69" s="1063"/>
      <c r="J69" s="1064" t="s">
        <v>388</v>
      </c>
      <c r="K69" s="712">
        <v>259000</v>
      </c>
      <c r="L69" s="1051">
        <v>215950</v>
      </c>
      <c r="M69" s="1051">
        <v>214950</v>
      </c>
      <c r="N69" s="1051">
        <v>213950</v>
      </c>
      <c r="O69" s="1051">
        <v>286000</v>
      </c>
      <c r="P69" s="1051">
        <v>247950</v>
      </c>
      <c r="Q69" s="1051">
        <v>229950</v>
      </c>
      <c r="R69" s="1051">
        <v>225950</v>
      </c>
      <c r="S69" s="1051">
        <v>275000</v>
      </c>
      <c r="T69" s="1051">
        <v>286000</v>
      </c>
      <c r="U69" s="1051">
        <v>250000</v>
      </c>
      <c r="V69" s="1051">
        <v>286000</v>
      </c>
      <c r="W69" s="1051">
        <v>440000</v>
      </c>
      <c r="X69" s="1052">
        <v>740000</v>
      </c>
      <c r="Z69" s="1058" t="s">
        <v>466</v>
      </c>
      <c r="AA69" s="1061">
        <v>3470</v>
      </c>
      <c r="AB69" s="3" t="s">
        <v>257</v>
      </c>
    </row>
    <row r="70" spans="1:28" x14ac:dyDescent="0.25">
      <c r="A70" s="1057" t="s">
        <v>18</v>
      </c>
      <c r="B70" s="1058" t="s">
        <v>467</v>
      </c>
      <c r="C70" s="1059" t="s">
        <v>413</v>
      </c>
      <c r="D70" s="1060" t="s">
        <v>402</v>
      </c>
      <c r="E70" s="1060" t="s">
        <v>387</v>
      </c>
      <c r="F70" s="1061">
        <v>3470</v>
      </c>
      <c r="G70" s="1061">
        <v>9</v>
      </c>
      <c r="H70" s="1082">
        <v>0.02</v>
      </c>
      <c r="I70" s="1063"/>
      <c r="J70" s="1064" t="s">
        <v>388</v>
      </c>
      <c r="K70" s="712">
        <v>259000</v>
      </c>
      <c r="L70" s="1051">
        <v>215950</v>
      </c>
      <c r="M70" s="1051">
        <v>214950</v>
      </c>
      <c r="N70" s="1051">
        <v>213950</v>
      </c>
      <c r="O70" s="1051">
        <v>286000</v>
      </c>
      <c r="P70" s="1051">
        <v>247950</v>
      </c>
      <c r="Q70" s="1051">
        <v>229950</v>
      </c>
      <c r="R70" s="1051">
        <v>225950</v>
      </c>
      <c r="S70" s="1051">
        <v>275000</v>
      </c>
      <c r="T70" s="1051">
        <v>286000</v>
      </c>
      <c r="U70" s="1051">
        <v>250000</v>
      </c>
      <c r="V70" s="1051">
        <v>286000</v>
      </c>
      <c r="W70" s="1051">
        <v>440000</v>
      </c>
      <c r="X70" s="1052">
        <v>740000</v>
      </c>
      <c r="Z70" s="1058" t="s">
        <v>467</v>
      </c>
      <c r="AA70" s="1061">
        <v>3470</v>
      </c>
      <c r="AB70" s="3" t="s">
        <v>257</v>
      </c>
    </row>
    <row r="71" spans="1:30" s="1088" customFormat="1" x14ac:dyDescent="0.25">
      <c r="A71" s="1089"/>
      <c r="B71" s="1090"/>
      <c r="C71" s="1091"/>
      <c r="D71" s="1092"/>
      <c r="E71" s="1092"/>
      <c r="F71" s="1093"/>
      <c r="G71" s="1093"/>
      <c r="H71" s="1094"/>
      <c r="I71" s="1095"/>
      <c r="J71" s="1096"/>
      <c r="K71" s="1097"/>
      <c r="L71" s="1098"/>
      <c r="M71" s="1098"/>
      <c r="N71" s="1098"/>
      <c r="O71" s="1098"/>
      <c r="P71" s="1098"/>
      <c r="Q71" s="1098"/>
      <c r="R71" s="1098"/>
      <c r="S71" s="1098"/>
      <c r="T71" s="1098"/>
      <c r="U71" s="1098"/>
      <c r="V71" s="1098"/>
      <c r="W71" s="1098"/>
      <c r="X71" s="1052"/>
      <c r="Z71" s="1090"/>
      <c r="AA71" s="1093"/>
      <c r="AB71" s="3"/>
      <c r="AD71" s="3"/>
    </row>
    <row r="72" spans="1:30" s="1088" customFormat="1" x14ac:dyDescent="0.25">
      <c r="A72" s="1089"/>
      <c r="B72" s="1090"/>
      <c r="C72" s="1091"/>
      <c r="D72" s="1092"/>
      <c r="E72" s="1092"/>
      <c r="F72" s="1093"/>
      <c r="G72" s="1093"/>
      <c r="H72" s="1094"/>
      <c r="I72" s="1095"/>
      <c r="J72" s="1096"/>
      <c r="K72" s="1097"/>
      <c r="L72" s="1098"/>
      <c r="M72" s="1098"/>
      <c r="N72" s="1098"/>
      <c r="O72" s="1098"/>
      <c r="P72" s="1098"/>
      <c r="Q72" s="1098"/>
      <c r="R72" s="1098"/>
      <c r="S72" s="1098"/>
      <c r="T72" s="1098"/>
      <c r="U72" s="1098"/>
      <c r="V72" s="1098"/>
      <c r="W72" s="1098"/>
      <c r="X72" s="1052"/>
      <c r="Z72" s="1090"/>
      <c r="AA72" s="1093"/>
      <c r="AB72" s="3"/>
      <c r="AD72" s="3"/>
    </row>
    <row r="73" spans="1:28" x14ac:dyDescent="0.25">
      <c r="A73" s="1099" t="s">
        <v>76</v>
      </c>
      <c r="B73" s="1100" t="s">
        <v>468</v>
      </c>
      <c r="C73" s="1101" t="s">
        <v>385</v>
      </c>
      <c r="D73" s="1102" t="s">
        <v>386</v>
      </c>
      <c r="E73" s="1103" t="s">
        <v>387</v>
      </c>
      <c r="F73" s="1104">
        <v>998</v>
      </c>
      <c r="G73" s="1104">
        <v>2</v>
      </c>
      <c r="H73" s="1062">
        <v>0.03</v>
      </c>
      <c r="I73" s="1063" t="s">
        <v>399</v>
      </c>
      <c r="J73" s="1064" t="s">
        <v>469</v>
      </c>
      <c r="K73" s="712">
        <v>157000</v>
      </c>
      <c r="L73" s="1051">
        <v>120350</v>
      </c>
      <c r="M73" s="1051">
        <v>119350</v>
      </c>
      <c r="N73" s="1051">
        <v>118350</v>
      </c>
      <c r="O73" s="1051">
        <v>218350</v>
      </c>
      <c r="P73" s="1051">
        <v>152350</v>
      </c>
      <c r="Q73" s="1051">
        <v>134350</v>
      </c>
      <c r="R73" s="1051">
        <v>130350</v>
      </c>
      <c r="S73" s="1051">
        <v>207350</v>
      </c>
      <c r="T73" s="1051">
        <v>244350</v>
      </c>
      <c r="U73" s="1051">
        <v>184350</v>
      </c>
      <c r="V73" s="1051">
        <v>239350</v>
      </c>
      <c r="W73" s="1051">
        <v>440000</v>
      </c>
      <c r="X73" s="1052">
        <v>126000</v>
      </c>
      <c r="Z73" s="1100" t="s">
        <v>468</v>
      </c>
      <c r="AA73" s="1104">
        <v>998</v>
      </c>
      <c r="AB73" s="3" t="str">
        <f t="shared" ref="AB73:AB133" si="1">IF(AA73&lt;1000,"경형",IF(AA73&lt;1600,"소형",IF(AA73&lt;2000,"중형",IF(AA73&lt;2500,"대형",IF(AA73&lt;3400,"고급",IF(AA73&gt;=3400,"최고급"))))))</f>
        <v>경형</v>
      </c>
    </row>
    <row r="74" spans="1:28" x14ac:dyDescent="0.25">
      <c r="A74" s="1099" t="s">
        <v>76</v>
      </c>
      <c r="B74" s="1100" t="s">
        <v>470</v>
      </c>
      <c r="C74" s="1101" t="s">
        <v>385</v>
      </c>
      <c r="D74" s="1102" t="s">
        <v>410</v>
      </c>
      <c r="E74" s="1103" t="s">
        <v>387</v>
      </c>
      <c r="F74" s="1104">
        <v>998</v>
      </c>
      <c r="G74" s="1104">
        <v>2</v>
      </c>
      <c r="H74" s="1062">
        <v>0.03</v>
      </c>
      <c r="I74" s="1063" t="s">
        <v>399</v>
      </c>
      <c r="J74" s="1064" t="s">
        <v>469</v>
      </c>
      <c r="K74" s="712">
        <v>157000</v>
      </c>
      <c r="L74" s="1051">
        <v>120350</v>
      </c>
      <c r="M74" s="1051">
        <v>119350</v>
      </c>
      <c r="N74" s="1051">
        <v>118350</v>
      </c>
      <c r="O74" s="1051">
        <v>218350</v>
      </c>
      <c r="P74" s="1051">
        <v>152350</v>
      </c>
      <c r="Q74" s="1051">
        <v>134350</v>
      </c>
      <c r="R74" s="1051">
        <v>130350</v>
      </c>
      <c r="S74" s="1051">
        <v>207350</v>
      </c>
      <c r="T74" s="1051">
        <v>244350</v>
      </c>
      <c r="U74" s="1051">
        <v>184350</v>
      </c>
      <c r="V74" s="1051">
        <v>239350</v>
      </c>
      <c r="W74" s="1051">
        <v>440000</v>
      </c>
      <c r="X74" s="1052">
        <v>126000</v>
      </c>
      <c r="Z74" s="1100" t="s">
        <v>470</v>
      </c>
      <c r="AA74" s="1104">
        <v>998</v>
      </c>
      <c r="AB74" s="3" t="str">
        <f t="shared" si="1"/>
        <v>경형</v>
      </c>
    </row>
    <row r="75" spans="1:28" x14ac:dyDescent="0.25">
      <c r="A75" s="1099" t="s">
        <v>76</v>
      </c>
      <c r="B75" s="1100" t="s">
        <v>471</v>
      </c>
      <c r="C75" s="1105" t="s">
        <v>385</v>
      </c>
      <c r="D75" s="1103" t="s">
        <v>386</v>
      </c>
      <c r="E75" s="1103" t="s">
        <v>387</v>
      </c>
      <c r="F75" s="1104">
        <v>998</v>
      </c>
      <c r="G75" s="1104">
        <v>2</v>
      </c>
      <c r="H75" s="1062">
        <v>0.03</v>
      </c>
      <c r="I75" s="1063" t="s">
        <v>399</v>
      </c>
      <c r="J75" s="1064" t="s">
        <v>469</v>
      </c>
      <c r="K75" s="712" t="s">
        <v>411</v>
      </c>
      <c r="L75" s="1051">
        <v>120350</v>
      </c>
      <c r="M75" s="1051">
        <v>119350</v>
      </c>
      <c r="N75" s="1051">
        <v>118350</v>
      </c>
      <c r="O75" s="1051">
        <v>218350</v>
      </c>
      <c r="P75" s="1051">
        <v>152350</v>
      </c>
      <c r="Q75" s="1051">
        <v>134350</v>
      </c>
      <c r="R75" s="1051">
        <v>130350</v>
      </c>
      <c r="S75" s="1051">
        <v>207350</v>
      </c>
      <c r="T75" s="1051">
        <v>244350</v>
      </c>
      <c r="U75" s="1051">
        <v>184350</v>
      </c>
      <c r="V75" s="1051">
        <v>239350</v>
      </c>
      <c r="W75" s="1051">
        <v>440000</v>
      </c>
      <c r="X75" s="1052">
        <v>161200</v>
      </c>
      <c r="Z75" s="1100" t="s">
        <v>471</v>
      </c>
      <c r="AA75" s="1104">
        <v>998</v>
      </c>
      <c r="AB75" s="3" t="str">
        <f t="shared" si="1"/>
        <v>경형</v>
      </c>
    </row>
    <row r="76" spans="1:28" x14ac:dyDescent="0.25">
      <c r="A76" s="1099" t="s">
        <v>76</v>
      </c>
      <c r="B76" s="1100" t="s">
        <v>472</v>
      </c>
      <c r="C76" s="1105" t="s">
        <v>385</v>
      </c>
      <c r="D76" s="1103" t="s">
        <v>473</v>
      </c>
      <c r="E76" s="1106" t="s">
        <v>404</v>
      </c>
      <c r="F76" s="1104">
        <v>998</v>
      </c>
      <c r="G76" s="1104">
        <v>2</v>
      </c>
      <c r="H76" s="1062">
        <v>0.03</v>
      </c>
      <c r="I76" s="1063" t="s">
        <v>399</v>
      </c>
      <c r="J76" s="1064" t="s">
        <v>469</v>
      </c>
      <c r="K76" s="712" t="s">
        <v>411</v>
      </c>
      <c r="L76" s="1051">
        <v>120350</v>
      </c>
      <c r="M76" s="1051">
        <v>119350</v>
      </c>
      <c r="N76" s="1051">
        <v>118350</v>
      </c>
      <c r="O76" s="1051">
        <v>218350</v>
      </c>
      <c r="P76" s="1051">
        <v>152350</v>
      </c>
      <c r="Q76" s="1051">
        <v>134350</v>
      </c>
      <c r="R76" s="1051">
        <v>130350</v>
      </c>
      <c r="S76" s="1051">
        <v>207350</v>
      </c>
      <c r="T76" s="1051">
        <v>244350</v>
      </c>
      <c r="U76" s="1051">
        <v>184350</v>
      </c>
      <c r="V76" s="1051">
        <v>239350</v>
      </c>
      <c r="W76" s="1051">
        <v>440000</v>
      </c>
      <c r="X76" s="1052">
        <v>161200</v>
      </c>
      <c r="Z76" s="1100" t="s">
        <v>472</v>
      </c>
      <c r="AA76" s="1104">
        <v>998</v>
      </c>
      <c r="AB76" s="3" t="str">
        <f t="shared" si="1"/>
        <v>경형</v>
      </c>
    </row>
    <row r="77" spans="1:28" x14ac:dyDescent="0.25">
      <c r="A77" s="1099" t="s">
        <v>76</v>
      </c>
      <c r="B77" s="1100" t="s">
        <v>474</v>
      </c>
      <c r="C77" s="1105" t="s">
        <v>385</v>
      </c>
      <c r="D77" s="1103" t="s">
        <v>473</v>
      </c>
      <c r="E77" s="1103" t="s">
        <v>387</v>
      </c>
      <c r="F77" s="1104">
        <v>998</v>
      </c>
      <c r="G77" s="1104">
        <v>2</v>
      </c>
      <c r="H77" s="1062">
        <v>0.03</v>
      </c>
      <c r="I77" s="1063" t="s">
        <v>399</v>
      </c>
      <c r="J77" s="1064" t="s">
        <v>469</v>
      </c>
      <c r="K77" s="712" t="s">
        <v>411</v>
      </c>
      <c r="L77" s="1051">
        <v>120350</v>
      </c>
      <c r="M77" s="1051">
        <v>119350</v>
      </c>
      <c r="N77" s="1051">
        <v>118350</v>
      </c>
      <c r="O77" s="1051">
        <v>218350</v>
      </c>
      <c r="P77" s="1051">
        <v>152350</v>
      </c>
      <c r="Q77" s="1051">
        <v>134350</v>
      </c>
      <c r="R77" s="1051">
        <v>130350</v>
      </c>
      <c r="S77" s="1051">
        <v>207350</v>
      </c>
      <c r="T77" s="1051">
        <v>244350</v>
      </c>
      <c r="U77" s="1051">
        <v>184350</v>
      </c>
      <c r="V77" s="1051">
        <v>239350</v>
      </c>
      <c r="W77" s="1051">
        <v>440000</v>
      </c>
      <c r="X77" s="1052">
        <v>161200</v>
      </c>
      <c r="Z77" s="1100" t="s">
        <v>474</v>
      </c>
      <c r="AA77" s="1104">
        <v>998</v>
      </c>
      <c r="AB77" s="3" t="str">
        <f t="shared" si="1"/>
        <v>경형</v>
      </c>
    </row>
    <row r="78" spans="1:28" x14ac:dyDescent="0.25">
      <c r="A78" s="1099" t="s">
        <v>76</v>
      </c>
      <c r="B78" s="1100" t="s">
        <v>475</v>
      </c>
      <c r="C78" s="1105" t="s">
        <v>385</v>
      </c>
      <c r="D78" s="1103" t="s">
        <v>473</v>
      </c>
      <c r="E78" s="1103" t="s">
        <v>387</v>
      </c>
      <c r="F78" s="1104">
        <v>998</v>
      </c>
      <c r="G78" s="1104">
        <v>2</v>
      </c>
      <c r="H78" s="1062">
        <v>0.03</v>
      </c>
      <c r="I78" s="1063" t="s">
        <v>399</v>
      </c>
      <c r="J78" s="1064" t="s">
        <v>469</v>
      </c>
      <c r="K78" s="712" t="s">
        <v>411</v>
      </c>
      <c r="L78" s="1051">
        <v>120350</v>
      </c>
      <c r="M78" s="1051">
        <v>119350</v>
      </c>
      <c r="N78" s="1051">
        <v>118350</v>
      </c>
      <c r="O78" s="1051">
        <v>218350</v>
      </c>
      <c r="P78" s="1051">
        <v>152350</v>
      </c>
      <c r="Q78" s="1051">
        <v>134350</v>
      </c>
      <c r="R78" s="1051">
        <v>130350</v>
      </c>
      <c r="S78" s="1051">
        <v>207350</v>
      </c>
      <c r="T78" s="1051">
        <v>244350</v>
      </c>
      <c r="U78" s="1051">
        <v>184350</v>
      </c>
      <c r="V78" s="1051">
        <v>239350</v>
      </c>
      <c r="W78" s="1051">
        <v>440000</v>
      </c>
      <c r="X78" s="1052">
        <v>161200</v>
      </c>
      <c r="Z78" s="1100" t="s">
        <v>475</v>
      </c>
      <c r="AA78" s="1104">
        <v>998</v>
      </c>
      <c r="AB78" s="3" t="str">
        <f t="shared" si="1"/>
        <v>경형</v>
      </c>
    </row>
    <row r="79" spans="1:28" x14ac:dyDescent="0.25">
      <c r="A79" s="1099" t="s">
        <v>76</v>
      </c>
      <c r="B79" s="1058" t="s">
        <v>476</v>
      </c>
      <c r="C79" s="1059" t="s">
        <v>385</v>
      </c>
      <c r="D79" s="1103" t="s">
        <v>390</v>
      </c>
      <c r="E79" s="1060" t="s">
        <v>387</v>
      </c>
      <c r="F79" s="1061">
        <v>1598</v>
      </c>
      <c r="G79" s="1061">
        <v>5</v>
      </c>
      <c r="H79" s="1062">
        <v>0.025</v>
      </c>
      <c r="I79" s="1063"/>
      <c r="J79" s="1064" t="s">
        <v>477</v>
      </c>
      <c r="K79" s="712">
        <v>207000</v>
      </c>
      <c r="L79" s="1051">
        <v>182390</v>
      </c>
      <c r="M79" s="1051">
        <v>181390</v>
      </c>
      <c r="N79" s="1051">
        <v>180390</v>
      </c>
      <c r="O79" s="1051">
        <v>280390</v>
      </c>
      <c r="P79" s="1051">
        <v>214390</v>
      </c>
      <c r="Q79" s="1051">
        <v>196390</v>
      </c>
      <c r="R79" s="1051">
        <v>192390</v>
      </c>
      <c r="S79" s="1051">
        <v>269390</v>
      </c>
      <c r="T79" s="1051">
        <v>275000</v>
      </c>
      <c r="U79" s="1051">
        <v>246390</v>
      </c>
      <c r="V79" s="1051">
        <v>275000</v>
      </c>
      <c r="W79" s="1051">
        <v>440000</v>
      </c>
      <c r="X79" s="1052">
        <v>348000</v>
      </c>
      <c r="Z79" s="1058" t="s">
        <v>476</v>
      </c>
      <c r="AA79" s="1061">
        <v>1591</v>
      </c>
      <c r="AB79" s="3" t="s">
        <v>255</v>
      </c>
    </row>
    <row r="80" spans="1:28" x14ac:dyDescent="0.25">
      <c r="A80" s="1099" t="s">
        <v>76</v>
      </c>
      <c r="B80" s="1058" t="s">
        <v>478</v>
      </c>
      <c r="C80" s="1059" t="s">
        <v>385</v>
      </c>
      <c r="D80" s="1103" t="s">
        <v>390</v>
      </c>
      <c r="E80" s="1060" t="s">
        <v>387</v>
      </c>
      <c r="F80" s="1061">
        <v>1999</v>
      </c>
      <c r="G80" s="1061">
        <v>5</v>
      </c>
      <c r="H80" s="1062">
        <v>0.025</v>
      </c>
      <c r="I80" s="1063"/>
      <c r="J80" s="1064" t="s">
        <v>477</v>
      </c>
      <c r="K80" s="712">
        <v>207000</v>
      </c>
      <c r="L80" s="1051">
        <v>182390</v>
      </c>
      <c r="M80" s="1051">
        <v>181390</v>
      </c>
      <c r="N80" s="1051">
        <v>180390</v>
      </c>
      <c r="O80" s="1051">
        <v>280390</v>
      </c>
      <c r="P80" s="1051">
        <v>214390</v>
      </c>
      <c r="Q80" s="1051">
        <v>196390</v>
      </c>
      <c r="R80" s="1051">
        <v>192390</v>
      </c>
      <c r="S80" s="1051">
        <v>269390</v>
      </c>
      <c r="T80" s="1051">
        <v>275000</v>
      </c>
      <c r="U80" s="1051">
        <v>246390</v>
      </c>
      <c r="V80" s="1051">
        <v>275000</v>
      </c>
      <c r="W80" s="1051">
        <v>440000</v>
      </c>
      <c r="X80" s="1052">
        <v>348000</v>
      </c>
      <c r="Z80" s="1058" t="s">
        <v>478</v>
      </c>
      <c r="AA80" s="1061">
        <v>1598</v>
      </c>
      <c r="AB80" s="3" t="s">
        <v>255</v>
      </c>
    </row>
    <row r="81" spans="1:27" x14ac:dyDescent="0.25">
      <c r="A81" s="1099"/>
      <c r="B81" s="1058"/>
      <c r="C81" s="1059"/>
      <c r="D81" s="1060"/>
      <c r="E81" s="1060"/>
      <c r="F81" s="1061"/>
      <c r="G81" s="1081"/>
      <c r="H81" s="1082"/>
      <c r="I81" s="1063"/>
      <c r="J81" s="1064"/>
      <c r="Z81" s="1058"/>
      <c r="AA81" s="1061"/>
    </row>
    <row r="82" spans="1:28" x14ac:dyDescent="0.25">
      <c r="A82" s="1099" t="s">
        <v>76</v>
      </c>
      <c r="B82" s="1107" t="s">
        <v>479</v>
      </c>
      <c r="C82" s="1105" t="s">
        <v>385</v>
      </c>
      <c r="D82" s="1103" t="s">
        <v>398</v>
      </c>
      <c r="E82" s="1103" t="s">
        <v>387</v>
      </c>
      <c r="F82" s="1104">
        <v>1598</v>
      </c>
      <c r="G82" s="1061">
        <v>3</v>
      </c>
      <c r="H82" s="1062">
        <v>0.03</v>
      </c>
      <c r="I82" s="1063"/>
      <c r="J82" s="1064" t="s">
        <v>480</v>
      </c>
      <c r="K82" s="712">
        <v>152000</v>
      </c>
      <c r="L82" s="1051">
        <v>106270</v>
      </c>
      <c r="M82" s="1051">
        <v>105270</v>
      </c>
      <c r="N82" s="1051">
        <v>104270</v>
      </c>
      <c r="O82" s="1051">
        <v>204270</v>
      </c>
      <c r="P82" s="1051">
        <v>138270</v>
      </c>
      <c r="Q82" s="1051">
        <v>120270</v>
      </c>
      <c r="R82" s="1051">
        <v>116270</v>
      </c>
      <c r="S82" s="1051">
        <v>193270</v>
      </c>
      <c r="T82" s="1051">
        <v>230270</v>
      </c>
      <c r="U82" s="1051">
        <v>219000</v>
      </c>
      <c r="V82" s="1051">
        <v>225270</v>
      </c>
      <c r="W82" s="1051">
        <v>440000</v>
      </c>
      <c r="X82" s="1052">
        <v>300000</v>
      </c>
      <c r="Z82" s="1107" t="s">
        <v>479</v>
      </c>
      <c r="AA82" s="1104">
        <v>1598</v>
      </c>
      <c r="AB82" s="3" t="str">
        <f t="shared" si="1"/>
        <v>소형</v>
      </c>
    </row>
    <row r="83" spans="1:28" x14ac:dyDescent="0.25">
      <c r="A83" s="1099" t="s">
        <v>76</v>
      </c>
      <c r="B83" s="1107" t="s">
        <v>481</v>
      </c>
      <c r="C83" s="1105" t="s">
        <v>385</v>
      </c>
      <c r="D83" s="1103" t="s">
        <v>398</v>
      </c>
      <c r="E83" s="1103" t="s">
        <v>387</v>
      </c>
      <c r="F83" s="1104">
        <v>1591</v>
      </c>
      <c r="G83" s="1061">
        <v>3</v>
      </c>
      <c r="H83" s="1062">
        <v>0.03</v>
      </c>
      <c r="I83" s="1063"/>
      <c r="J83" s="1064" t="s">
        <v>480</v>
      </c>
      <c r="K83" s="712">
        <v>152000</v>
      </c>
      <c r="L83" s="1051">
        <v>106270</v>
      </c>
      <c r="M83" s="1051">
        <v>105270</v>
      </c>
      <c r="N83" s="1051">
        <v>104270</v>
      </c>
      <c r="O83" s="1051">
        <v>204270</v>
      </c>
      <c r="P83" s="1051">
        <v>138270</v>
      </c>
      <c r="Q83" s="1051">
        <v>120270</v>
      </c>
      <c r="R83" s="1051">
        <v>116270</v>
      </c>
      <c r="S83" s="1051">
        <v>193270</v>
      </c>
      <c r="T83" s="1051">
        <v>230270</v>
      </c>
      <c r="U83" s="1051">
        <v>219000</v>
      </c>
      <c r="V83" s="1051">
        <v>225270</v>
      </c>
      <c r="W83" s="1051">
        <v>440000</v>
      </c>
      <c r="X83" s="1052">
        <v>300000</v>
      </c>
      <c r="Z83" s="1107" t="s">
        <v>481</v>
      </c>
      <c r="AA83" s="1104">
        <v>1591</v>
      </c>
      <c r="AB83" s="3" t="str">
        <f t="shared" si="1"/>
        <v>소형</v>
      </c>
    </row>
    <row r="84" spans="1:28" x14ac:dyDescent="0.25">
      <c r="A84" s="1099" t="s">
        <v>76</v>
      </c>
      <c r="B84" s="1107" t="s">
        <v>482</v>
      </c>
      <c r="C84" s="1105" t="s">
        <v>385</v>
      </c>
      <c r="D84" s="1103" t="s">
        <v>395</v>
      </c>
      <c r="E84" s="1103" t="s">
        <v>387</v>
      </c>
      <c r="F84" s="1104">
        <v>1598</v>
      </c>
      <c r="G84" s="1061">
        <v>3</v>
      </c>
      <c r="H84" s="1062">
        <v>0.025</v>
      </c>
      <c r="I84" s="1063"/>
      <c r="J84" s="1064" t="s">
        <v>480</v>
      </c>
      <c r="K84" s="712">
        <v>134000</v>
      </c>
      <c r="L84" s="1051">
        <v>106270</v>
      </c>
      <c r="M84" s="1051">
        <v>105270</v>
      </c>
      <c r="N84" s="1051">
        <v>104270</v>
      </c>
      <c r="O84" s="1051">
        <v>204270</v>
      </c>
      <c r="P84" s="1051">
        <v>138270</v>
      </c>
      <c r="Q84" s="1051">
        <v>120270</v>
      </c>
      <c r="R84" s="1051">
        <v>116270</v>
      </c>
      <c r="S84" s="1051">
        <v>193270</v>
      </c>
      <c r="T84" s="1051">
        <v>230270</v>
      </c>
      <c r="U84" s="1051">
        <v>219000</v>
      </c>
      <c r="V84" s="1051">
        <v>225270</v>
      </c>
      <c r="W84" s="1051">
        <v>440000</v>
      </c>
      <c r="X84" s="1052">
        <v>348000</v>
      </c>
      <c r="Z84" s="1107" t="s">
        <v>482</v>
      </c>
      <c r="AA84" s="1104">
        <v>1598</v>
      </c>
      <c r="AB84" s="3" t="s">
        <v>250</v>
      </c>
    </row>
    <row r="85" spans="1:30" s="1085" customFormat="1" x14ac:dyDescent="0.25">
      <c r="A85" s="1099" t="s">
        <v>76</v>
      </c>
      <c r="B85" s="1107" t="s">
        <v>483</v>
      </c>
      <c r="C85" s="1105" t="s">
        <v>385</v>
      </c>
      <c r="D85" s="1103" t="s">
        <v>398</v>
      </c>
      <c r="E85" s="1103" t="s">
        <v>404</v>
      </c>
      <c r="F85" s="1104">
        <v>1999</v>
      </c>
      <c r="G85" s="1061">
        <v>4</v>
      </c>
      <c r="H85" s="1062">
        <v>0.025</v>
      </c>
      <c r="I85" s="1063" t="s">
        <v>405</v>
      </c>
      <c r="J85" s="1064" t="s">
        <v>480</v>
      </c>
      <c r="K85" s="1083">
        <v>134000</v>
      </c>
      <c r="L85" s="1051">
        <v>106270</v>
      </c>
      <c r="M85" s="1051">
        <v>105270</v>
      </c>
      <c r="N85" s="1051">
        <v>104270</v>
      </c>
      <c r="O85" s="1051">
        <v>204270</v>
      </c>
      <c r="P85" s="1051">
        <v>138270</v>
      </c>
      <c r="Q85" s="1051">
        <v>120270</v>
      </c>
      <c r="R85" s="1051">
        <v>116270</v>
      </c>
      <c r="S85" s="1051">
        <v>193270</v>
      </c>
      <c r="T85" s="1051">
        <v>230270</v>
      </c>
      <c r="U85" s="1051">
        <v>219000</v>
      </c>
      <c r="V85" s="1051">
        <v>225270</v>
      </c>
      <c r="W85" s="1051">
        <v>440000</v>
      </c>
      <c r="X85" s="1108">
        <v>262000</v>
      </c>
      <c r="Z85" s="1107" t="s">
        <v>483</v>
      </c>
      <c r="AA85" s="1104">
        <v>1999</v>
      </c>
      <c r="AB85" s="3" t="str">
        <f t="shared" si="1"/>
        <v>중형</v>
      </c>
      <c r="AD85" s="3"/>
    </row>
    <row r="86" spans="1:28" x14ac:dyDescent="0.25">
      <c r="A86" s="1099" t="s">
        <v>76</v>
      </c>
      <c r="B86" s="1107" t="s">
        <v>484</v>
      </c>
      <c r="C86" s="1105" t="s">
        <v>385</v>
      </c>
      <c r="D86" s="1103" t="s">
        <v>390</v>
      </c>
      <c r="E86" s="1103" t="s">
        <v>387</v>
      </c>
      <c r="F86" s="1104">
        <v>1999</v>
      </c>
      <c r="G86" s="1061">
        <v>4</v>
      </c>
      <c r="H86" s="1062">
        <v>0.025</v>
      </c>
      <c r="I86" s="1063"/>
      <c r="J86" s="1064" t="s">
        <v>480</v>
      </c>
      <c r="K86" s="712">
        <v>134000</v>
      </c>
      <c r="L86" s="1051">
        <v>106270</v>
      </c>
      <c r="M86" s="1051">
        <v>105270</v>
      </c>
      <c r="N86" s="1051">
        <v>104270</v>
      </c>
      <c r="O86" s="1051">
        <v>204270</v>
      </c>
      <c r="P86" s="1051">
        <v>138270</v>
      </c>
      <c r="Q86" s="1051">
        <v>120270</v>
      </c>
      <c r="R86" s="1051">
        <v>116270</v>
      </c>
      <c r="S86" s="1051">
        <v>193270</v>
      </c>
      <c r="T86" s="1051">
        <v>230270</v>
      </c>
      <c r="U86" s="1051">
        <v>219000</v>
      </c>
      <c r="V86" s="1051">
        <v>225270</v>
      </c>
      <c r="W86" s="1051">
        <v>440000</v>
      </c>
      <c r="X86" s="1052">
        <v>348000</v>
      </c>
      <c r="Z86" s="1107" t="s">
        <v>484</v>
      </c>
      <c r="AA86" s="1104">
        <v>1999</v>
      </c>
      <c r="AB86" s="3" t="str">
        <f t="shared" si="1"/>
        <v>중형</v>
      </c>
    </row>
    <row r="87" spans="1:28" x14ac:dyDescent="0.25">
      <c r="A87" s="1099" t="s">
        <v>76</v>
      </c>
      <c r="B87" s="1100" t="s">
        <v>485</v>
      </c>
      <c r="C87" s="1105" t="s">
        <v>385</v>
      </c>
      <c r="D87" s="1103" t="s">
        <v>390</v>
      </c>
      <c r="E87" s="1103" t="s">
        <v>396</v>
      </c>
      <c r="F87" s="1104">
        <v>1999</v>
      </c>
      <c r="G87" s="1061">
        <v>4</v>
      </c>
      <c r="H87" s="1062">
        <v>0.02</v>
      </c>
      <c r="I87" s="1063"/>
      <c r="J87" s="1064" t="s">
        <v>480</v>
      </c>
      <c r="K87" s="712">
        <v>134000</v>
      </c>
      <c r="L87" s="1051">
        <v>106270</v>
      </c>
      <c r="M87" s="1051">
        <v>105270</v>
      </c>
      <c r="N87" s="1051">
        <v>104270</v>
      </c>
      <c r="O87" s="1051">
        <v>204270</v>
      </c>
      <c r="P87" s="1051">
        <v>138270</v>
      </c>
      <c r="Q87" s="1051">
        <v>120270</v>
      </c>
      <c r="R87" s="1051">
        <v>116270</v>
      </c>
      <c r="S87" s="1051">
        <v>193270</v>
      </c>
      <c r="T87" s="1051">
        <v>230270</v>
      </c>
      <c r="U87" s="1051">
        <v>219000</v>
      </c>
      <c r="V87" s="1051">
        <v>225270</v>
      </c>
      <c r="W87" s="1051">
        <v>440000</v>
      </c>
      <c r="X87" s="1052">
        <v>262000</v>
      </c>
      <c r="Z87" s="1100" t="s">
        <v>485</v>
      </c>
      <c r="AA87" s="1104">
        <v>1999</v>
      </c>
      <c r="AB87" s="3" t="str">
        <f t="shared" si="1"/>
        <v>중형</v>
      </c>
    </row>
    <row r="88" spans="1:28" x14ac:dyDescent="0.25">
      <c r="A88" s="1099" t="s">
        <v>76</v>
      </c>
      <c r="B88" s="1100" t="s">
        <v>486</v>
      </c>
      <c r="C88" s="1105" t="s">
        <v>385</v>
      </c>
      <c r="D88" s="1103" t="s">
        <v>395</v>
      </c>
      <c r="E88" s="1103" t="s">
        <v>387</v>
      </c>
      <c r="F88" s="1104">
        <v>3342</v>
      </c>
      <c r="G88" s="1061">
        <v>5</v>
      </c>
      <c r="H88" s="1062">
        <v>0.02</v>
      </c>
      <c r="I88" s="1063"/>
      <c r="J88" s="1064" t="s">
        <v>487</v>
      </c>
      <c r="K88" s="712" t="s">
        <v>411</v>
      </c>
      <c r="L88" s="1051">
        <v>119250</v>
      </c>
      <c r="M88" s="1051">
        <v>118250</v>
      </c>
      <c r="N88" s="1051">
        <v>117250</v>
      </c>
      <c r="O88" s="1051">
        <v>217250</v>
      </c>
      <c r="P88" s="1051">
        <v>151250</v>
      </c>
      <c r="Q88" s="1051">
        <v>133250</v>
      </c>
      <c r="R88" s="1051">
        <v>129250</v>
      </c>
      <c r="S88" s="1051">
        <v>206250</v>
      </c>
      <c r="T88" s="1051">
        <v>243250</v>
      </c>
      <c r="U88" s="1051">
        <v>183250</v>
      </c>
      <c r="V88" s="1051">
        <v>238250</v>
      </c>
      <c r="W88" s="1051">
        <v>440000</v>
      </c>
      <c r="X88" s="1052">
        <v>459200</v>
      </c>
      <c r="Z88" s="1100" t="s">
        <v>486</v>
      </c>
      <c r="AA88" s="1104">
        <v>3342</v>
      </c>
      <c r="AB88" s="3" t="str">
        <f t="shared" si="1"/>
        <v>고급</v>
      </c>
    </row>
    <row r="89" spans="1:28" x14ac:dyDescent="0.25">
      <c r="A89" s="1099" t="s">
        <v>76</v>
      </c>
      <c r="B89" s="1100" t="s">
        <v>488</v>
      </c>
      <c r="C89" s="1105" t="s">
        <v>385</v>
      </c>
      <c r="D89" s="1103" t="s">
        <v>395</v>
      </c>
      <c r="E89" s="1103" t="s">
        <v>387</v>
      </c>
      <c r="F89" s="1104">
        <v>3778</v>
      </c>
      <c r="G89" s="1104">
        <v>6</v>
      </c>
      <c r="H89" s="1062">
        <v>0.02</v>
      </c>
      <c r="I89" s="1063"/>
      <c r="J89" s="1064" t="s">
        <v>487</v>
      </c>
      <c r="K89" s="712" t="s">
        <v>411</v>
      </c>
      <c r="L89" s="1051">
        <v>119250</v>
      </c>
      <c r="M89" s="1051">
        <v>118250</v>
      </c>
      <c r="N89" s="1051">
        <v>117250</v>
      </c>
      <c r="O89" s="1051">
        <v>217250</v>
      </c>
      <c r="P89" s="1051">
        <v>151250</v>
      </c>
      <c r="Q89" s="1051">
        <v>133250</v>
      </c>
      <c r="R89" s="1051">
        <v>129250</v>
      </c>
      <c r="S89" s="1051">
        <v>206250</v>
      </c>
      <c r="T89" s="1051">
        <v>243250</v>
      </c>
      <c r="U89" s="1051">
        <v>183250</v>
      </c>
      <c r="V89" s="1051">
        <v>238250</v>
      </c>
      <c r="W89" s="1051">
        <v>440000</v>
      </c>
      <c r="X89" s="1052">
        <v>459200</v>
      </c>
      <c r="Z89" s="1100" t="s">
        <v>488</v>
      </c>
      <c r="AA89" s="1104">
        <v>3778</v>
      </c>
      <c r="AB89" s="3" t="str">
        <f t="shared" si="1"/>
        <v>최고급</v>
      </c>
    </row>
    <row r="90" spans="1:28" x14ac:dyDescent="0.25">
      <c r="A90" s="1099" t="s">
        <v>76</v>
      </c>
      <c r="B90" s="1109" t="s">
        <v>489</v>
      </c>
      <c r="C90" s="1105" t="s">
        <v>385</v>
      </c>
      <c r="D90" s="1103" t="s">
        <v>490</v>
      </c>
      <c r="E90" s="1103" t="s">
        <v>387</v>
      </c>
      <c r="F90" s="1104">
        <v>5038</v>
      </c>
      <c r="G90" s="1104">
        <v>7</v>
      </c>
      <c r="H90" s="1062">
        <v>0.02</v>
      </c>
      <c r="I90" s="1063"/>
      <c r="J90" s="1064" t="s">
        <v>487</v>
      </c>
      <c r="K90" s="712" t="s">
        <v>411</v>
      </c>
      <c r="L90" s="1051">
        <v>119250</v>
      </c>
      <c r="M90" s="1051">
        <v>118250</v>
      </c>
      <c r="N90" s="1051">
        <v>117250</v>
      </c>
      <c r="O90" s="1051">
        <v>217250</v>
      </c>
      <c r="P90" s="1051">
        <v>151250</v>
      </c>
      <c r="Q90" s="1051">
        <v>133250</v>
      </c>
      <c r="R90" s="1051">
        <v>129250</v>
      </c>
      <c r="S90" s="1051">
        <v>206250</v>
      </c>
      <c r="T90" s="1051">
        <v>243250</v>
      </c>
      <c r="U90" s="1051">
        <v>183250</v>
      </c>
      <c r="V90" s="1051">
        <v>238250</v>
      </c>
      <c r="W90" s="1051">
        <v>440000</v>
      </c>
      <c r="X90" s="1052">
        <v>459200</v>
      </c>
      <c r="Z90" s="1109" t="s">
        <v>489</v>
      </c>
      <c r="AA90" s="1104">
        <v>5038</v>
      </c>
      <c r="AB90" s="3" t="str">
        <f t="shared" si="1"/>
        <v>최고급</v>
      </c>
    </row>
    <row r="91" spans="1:28" x14ac:dyDescent="0.25">
      <c r="A91" s="1099" t="s">
        <v>76</v>
      </c>
      <c r="B91" s="1109" t="s">
        <v>491</v>
      </c>
      <c r="C91" s="1105" t="s">
        <v>385</v>
      </c>
      <c r="D91" s="1103" t="s">
        <v>407</v>
      </c>
      <c r="E91" s="1103" t="s">
        <v>387</v>
      </c>
      <c r="F91" s="1104">
        <v>2497</v>
      </c>
      <c r="G91" s="1104">
        <v>5</v>
      </c>
      <c r="H91" s="1062">
        <v>0.025</v>
      </c>
      <c r="I91" s="1063"/>
      <c r="J91" s="1064" t="s">
        <v>480</v>
      </c>
      <c r="K91" s="712">
        <v>158000</v>
      </c>
      <c r="L91" s="1051">
        <v>106270</v>
      </c>
      <c r="M91" s="1051">
        <v>105270</v>
      </c>
      <c r="N91" s="1051">
        <v>104270</v>
      </c>
      <c r="O91" s="1051">
        <v>204270</v>
      </c>
      <c r="P91" s="1051">
        <v>138270</v>
      </c>
      <c r="Q91" s="1051">
        <v>120270</v>
      </c>
      <c r="R91" s="1051">
        <v>116270</v>
      </c>
      <c r="S91" s="1051">
        <v>193270</v>
      </c>
      <c r="T91" s="1051">
        <v>230270</v>
      </c>
      <c r="U91" s="1051">
        <v>219000</v>
      </c>
      <c r="V91" s="1051">
        <v>225270</v>
      </c>
      <c r="W91" s="1051">
        <v>440000</v>
      </c>
      <c r="X91" s="1052">
        <v>347600</v>
      </c>
      <c r="Z91" s="1109" t="s">
        <v>491</v>
      </c>
      <c r="AA91" s="1104">
        <v>2497</v>
      </c>
      <c r="AB91" s="3" t="str">
        <f t="shared" si="1"/>
        <v>대형</v>
      </c>
    </row>
    <row r="92" spans="1:28" x14ac:dyDescent="0.25">
      <c r="A92" s="1099" t="s">
        <v>76</v>
      </c>
      <c r="B92" s="1109" t="s">
        <v>492</v>
      </c>
      <c r="C92" s="1105" t="s">
        <v>385</v>
      </c>
      <c r="D92" s="1103" t="s">
        <v>390</v>
      </c>
      <c r="E92" s="1103" t="s">
        <v>387</v>
      </c>
      <c r="F92" s="1104">
        <v>3470</v>
      </c>
      <c r="G92" s="1104">
        <v>5</v>
      </c>
      <c r="H92" s="1062">
        <v>0.025</v>
      </c>
      <c r="I92" s="1063"/>
      <c r="J92" s="1064" t="s">
        <v>480</v>
      </c>
      <c r="K92" s="712">
        <v>158000</v>
      </c>
      <c r="L92" s="1051">
        <v>106270</v>
      </c>
      <c r="M92" s="1051">
        <v>105270</v>
      </c>
      <c r="N92" s="1051">
        <v>104270</v>
      </c>
      <c r="O92" s="1051">
        <v>204270</v>
      </c>
      <c r="P92" s="1051">
        <v>138270</v>
      </c>
      <c r="Q92" s="1051">
        <v>120270</v>
      </c>
      <c r="R92" s="1051">
        <v>116270</v>
      </c>
      <c r="S92" s="1051">
        <v>193270</v>
      </c>
      <c r="T92" s="1051">
        <v>230270</v>
      </c>
      <c r="U92" s="1051">
        <v>219000</v>
      </c>
      <c r="V92" s="1051">
        <v>225270</v>
      </c>
      <c r="W92" s="1051">
        <v>440000</v>
      </c>
      <c r="X92" s="1052">
        <v>347600</v>
      </c>
      <c r="Z92" s="1109" t="s">
        <v>492</v>
      </c>
      <c r="AA92" s="1104">
        <v>3470</v>
      </c>
      <c r="AB92" s="3" t="s">
        <v>252</v>
      </c>
    </row>
    <row r="93" spans="1:28" x14ac:dyDescent="0.25">
      <c r="A93" s="1099" t="s">
        <v>76</v>
      </c>
      <c r="B93" s="1109" t="s">
        <v>493</v>
      </c>
      <c r="C93" s="1105" t="s">
        <v>385</v>
      </c>
      <c r="D93" s="1103" t="s">
        <v>395</v>
      </c>
      <c r="E93" s="1103" t="s">
        <v>404</v>
      </c>
      <c r="F93" s="1104">
        <v>3470</v>
      </c>
      <c r="G93" s="1104">
        <v>5</v>
      </c>
      <c r="H93" s="1062">
        <v>0.025</v>
      </c>
      <c r="I93" s="1063" t="s">
        <v>405</v>
      </c>
      <c r="J93" s="1064" t="s">
        <v>480</v>
      </c>
      <c r="K93" s="712">
        <v>158000</v>
      </c>
      <c r="L93" s="1051">
        <v>106270</v>
      </c>
      <c r="M93" s="1051">
        <v>105270</v>
      </c>
      <c r="N93" s="1051">
        <v>104270</v>
      </c>
      <c r="O93" s="1051">
        <v>204270</v>
      </c>
      <c r="P93" s="1051">
        <v>138270</v>
      </c>
      <c r="Q93" s="1051">
        <v>120270</v>
      </c>
      <c r="R93" s="1051">
        <v>116270</v>
      </c>
      <c r="S93" s="1051">
        <v>193270</v>
      </c>
      <c r="T93" s="1051">
        <v>230270</v>
      </c>
      <c r="U93" s="1051">
        <v>219000</v>
      </c>
      <c r="V93" s="1051">
        <v>225270</v>
      </c>
      <c r="W93" s="1051">
        <v>440000</v>
      </c>
      <c r="X93" s="1052">
        <v>347600</v>
      </c>
      <c r="Z93" s="1109" t="s">
        <v>493</v>
      </c>
      <c r="AA93" s="1104">
        <v>3470</v>
      </c>
      <c r="AB93" s="3" t="s">
        <v>252</v>
      </c>
    </row>
    <row r="94" spans="1:28" x14ac:dyDescent="0.25">
      <c r="A94" s="1099" t="s">
        <v>76</v>
      </c>
      <c r="B94" s="1109" t="s">
        <v>494</v>
      </c>
      <c r="C94" s="1105" t="s">
        <v>385</v>
      </c>
      <c r="D94" s="1103" t="s">
        <v>390</v>
      </c>
      <c r="E94" s="1103" t="s">
        <v>396</v>
      </c>
      <c r="F94" s="1104">
        <v>1598</v>
      </c>
      <c r="G94" s="1104">
        <v>3</v>
      </c>
      <c r="H94" s="1062">
        <v>0.02</v>
      </c>
      <c r="I94" s="1063"/>
      <c r="J94" s="1064" t="s">
        <v>480</v>
      </c>
      <c r="K94" s="712">
        <v>158000</v>
      </c>
      <c r="L94" s="1051">
        <v>106270</v>
      </c>
      <c r="M94" s="1051">
        <v>105270</v>
      </c>
      <c r="N94" s="1051">
        <v>104270</v>
      </c>
      <c r="O94" s="1051">
        <v>204270</v>
      </c>
      <c r="P94" s="1051">
        <v>138270</v>
      </c>
      <c r="Q94" s="1051">
        <v>120270</v>
      </c>
      <c r="R94" s="1051">
        <v>116270</v>
      </c>
      <c r="S94" s="1051">
        <v>193270</v>
      </c>
      <c r="T94" s="1051">
        <v>230270</v>
      </c>
      <c r="U94" s="1051">
        <v>219000</v>
      </c>
      <c r="V94" s="1051">
        <v>225270</v>
      </c>
      <c r="W94" s="1051">
        <v>440000</v>
      </c>
      <c r="X94" s="1052">
        <v>347600</v>
      </c>
      <c r="Z94" s="1109" t="s">
        <v>494</v>
      </c>
      <c r="AA94" s="1104">
        <v>1598</v>
      </c>
      <c r="AB94" s="3" t="s">
        <v>252</v>
      </c>
    </row>
    <row r="95" spans="1:28" x14ac:dyDescent="0.25">
      <c r="A95" s="1099" t="s">
        <v>76</v>
      </c>
      <c r="B95" s="1100" t="s">
        <v>495</v>
      </c>
      <c r="C95" s="1105" t="s">
        <v>385</v>
      </c>
      <c r="D95" s="1103" t="s">
        <v>490</v>
      </c>
      <c r="E95" s="1103" t="s">
        <v>387</v>
      </c>
      <c r="F95" s="1104">
        <v>2497</v>
      </c>
      <c r="G95" s="1061">
        <v>4</v>
      </c>
      <c r="H95" s="1062">
        <v>0.025</v>
      </c>
      <c r="I95" s="1063"/>
      <c r="J95" s="1064" t="s">
        <v>487</v>
      </c>
      <c r="K95" s="712">
        <v>163000</v>
      </c>
      <c r="L95" s="1051">
        <v>119250</v>
      </c>
      <c r="M95" s="1051">
        <v>118250</v>
      </c>
      <c r="N95" s="1051">
        <v>117250</v>
      </c>
      <c r="O95" s="1051">
        <v>217250</v>
      </c>
      <c r="P95" s="1051">
        <v>151250</v>
      </c>
      <c r="Q95" s="1051">
        <v>133250</v>
      </c>
      <c r="R95" s="1051">
        <v>129250</v>
      </c>
      <c r="S95" s="1051">
        <v>206250</v>
      </c>
      <c r="T95" s="1051">
        <v>243250</v>
      </c>
      <c r="U95" s="1051">
        <v>183250</v>
      </c>
      <c r="V95" s="1051">
        <v>238250</v>
      </c>
      <c r="W95" s="1051">
        <v>440000</v>
      </c>
      <c r="X95" s="1052">
        <v>316400</v>
      </c>
      <c r="Z95" s="1100" t="s">
        <v>495</v>
      </c>
      <c r="AA95" s="1104">
        <v>2497</v>
      </c>
      <c r="AB95" s="3" t="str">
        <f t="shared" si="1"/>
        <v>대형</v>
      </c>
    </row>
    <row r="96" spans="1:28" x14ac:dyDescent="0.25">
      <c r="A96" s="1099" t="s">
        <v>76</v>
      </c>
      <c r="B96" s="1100" t="s">
        <v>496</v>
      </c>
      <c r="C96" s="1105" t="s">
        <v>385</v>
      </c>
      <c r="D96" s="1103" t="s">
        <v>490</v>
      </c>
      <c r="E96" s="1103" t="s">
        <v>387</v>
      </c>
      <c r="F96" s="1104">
        <v>3342</v>
      </c>
      <c r="G96" s="1061">
        <v>5</v>
      </c>
      <c r="H96" s="1062">
        <v>0.025</v>
      </c>
      <c r="I96" s="1063"/>
      <c r="J96" s="1064" t="s">
        <v>487</v>
      </c>
      <c r="K96" s="712">
        <v>163000</v>
      </c>
      <c r="L96" s="1051">
        <v>119250</v>
      </c>
      <c r="M96" s="1051">
        <v>118250</v>
      </c>
      <c r="N96" s="1051">
        <v>117250</v>
      </c>
      <c r="O96" s="1051">
        <v>217250</v>
      </c>
      <c r="P96" s="1051">
        <v>151250</v>
      </c>
      <c r="Q96" s="1051">
        <v>133250</v>
      </c>
      <c r="R96" s="1051">
        <v>129250</v>
      </c>
      <c r="S96" s="1051">
        <v>206250</v>
      </c>
      <c r="T96" s="1051">
        <v>243250</v>
      </c>
      <c r="U96" s="1051">
        <v>183250</v>
      </c>
      <c r="V96" s="1051">
        <v>238250</v>
      </c>
      <c r="W96" s="1051">
        <v>440000</v>
      </c>
      <c r="X96" s="1052">
        <v>316000</v>
      </c>
      <c r="Z96" s="1100" t="s">
        <v>496</v>
      </c>
      <c r="AA96" s="1104">
        <v>3342</v>
      </c>
      <c r="AB96" s="3" t="s">
        <v>253</v>
      </c>
    </row>
    <row r="97" spans="1:27" x14ac:dyDescent="0.25">
      <c r="A97" s="1099"/>
      <c r="B97" s="1100"/>
      <c r="C97" s="1105"/>
      <c r="D97" s="1103"/>
      <c r="E97" s="1103"/>
      <c r="F97" s="1104"/>
      <c r="G97" s="1061"/>
      <c r="H97" s="1082"/>
      <c r="I97" s="1063"/>
      <c r="J97" s="1064"/>
      <c r="Z97" s="1100"/>
      <c r="AA97" s="1104"/>
    </row>
    <row r="98" spans="1:28" x14ac:dyDescent="0.25">
      <c r="A98" s="1099" t="s">
        <v>76</v>
      </c>
      <c r="B98" s="1100" t="s">
        <v>497</v>
      </c>
      <c r="C98" s="1059" t="s">
        <v>385</v>
      </c>
      <c r="D98" s="1103" t="s">
        <v>402</v>
      </c>
      <c r="E98" s="1103" t="s">
        <v>396</v>
      </c>
      <c r="F98" s="1104">
        <v>1580</v>
      </c>
      <c r="G98" s="1061">
        <v>8</v>
      </c>
      <c r="H98" s="1062">
        <v>0.025</v>
      </c>
      <c r="I98" s="1063"/>
      <c r="J98" s="1064" t="s">
        <v>480</v>
      </c>
      <c r="K98" s="712">
        <v>207000</v>
      </c>
      <c r="L98" s="1051">
        <v>106270</v>
      </c>
      <c r="M98" s="1051">
        <v>105270</v>
      </c>
      <c r="N98" s="1051">
        <v>104270</v>
      </c>
      <c r="O98" s="1051">
        <v>204270</v>
      </c>
      <c r="P98" s="1051">
        <v>138270</v>
      </c>
      <c r="Q98" s="1051">
        <v>120270</v>
      </c>
      <c r="R98" s="1051">
        <v>116270</v>
      </c>
      <c r="S98" s="1051">
        <v>193270</v>
      </c>
      <c r="T98" s="1051">
        <v>230270</v>
      </c>
      <c r="U98" s="1051">
        <v>219000</v>
      </c>
      <c r="V98" s="1051">
        <v>225270</v>
      </c>
      <c r="W98" s="1051">
        <v>440000</v>
      </c>
      <c r="X98" s="1052">
        <v>262000</v>
      </c>
      <c r="Z98" s="1100" t="s">
        <v>497</v>
      </c>
      <c r="AA98" s="1104">
        <v>1580</v>
      </c>
      <c r="AB98" s="3" t="s">
        <v>255</v>
      </c>
    </row>
    <row r="99" spans="1:30" s="1085" customFormat="1" x14ac:dyDescent="0.25">
      <c r="A99" s="1099" t="s">
        <v>76</v>
      </c>
      <c r="B99" s="1100" t="s">
        <v>498</v>
      </c>
      <c r="C99" s="1059" t="s">
        <v>385</v>
      </c>
      <c r="D99" s="1103" t="s">
        <v>407</v>
      </c>
      <c r="E99" s="1103" t="s">
        <v>387</v>
      </c>
      <c r="F99" s="1104">
        <v>1591</v>
      </c>
      <c r="G99" s="1061">
        <v>8</v>
      </c>
      <c r="H99" s="1062">
        <v>0.025</v>
      </c>
      <c r="I99" s="1110"/>
      <c r="J99" s="1079" t="s">
        <v>477</v>
      </c>
      <c r="K99" s="1083">
        <v>207000</v>
      </c>
      <c r="L99" s="693">
        <v>182390</v>
      </c>
      <c r="M99" s="693">
        <v>181390</v>
      </c>
      <c r="N99" s="693">
        <v>180390</v>
      </c>
      <c r="O99" s="693">
        <v>280390</v>
      </c>
      <c r="P99" s="693">
        <v>214390</v>
      </c>
      <c r="Q99" s="693">
        <v>196390</v>
      </c>
      <c r="R99" s="693">
        <v>192390</v>
      </c>
      <c r="S99" s="693">
        <v>269390</v>
      </c>
      <c r="T99" s="693">
        <v>275000</v>
      </c>
      <c r="U99" s="693">
        <v>246390</v>
      </c>
      <c r="V99" s="693">
        <v>275000</v>
      </c>
      <c r="W99" s="693">
        <v>440000</v>
      </c>
      <c r="X99" s="1084">
        <v>315400</v>
      </c>
      <c r="Z99" s="1100" t="s">
        <v>498</v>
      </c>
      <c r="AA99" s="1104">
        <v>1591</v>
      </c>
      <c r="AB99" s="3" t="s">
        <v>255</v>
      </c>
      <c r="AD99" s="3"/>
    </row>
    <row r="100" spans="1:28" x14ac:dyDescent="0.25">
      <c r="A100" s="1099" t="s">
        <v>76</v>
      </c>
      <c r="B100" s="1100" t="s">
        <v>499</v>
      </c>
      <c r="C100" s="1059" t="s">
        <v>385</v>
      </c>
      <c r="D100" s="1103" t="s">
        <v>407</v>
      </c>
      <c r="E100" s="1103" t="s">
        <v>416</v>
      </c>
      <c r="F100" s="1104">
        <v>1995</v>
      </c>
      <c r="G100" s="1061">
        <v>8</v>
      </c>
      <c r="H100" s="1062">
        <v>0.025</v>
      </c>
      <c r="I100" s="1063"/>
      <c r="J100" s="1064" t="s">
        <v>477</v>
      </c>
      <c r="K100" s="1083">
        <v>207000</v>
      </c>
      <c r="L100" s="693">
        <v>182390</v>
      </c>
      <c r="M100" s="693">
        <v>181390</v>
      </c>
      <c r="N100" s="693">
        <v>180390</v>
      </c>
      <c r="O100" s="693">
        <v>280390</v>
      </c>
      <c r="P100" s="693">
        <v>214390</v>
      </c>
      <c r="Q100" s="693">
        <v>196390</v>
      </c>
      <c r="R100" s="693">
        <v>192390</v>
      </c>
      <c r="S100" s="693">
        <v>269390</v>
      </c>
      <c r="T100" s="693">
        <v>275000</v>
      </c>
      <c r="U100" s="693">
        <v>246390</v>
      </c>
      <c r="V100" s="693">
        <v>275000</v>
      </c>
      <c r="W100" s="693">
        <v>440000</v>
      </c>
      <c r="X100" s="1084">
        <v>315400</v>
      </c>
      <c r="Z100" s="1100" t="s">
        <v>499</v>
      </c>
      <c r="AA100" s="1104">
        <v>1995</v>
      </c>
      <c r="AB100" s="3" t="s">
        <v>255</v>
      </c>
    </row>
    <row r="101" spans="1:28" x14ac:dyDescent="0.25">
      <c r="A101" s="1099" t="s">
        <v>76</v>
      </c>
      <c r="B101" s="1100" t="s">
        <v>500</v>
      </c>
      <c r="C101" s="1059" t="s">
        <v>385</v>
      </c>
      <c r="D101" s="1103" t="s">
        <v>390</v>
      </c>
      <c r="E101" s="1103" t="s">
        <v>396</v>
      </c>
      <c r="F101" s="1104">
        <v>1598</v>
      </c>
      <c r="G101" s="1061">
        <v>8</v>
      </c>
      <c r="H101" s="1062">
        <v>0.02</v>
      </c>
      <c r="I101" s="1063"/>
      <c r="J101" s="1064" t="s">
        <v>477</v>
      </c>
      <c r="K101" s="1083">
        <v>207000</v>
      </c>
      <c r="L101" s="693">
        <v>182390</v>
      </c>
      <c r="M101" s="693">
        <v>181390</v>
      </c>
      <c r="N101" s="693">
        <v>180390</v>
      </c>
      <c r="O101" s="693">
        <v>280390</v>
      </c>
      <c r="P101" s="693">
        <v>214390</v>
      </c>
      <c r="Q101" s="693">
        <v>196390</v>
      </c>
      <c r="R101" s="693">
        <v>192390</v>
      </c>
      <c r="S101" s="693">
        <v>269390</v>
      </c>
      <c r="T101" s="693">
        <v>275000</v>
      </c>
      <c r="U101" s="693">
        <v>246390</v>
      </c>
      <c r="V101" s="693">
        <v>275000</v>
      </c>
      <c r="W101" s="693">
        <v>440000</v>
      </c>
      <c r="X101" s="1084">
        <v>315400</v>
      </c>
      <c r="Z101" s="1100" t="s">
        <v>500</v>
      </c>
      <c r="AA101" s="1104">
        <v>1598</v>
      </c>
      <c r="AB101" s="3" t="s">
        <v>255</v>
      </c>
    </row>
    <row r="102" spans="1:28" x14ac:dyDescent="0.25">
      <c r="A102" s="1099" t="s">
        <v>76</v>
      </c>
      <c r="B102" s="1100" t="s">
        <v>501</v>
      </c>
      <c r="C102" s="1059" t="s">
        <v>385</v>
      </c>
      <c r="D102" s="1103" t="s">
        <v>390</v>
      </c>
      <c r="E102" s="1103" t="s">
        <v>404</v>
      </c>
      <c r="F102" s="1104">
        <v>1999</v>
      </c>
      <c r="G102" s="1061">
        <v>8</v>
      </c>
      <c r="H102" s="1062">
        <v>0.025</v>
      </c>
      <c r="I102" s="1063"/>
      <c r="J102" s="1064" t="s">
        <v>477</v>
      </c>
      <c r="K102" s="1083">
        <v>207000</v>
      </c>
      <c r="L102" s="693">
        <v>182390</v>
      </c>
      <c r="M102" s="693">
        <v>181390</v>
      </c>
      <c r="N102" s="693">
        <v>180390</v>
      </c>
      <c r="O102" s="693">
        <v>280390</v>
      </c>
      <c r="P102" s="693">
        <v>214390</v>
      </c>
      <c r="Q102" s="693">
        <v>196390</v>
      </c>
      <c r="R102" s="693">
        <v>192390</v>
      </c>
      <c r="S102" s="693">
        <v>269390</v>
      </c>
      <c r="T102" s="693">
        <v>275000</v>
      </c>
      <c r="U102" s="693">
        <v>246390</v>
      </c>
      <c r="V102" s="693">
        <v>275000</v>
      </c>
      <c r="W102" s="693">
        <v>440000</v>
      </c>
      <c r="X102" s="1084">
        <v>315400</v>
      </c>
      <c r="Z102" s="1100" t="s">
        <v>501</v>
      </c>
      <c r="AA102" s="1104">
        <v>1999</v>
      </c>
      <c r="AB102" s="3" t="s">
        <v>255</v>
      </c>
    </row>
    <row r="103" spans="1:28" x14ac:dyDescent="0.25">
      <c r="A103" s="1099" t="s">
        <v>76</v>
      </c>
      <c r="B103" s="1100" t="s">
        <v>502</v>
      </c>
      <c r="C103" s="1059" t="s">
        <v>385</v>
      </c>
      <c r="D103" s="1103" t="s">
        <v>390</v>
      </c>
      <c r="E103" s="1103" t="s">
        <v>387</v>
      </c>
      <c r="F103" s="1104">
        <v>2497</v>
      </c>
      <c r="G103" s="1061">
        <v>8</v>
      </c>
      <c r="H103" s="1062">
        <v>0.025</v>
      </c>
      <c r="I103" s="1063"/>
      <c r="J103" s="1064" t="s">
        <v>480</v>
      </c>
      <c r="K103" s="1083">
        <v>152000</v>
      </c>
      <c r="L103" s="693">
        <v>106270</v>
      </c>
      <c r="M103" s="693">
        <v>105270</v>
      </c>
      <c r="N103" s="693">
        <v>104270</v>
      </c>
      <c r="O103" s="693">
        <v>204270</v>
      </c>
      <c r="P103" s="693">
        <v>138270</v>
      </c>
      <c r="Q103" s="693">
        <v>120270</v>
      </c>
      <c r="R103" s="693">
        <v>116270</v>
      </c>
      <c r="S103" s="693">
        <v>193270</v>
      </c>
      <c r="T103" s="693">
        <v>230270</v>
      </c>
      <c r="U103" s="693">
        <v>219000</v>
      </c>
      <c r="V103" s="693">
        <v>225270</v>
      </c>
      <c r="W103" s="693">
        <v>440000</v>
      </c>
      <c r="X103" s="1084">
        <v>352400</v>
      </c>
      <c r="Z103" s="1100" t="s">
        <v>502</v>
      </c>
      <c r="AA103" s="1104">
        <v>2497</v>
      </c>
      <c r="AB103" s="3" t="s">
        <v>256</v>
      </c>
    </row>
    <row r="104" spans="1:28" x14ac:dyDescent="0.25">
      <c r="A104" s="1099" t="s">
        <v>76</v>
      </c>
      <c r="B104" s="1100" t="s">
        <v>503</v>
      </c>
      <c r="C104" s="1059" t="s">
        <v>385</v>
      </c>
      <c r="D104" s="1103" t="s">
        <v>390</v>
      </c>
      <c r="E104" s="1103" t="s">
        <v>387</v>
      </c>
      <c r="F104" s="1104">
        <v>2497</v>
      </c>
      <c r="G104" s="1061">
        <v>8</v>
      </c>
      <c r="H104" s="1062">
        <v>0.025</v>
      </c>
      <c r="I104" s="1063"/>
      <c r="J104" s="1064" t="s">
        <v>480</v>
      </c>
      <c r="K104" s="1083">
        <v>152000</v>
      </c>
      <c r="L104" s="693">
        <v>106270</v>
      </c>
      <c r="M104" s="693">
        <v>105270</v>
      </c>
      <c r="N104" s="693">
        <v>104270</v>
      </c>
      <c r="O104" s="693">
        <v>204270</v>
      </c>
      <c r="P104" s="693">
        <v>138270</v>
      </c>
      <c r="Q104" s="693">
        <v>120270</v>
      </c>
      <c r="R104" s="693">
        <v>116270</v>
      </c>
      <c r="S104" s="693">
        <v>193270</v>
      </c>
      <c r="T104" s="693">
        <v>230270</v>
      </c>
      <c r="U104" s="693">
        <v>219000</v>
      </c>
      <c r="V104" s="693">
        <v>225270</v>
      </c>
      <c r="W104" s="693">
        <v>440000</v>
      </c>
      <c r="X104" s="1084">
        <v>352400</v>
      </c>
      <c r="Z104" s="1100" t="s">
        <v>503</v>
      </c>
      <c r="AA104" s="1104">
        <v>2497</v>
      </c>
      <c r="AB104" s="3" t="s">
        <v>256</v>
      </c>
    </row>
    <row r="105" spans="1:28" x14ac:dyDescent="0.25">
      <c r="A105" s="1099" t="s">
        <v>76</v>
      </c>
      <c r="B105" s="1100" t="s">
        <v>504</v>
      </c>
      <c r="C105" s="1059" t="s">
        <v>413</v>
      </c>
      <c r="D105" s="1103" t="s">
        <v>390</v>
      </c>
      <c r="E105" s="1103" t="s">
        <v>387</v>
      </c>
      <c r="F105" s="1104">
        <v>2497</v>
      </c>
      <c r="G105" s="1061">
        <v>8</v>
      </c>
      <c r="H105" s="1062">
        <v>0.025</v>
      </c>
      <c r="I105" s="1063"/>
      <c r="J105" s="1064" t="s">
        <v>480</v>
      </c>
      <c r="K105" s="1083">
        <v>152000</v>
      </c>
      <c r="L105" s="693">
        <v>106270</v>
      </c>
      <c r="M105" s="693">
        <v>105270</v>
      </c>
      <c r="N105" s="693">
        <v>104270</v>
      </c>
      <c r="O105" s="693">
        <v>204270</v>
      </c>
      <c r="P105" s="693">
        <v>138270</v>
      </c>
      <c r="Q105" s="693">
        <v>120270</v>
      </c>
      <c r="R105" s="693">
        <v>116270</v>
      </c>
      <c r="S105" s="693">
        <v>193270</v>
      </c>
      <c r="T105" s="693">
        <v>230270</v>
      </c>
      <c r="U105" s="693">
        <v>219000</v>
      </c>
      <c r="V105" s="693">
        <v>225270</v>
      </c>
      <c r="W105" s="693">
        <v>440000</v>
      </c>
      <c r="X105" s="1084">
        <v>352400</v>
      </c>
      <c r="Z105" s="1100" t="s">
        <v>504</v>
      </c>
      <c r="AA105" s="1104">
        <v>2497</v>
      </c>
      <c r="AB105" s="3" t="s">
        <v>256</v>
      </c>
    </row>
    <row r="106" spans="1:30" s="1085" customFormat="1" x14ac:dyDescent="0.25">
      <c r="A106" s="1099" t="s">
        <v>76</v>
      </c>
      <c r="B106" s="1100" t="s">
        <v>505</v>
      </c>
      <c r="C106" s="1059" t="s">
        <v>385</v>
      </c>
      <c r="D106" s="1103" t="s">
        <v>402</v>
      </c>
      <c r="E106" s="1103" t="s">
        <v>416</v>
      </c>
      <c r="F106" s="1104">
        <v>2199</v>
      </c>
      <c r="G106" s="1061">
        <v>8</v>
      </c>
      <c r="H106" s="1062">
        <v>0.025</v>
      </c>
      <c r="I106" s="1110"/>
      <c r="J106" s="1079" t="s">
        <v>480</v>
      </c>
      <c r="K106" s="1083">
        <v>152000</v>
      </c>
      <c r="L106" s="693">
        <v>106270</v>
      </c>
      <c r="M106" s="693">
        <v>105270</v>
      </c>
      <c r="N106" s="693">
        <v>104270</v>
      </c>
      <c r="O106" s="693">
        <v>204270</v>
      </c>
      <c r="P106" s="693">
        <v>138270</v>
      </c>
      <c r="Q106" s="693">
        <v>120270</v>
      </c>
      <c r="R106" s="693">
        <v>116270</v>
      </c>
      <c r="S106" s="693">
        <v>193270</v>
      </c>
      <c r="T106" s="693">
        <v>230270</v>
      </c>
      <c r="U106" s="693">
        <v>219000</v>
      </c>
      <c r="V106" s="693">
        <v>225270</v>
      </c>
      <c r="W106" s="693">
        <v>440000</v>
      </c>
      <c r="X106" s="1084">
        <v>352400</v>
      </c>
      <c r="Z106" s="1100" t="s">
        <v>505</v>
      </c>
      <c r="AA106" s="1104">
        <v>2199</v>
      </c>
      <c r="AB106" s="3" t="s">
        <v>256</v>
      </c>
      <c r="AD106" s="3"/>
    </row>
    <row r="107" spans="1:30" s="1085" customFormat="1" x14ac:dyDescent="0.25">
      <c r="A107" s="1099" t="s">
        <v>76</v>
      </c>
      <c r="B107" s="1100" t="s">
        <v>506</v>
      </c>
      <c r="C107" s="1059" t="s">
        <v>413</v>
      </c>
      <c r="D107" s="1103" t="s">
        <v>402</v>
      </c>
      <c r="E107" s="1103" t="s">
        <v>416</v>
      </c>
      <c r="F107" s="1104">
        <v>2199</v>
      </c>
      <c r="G107" s="1061">
        <v>8</v>
      </c>
      <c r="H107" s="1062">
        <v>0.025</v>
      </c>
      <c r="I107" s="1110"/>
      <c r="J107" s="1079" t="s">
        <v>480</v>
      </c>
      <c r="K107" s="1083">
        <v>152000</v>
      </c>
      <c r="L107" s="693">
        <v>106270</v>
      </c>
      <c r="M107" s="693">
        <v>105270</v>
      </c>
      <c r="N107" s="693">
        <v>104270</v>
      </c>
      <c r="O107" s="693">
        <v>204270</v>
      </c>
      <c r="P107" s="693">
        <v>138270</v>
      </c>
      <c r="Q107" s="693">
        <v>120270</v>
      </c>
      <c r="R107" s="693">
        <v>116270</v>
      </c>
      <c r="S107" s="693">
        <v>193270</v>
      </c>
      <c r="T107" s="693">
        <v>230270</v>
      </c>
      <c r="U107" s="693">
        <v>219000</v>
      </c>
      <c r="V107" s="693">
        <v>225270</v>
      </c>
      <c r="W107" s="693">
        <v>440000</v>
      </c>
      <c r="X107" s="1084">
        <v>352400</v>
      </c>
      <c r="Z107" s="1100" t="s">
        <v>506</v>
      </c>
      <c r="AA107" s="1104">
        <v>2199</v>
      </c>
      <c r="AB107" s="3" t="s">
        <v>256</v>
      </c>
      <c r="AD107" s="3"/>
    </row>
    <row r="108" spans="1:30" s="1085" customFormat="1" x14ac:dyDescent="0.25">
      <c r="A108" s="1099" t="s">
        <v>76</v>
      </c>
      <c r="B108" s="1100" t="s">
        <v>507</v>
      </c>
      <c r="C108" s="1059" t="s">
        <v>413</v>
      </c>
      <c r="D108" s="1103" t="s">
        <v>402</v>
      </c>
      <c r="E108" s="1103" t="s">
        <v>416</v>
      </c>
      <c r="F108" s="1104">
        <v>2199</v>
      </c>
      <c r="G108" s="1061">
        <v>8</v>
      </c>
      <c r="H108" s="1062">
        <v>0.025</v>
      </c>
      <c r="I108" s="1110"/>
      <c r="J108" s="1079" t="s">
        <v>480</v>
      </c>
      <c r="K108" s="1083">
        <v>152000</v>
      </c>
      <c r="L108" s="693">
        <v>106270</v>
      </c>
      <c r="M108" s="693">
        <v>105270</v>
      </c>
      <c r="N108" s="693">
        <v>104270</v>
      </c>
      <c r="O108" s="693">
        <v>204270</v>
      </c>
      <c r="P108" s="693">
        <v>138270</v>
      </c>
      <c r="Q108" s="693">
        <v>120270</v>
      </c>
      <c r="R108" s="693">
        <v>116270</v>
      </c>
      <c r="S108" s="693">
        <v>193270</v>
      </c>
      <c r="T108" s="693">
        <v>230270</v>
      </c>
      <c r="U108" s="693">
        <v>219000</v>
      </c>
      <c r="V108" s="693">
        <v>225270</v>
      </c>
      <c r="W108" s="693">
        <v>440000</v>
      </c>
      <c r="X108" s="1084">
        <v>352400</v>
      </c>
      <c r="Z108" s="1100" t="s">
        <v>507</v>
      </c>
      <c r="AA108" s="1104">
        <v>2199</v>
      </c>
      <c r="AB108" s="3" t="s">
        <v>256</v>
      </c>
      <c r="AD108" s="3"/>
    </row>
    <row r="109" spans="1:30" s="1085" customFormat="1" x14ac:dyDescent="0.25">
      <c r="A109" s="1099" t="s">
        <v>76</v>
      </c>
      <c r="B109" s="1100" t="s">
        <v>508</v>
      </c>
      <c r="C109" s="1059" t="s">
        <v>385</v>
      </c>
      <c r="D109" s="1103" t="s">
        <v>407</v>
      </c>
      <c r="E109" s="1103" t="s">
        <v>396</v>
      </c>
      <c r="F109" s="1104">
        <v>1598</v>
      </c>
      <c r="G109" s="1061">
        <v>8</v>
      </c>
      <c r="H109" s="1062">
        <v>0.02</v>
      </c>
      <c r="I109" s="1110"/>
      <c r="J109" s="1079" t="s">
        <v>480</v>
      </c>
      <c r="K109" s="1083">
        <v>152000</v>
      </c>
      <c r="L109" s="693">
        <v>106270</v>
      </c>
      <c r="M109" s="693">
        <v>105270</v>
      </c>
      <c r="N109" s="693">
        <v>104270</v>
      </c>
      <c r="O109" s="693">
        <v>204270</v>
      </c>
      <c r="P109" s="693">
        <v>138270</v>
      </c>
      <c r="Q109" s="693">
        <v>120270</v>
      </c>
      <c r="R109" s="693">
        <v>116270</v>
      </c>
      <c r="S109" s="693">
        <v>193270</v>
      </c>
      <c r="T109" s="693">
        <v>230270</v>
      </c>
      <c r="U109" s="693">
        <v>219000</v>
      </c>
      <c r="V109" s="693">
        <v>225270</v>
      </c>
      <c r="W109" s="693">
        <v>440000</v>
      </c>
      <c r="X109" s="1084">
        <v>352400</v>
      </c>
      <c r="Z109" s="1100" t="s">
        <v>508</v>
      </c>
      <c r="AA109" s="1104">
        <v>1598</v>
      </c>
      <c r="AB109" s="3" t="s">
        <v>256</v>
      </c>
      <c r="AD109" s="3"/>
    </row>
    <row r="110" spans="1:30" s="1085" customFormat="1" x14ac:dyDescent="0.25">
      <c r="A110" s="1099" t="s">
        <v>76</v>
      </c>
      <c r="B110" s="1100" t="s">
        <v>509</v>
      </c>
      <c r="C110" s="1059" t="s">
        <v>385</v>
      </c>
      <c r="D110" s="1103" t="s">
        <v>407</v>
      </c>
      <c r="E110" s="1103" t="s">
        <v>396</v>
      </c>
      <c r="F110" s="1104">
        <v>1598</v>
      </c>
      <c r="G110" s="1061">
        <v>8</v>
      </c>
      <c r="H110" s="1062">
        <v>0.02</v>
      </c>
      <c r="I110" s="1110"/>
      <c r="J110" s="1079" t="s">
        <v>480</v>
      </c>
      <c r="K110" s="1083">
        <v>152000</v>
      </c>
      <c r="L110" s="693">
        <v>106270</v>
      </c>
      <c r="M110" s="693">
        <v>105270</v>
      </c>
      <c r="N110" s="693">
        <v>104270</v>
      </c>
      <c r="O110" s="693">
        <v>204270</v>
      </c>
      <c r="P110" s="693">
        <v>138270</v>
      </c>
      <c r="Q110" s="693">
        <v>120270</v>
      </c>
      <c r="R110" s="693">
        <v>116270</v>
      </c>
      <c r="S110" s="693">
        <v>193270</v>
      </c>
      <c r="T110" s="693">
        <v>230270</v>
      </c>
      <c r="U110" s="693">
        <v>219000</v>
      </c>
      <c r="V110" s="693">
        <v>225270</v>
      </c>
      <c r="W110" s="693">
        <v>440000</v>
      </c>
      <c r="X110" s="1084">
        <v>352400</v>
      </c>
      <c r="Z110" s="1100" t="s">
        <v>509</v>
      </c>
      <c r="AA110" s="1104">
        <v>1598</v>
      </c>
      <c r="AB110" s="3" t="s">
        <v>256</v>
      </c>
      <c r="AD110" s="3"/>
    </row>
    <row r="111" spans="1:30" s="1085" customFormat="1" x14ac:dyDescent="0.25">
      <c r="A111" s="1099" t="s">
        <v>76</v>
      </c>
      <c r="B111" s="1100" t="s">
        <v>510</v>
      </c>
      <c r="C111" s="1059" t="s">
        <v>413</v>
      </c>
      <c r="D111" s="1103" t="s">
        <v>407</v>
      </c>
      <c r="E111" s="1103" t="s">
        <v>396</v>
      </c>
      <c r="F111" s="1104">
        <v>1598</v>
      </c>
      <c r="G111" s="1061">
        <v>8</v>
      </c>
      <c r="H111" s="1062">
        <v>0.02</v>
      </c>
      <c r="I111" s="1110"/>
      <c r="J111" s="1079" t="s">
        <v>480</v>
      </c>
      <c r="K111" s="1083">
        <v>152000</v>
      </c>
      <c r="L111" s="693">
        <v>106270</v>
      </c>
      <c r="M111" s="693">
        <v>105270</v>
      </c>
      <c r="N111" s="693">
        <v>104270</v>
      </c>
      <c r="O111" s="693">
        <v>204270</v>
      </c>
      <c r="P111" s="693">
        <v>138270</v>
      </c>
      <c r="Q111" s="693">
        <v>120270</v>
      </c>
      <c r="R111" s="693">
        <v>116270</v>
      </c>
      <c r="S111" s="693">
        <v>193270</v>
      </c>
      <c r="T111" s="693">
        <v>230270</v>
      </c>
      <c r="U111" s="693">
        <v>219000</v>
      </c>
      <c r="V111" s="693">
        <v>225270</v>
      </c>
      <c r="W111" s="693">
        <v>440000</v>
      </c>
      <c r="X111" s="1084">
        <v>352400</v>
      </c>
      <c r="Z111" s="1100" t="s">
        <v>510</v>
      </c>
      <c r="AA111" s="1104">
        <v>1598</v>
      </c>
      <c r="AB111" s="3" t="s">
        <v>256</v>
      </c>
      <c r="AD111" s="3"/>
    </row>
    <row r="112" spans="1:30" s="1085" customFormat="1" x14ac:dyDescent="0.25">
      <c r="A112" s="1099" t="s">
        <v>76</v>
      </c>
      <c r="B112" s="1100" t="s">
        <v>511</v>
      </c>
      <c r="C112" s="1059" t="s">
        <v>385</v>
      </c>
      <c r="D112" s="1103" t="s">
        <v>407</v>
      </c>
      <c r="E112" s="1103" t="s">
        <v>451</v>
      </c>
      <c r="F112" s="1104">
        <v>1598</v>
      </c>
      <c r="G112" s="1061">
        <v>8</v>
      </c>
      <c r="H112" s="1062">
        <v>0.02</v>
      </c>
      <c r="I112" s="1110"/>
      <c r="J112" s="1079" t="s">
        <v>480</v>
      </c>
      <c r="K112" s="1083">
        <v>152000</v>
      </c>
      <c r="L112" s="693">
        <v>106270</v>
      </c>
      <c r="M112" s="693">
        <v>105270</v>
      </c>
      <c r="N112" s="693">
        <v>104270</v>
      </c>
      <c r="O112" s="693">
        <v>204270</v>
      </c>
      <c r="P112" s="693">
        <v>138270</v>
      </c>
      <c r="Q112" s="693">
        <v>120270</v>
      </c>
      <c r="R112" s="693">
        <v>116270</v>
      </c>
      <c r="S112" s="693">
        <v>193270</v>
      </c>
      <c r="T112" s="693">
        <v>230270</v>
      </c>
      <c r="U112" s="693">
        <v>219000</v>
      </c>
      <c r="V112" s="693">
        <v>225270</v>
      </c>
      <c r="W112" s="693">
        <v>440000</v>
      </c>
      <c r="X112" s="1084">
        <v>352400</v>
      </c>
      <c r="Z112" s="1100" t="s">
        <v>511</v>
      </c>
      <c r="AA112" s="1104">
        <v>1598</v>
      </c>
      <c r="AB112" s="3" t="s">
        <v>256</v>
      </c>
      <c r="AD112" s="3"/>
    </row>
    <row r="113" spans="1:30" s="1085" customFormat="1" x14ac:dyDescent="0.25">
      <c r="A113" s="1099" t="s">
        <v>76</v>
      </c>
      <c r="B113" s="1100" t="s">
        <v>512</v>
      </c>
      <c r="C113" s="1059" t="s">
        <v>385</v>
      </c>
      <c r="D113" s="1103" t="s">
        <v>407</v>
      </c>
      <c r="E113" s="1103" t="s">
        <v>451</v>
      </c>
      <c r="F113" s="1104">
        <v>1598</v>
      </c>
      <c r="G113" s="1061">
        <v>8</v>
      </c>
      <c r="H113" s="1062">
        <v>0.02</v>
      </c>
      <c r="I113" s="1110"/>
      <c r="J113" s="1079" t="s">
        <v>480</v>
      </c>
      <c r="K113" s="1083">
        <v>152000</v>
      </c>
      <c r="L113" s="693">
        <v>106270</v>
      </c>
      <c r="M113" s="693">
        <v>105270</v>
      </c>
      <c r="N113" s="693">
        <v>104270</v>
      </c>
      <c r="O113" s="693">
        <v>204270</v>
      </c>
      <c r="P113" s="693">
        <v>138270</v>
      </c>
      <c r="Q113" s="693">
        <v>120270</v>
      </c>
      <c r="R113" s="693">
        <v>116270</v>
      </c>
      <c r="S113" s="693">
        <v>193270</v>
      </c>
      <c r="T113" s="693">
        <v>230270</v>
      </c>
      <c r="U113" s="693">
        <v>219000</v>
      </c>
      <c r="V113" s="693">
        <v>225270</v>
      </c>
      <c r="W113" s="693">
        <v>440000</v>
      </c>
      <c r="X113" s="1084">
        <v>352400</v>
      </c>
      <c r="Z113" s="1100" t="s">
        <v>512</v>
      </c>
      <c r="AA113" s="1104">
        <v>1598</v>
      </c>
      <c r="AB113" s="3" t="s">
        <v>256</v>
      </c>
      <c r="AD113" s="3"/>
    </row>
    <row r="114" spans="1:30" s="1085" customFormat="1" x14ac:dyDescent="0.25">
      <c r="A114" s="1099" t="s">
        <v>76</v>
      </c>
      <c r="B114" s="1100" t="s">
        <v>513</v>
      </c>
      <c r="C114" s="1059" t="s">
        <v>413</v>
      </c>
      <c r="D114" s="1103" t="s">
        <v>407</v>
      </c>
      <c r="E114" s="1103" t="s">
        <v>451</v>
      </c>
      <c r="F114" s="1104">
        <v>1598</v>
      </c>
      <c r="G114" s="1061">
        <v>8</v>
      </c>
      <c r="H114" s="1062">
        <v>0.02</v>
      </c>
      <c r="I114" s="1110"/>
      <c r="J114" s="1079" t="s">
        <v>480</v>
      </c>
      <c r="K114" s="1083">
        <v>152000</v>
      </c>
      <c r="L114" s="693">
        <v>106270</v>
      </c>
      <c r="M114" s="693">
        <v>105270</v>
      </c>
      <c r="N114" s="693">
        <v>104270</v>
      </c>
      <c r="O114" s="693">
        <v>204270</v>
      </c>
      <c r="P114" s="693">
        <v>138270</v>
      </c>
      <c r="Q114" s="693">
        <v>120270</v>
      </c>
      <c r="R114" s="693">
        <v>116270</v>
      </c>
      <c r="S114" s="693">
        <v>193270</v>
      </c>
      <c r="T114" s="693">
        <v>230270</v>
      </c>
      <c r="U114" s="693">
        <v>219000</v>
      </c>
      <c r="V114" s="693">
        <v>225270</v>
      </c>
      <c r="W114" s="693">
        <v>440000</v>
      </c>
      <c r="X114" s="1084">
        <v>352400</v>
      </c>
      <c r="Z114" s="1100" t="s">
        <v>513</v>
      </c>
      <c r="AA114" s="1104">
        <v>1598</v>
      </c>
      <c r="AB114" s="3" t="s">
        <v>256</v>
      </c>
      <c r="AD114" s="3"/>
    </row>
    <row r="115" spans="1:28" x14ac:dyDescent="0.25">
      <c r="A115" s="1099" t="s">
        <v>76</v>
      </c>
      <c r="B115" s="1100" t="s">
        <v>514</v>
      </c>
      <c r="C115" s="1059" t="s">
        <v>385</v>
      </c>
      <c r="D115" s="1103" t="s">
        <v>398</v>
      </c>
      <c r="E115" s="1103" t="s">
        <v>416</v>
      </c>
      <c r="F115" s="1104">
        <v>2959</v>
      </c>
      <c r="G115" s="1061">
        <v>9</v>
      </c>
      <c r="H115" s="1062">
        <v>0.025</v>
      </c>
      <c r="I115" s="1063"/>
      <c r="J115" s="1079" t="s">
        <v>480</v>
      </c>
      <c r="K115" s="1083">
        <v>162000</v>
      </c>
      <c r="L115" s="693">
        <v>106270</v>
      </c>
      <c r="M115" s="693">
        <v>105270</v>
      </c>
      <c r="N115" s="693">
        <v>104270</v>
      </c>
      <c r="O115" s="693">
        <v>204270</v>
      </c>
      <c r="P115" s="693">
        <v>138270</v>
      </c>
      <c r="Q115" s="693">
        <v>120270</v>
      </c>
      <c r="R115" s="693">
        <v>116270</v>
      </c>
      <c r="S115" s="693">
        <v>193270</v>
      </c>
      <c r="T115" s="693">
        <v>230270</v>
      </c>
      <c r="U115" s="693">
        <v>219000</v>
      </c>
      <c r="V115" s="693">
        <v>225270</v>
      </c>
      <c r="W115" s="693">
        <v>440000</v>
      </c>
      <c r="X115" s="1084">
        <v>560000</v>
      </c>
      <c r="Z115" s="1100" t="s">
        <v>514</v>
      </c>
      <c r="AA115" s="1104">
        <v>2959</v>
      </c>
      <c r="AB115" s="3" t="s">
        <v>257</v>
      </c>
    </row>
    <row r="116" spans="1:28" x14ac:dyDescent="0.25">
      <c r="A116" s="1099" t="s">
        <v>76</v>
      </c>
      <c r="B116" s="1100" t="s">
        <v>515</v>
      </c>
      <c r="C116" s="1059" t="s">
        <v>413</v>
      </c>
      <c r="D116" s="1103" t="s">
        <v>398</v>
      </c>
      <c r="E116" s="1103" t="s">
        <v>416</v>
      </c>
      <c r="F116" s="1104">
        <v>2959</v>
      </c>
      <c r="G116" s="1061">
        <v>9</v>
      </c>
      <c r="H116" s="1062">
        <v>0.025</v>
      </c>
      <c r="I116" s="1063"/>
      <c r="J116" s="1079" t="s">
        <v>480</v>
      </c>
      <c r="K116" s="1083">
        <v>162000</v>
      </c>
      <c r="L116" s="693">
        <v>106270</v>
      </c>
      <c r="M116" s="693">
        <v>105270</v>
      </c>
      <c r="N116" s="693">
        <v>104270</v>
      </c>
      <c r="O116" s="693">
        <v>204270</v>
      </c>
      <c r="P116" s="693">
        <v>138270</v>
      </c>
      <c r="Q116" s="693">
        <v>120270</v>
      </c>
      <c r="R116" s="693">
        <v>116270</v>
      </c>
      <c r="S116" s="693">
        <v>193270</v>
      </c>
      <c r="T116" s="693">
        <v>230270</v>
      </c>
      <c r="U116" s="693">
        <v>219000</v>
      </c>
      <c r="V116" s="693">
        <v>225270</v>
      </c>
      <c r="W116" s="693">
        <v>440000</v>
      </c>
      <c r="X116" s="1084">
        <v>560000</v>
      </c>
      <c r="Z116" s="1100" t="s">
        <v>515</v>
      </c>
      <c r="AA116" s="1104">
        <v>2959</v>
      </c>
      <c r="AB116" s="3" t="s">
        <v>257</v>
      </c>
    </row>
    <row r="117" spans="1:28" x14ac:dyDescent="0.25">
      <c r="A117" s="1099" t="s">
        <v>76</v>
      </c>
      <c r="B117" s="1100" t="s">
        <v>516</v>
      </c>
      <c r="C117" s="1059" t="s">
        <v>413</v>
      </c>
      <c r="D117" s="1103" t="s">
        <v>398</v>
      </c>
      <c r="E117" s="1103" t="s">
        <v>416</v>
      </c>
      <c r="F117" s="1104">
        <v>2959</v>
      </c>
      <c r="G117" s="1061">
        <v>9</v>
      </c>
      <c r="H117" s="1062">
        <v>0.025</v>
      </c>
      <c r="I117" s="1063"/>
      <c r="J117" s="1064" t="s">
        <v>480</v>
      </c>
      <c r="K117" s="1083">
        <v>162000</v>
      </c>
      <c r="L117" s="693">
        <v>106270</v>
      </c>
      <c r="M117" s="693">
        <v>105270</v>
      </c>
      <c r="N117" s="693">
        <v>104270</v>
      </c>
      <c r="O117" s="693">
        <v>204270</v>
      </c>
      <c r="P117" s="693">
        <v>138270</v>
      </c>
      <c r="Q117" s="693">
        <v>120270</v>
      </c>
      <c r="R117" s="693">
        <v>116270</v>
      </c>
      <c r="S117" s="693">
        <v>193270</v>
      </c>
      <c r="T117" s="693">
        <v>230270</v>
      </c>
      <c r="U117" s="693">
        <v>219000</v>
      </c>
      <c r="V117" s="693">
        <v>225270</v>
      </c>
      <c r="W117" s="693">
        <v>440000</v>
      </c>
      <c r="X117" s="1084">
        <v>560000</v>
      </c>
      <c r="Z117" s="1100" t="s">
        <v>516</v>
      </c>
      <c r="AA117" s="1104">
        <v>2959</v>
      </c>
      <c r="AB117" s="3" t="s">
        <v>257</v>
      </c>
    </row>
    <row r="118" spans="1:28" x14ac:dyDescent="0.25">
      <c r="A118" s="1099" t="s">
        <v>76</v>
      </c>
      <c r="B118" s="1100" t="s">
        <v>517</v>
      </c>
      <c r="C118" s="1059" t="s">
        <v>413</v>
      </c>
      <c r="D118" s="1103" t="s">
        <v>398</v>
      </c>
      <c r="E118" s="1103" t="s">
        <v>416</v>
      </c>
      <c r="F118" s="1104">
        <v>2151</v>
      </c>
      <c r="G118" s="1061">
        <v>8</v>
      </c>
      <c r="H118" s="1062">
        <v>0.025</v>
      </c>
      <c r="I118" s="1063"/>
      <c r="J118" s="1064" t="s">
        <v>487</v>
      </c>
      <c r="K118" s="1083" t="s">
        <v>411</v>
      </c>
      <c r="L118" s="693">
        <v>119250</v>
      </c>
      <c r="M118" s="693">
        <v>118250</v>
      </c>
      <c r="N118" s="693">
        <v>117250</v>
      </c>
      <c r="O118" s="693">
        <v>217250</v>
      </c>
      <c r="P118" s="693">
        <v>151250</v>
      </c>
      <c r="Q118" s="693">
        <v>133250</v>
      </c>
      <c r="R118" s="693">
        <v>129250</v>
      </c>
      <c r="S118" s="693">
        <v>206250</v>
      </c>
      <c r="T118" s="693">
        <v>243250</v>
      </c>
      <c r="U118" s="693">
        <v>183250</v>
      </c>
      <c r="V118" s="693">
        <v>238250</v>
      </c>
      <c r="W118" s="693">
        <v>440000</v>
      </c>
      <c r="X118" s="1084">
        <v>352400</v>
      </c>
      <c r="Z118" s="1100" t="s">
        <v>517</v>
      </c>
      <c r="AA118" s="1104">
        <v>2151</v>
      </c>
      <c r="AB118" s="3" t="s">
        <v>256</v>
      </c>
    </row>
    <row r="119" spans="1:28" x14ac:dyDescent="0.25">
      <c r="A119" s="1099" t="s">
        <v>76</v>
      </c>
      <c r="B119" s="1100" t="s">
        <v>518</v>
      </c>
      <c r="C119" s="1059" t="s">
        <v>413</v>
      </c>
      <c r="D119" s="1103" t="s">
        <v>402</v>
      </c>
      <c r="E119" s="1103" t="s">
        <v>416</v>
      </c>
      <c r="F119" s="1104">
        <v>2151</v>
      </c>
      <c r="G119" s="1061">
        <v>8</v>
      </c>
      <c r="H119" s="1062">
        <v>0.025</v>
      </c>
      <c r="I119" s="1063" t="s">
        <v>399</v>
      </c>
      <c r="J119" s="1064" t="s">
        <v>487</v>
      </c>
      <c r="K119" s="1083" t="s">
        <v>411</v>
      </c>
      <c r="L119" s="693">
        <v>119250</v>
      </c>
      <c r="M119" s="693">
        <v>118250</v>
      </c>
      <c r="N119" s="693">
        <v>117250</v>
      </c>
      <c r="O119" s="693">
        <v>217250</v>
      </c>
      <c r="P119" s="693">
        <v>151250</v>
      </c>
      <c r="Q119" s="693">
        <v>133250</v>
      </c>
      <c r="R119" s="693">
        <v>129250</v>
      </c>
      <c r="S119" s="693">
        <v>206250</v>
      </c>
      <c r="T119" s="693">
        <v>243250</v>
      </c>
      <c r="U119" s="693">
        <v>183250</v>
      </c>
      <c r="V119" s="693">
        <v>238250</v>
      </c>
      <c r="W119" s="693">
        <v>440000</v>
      </c>
      <c r="X119" s="1084">
        <v>352400</v>
      </c>
      <c r="Z119" s="1100" t="s">
        <v>518</v>
      </c>
      <c r="AA119" s="1104">
        <v>2151</v>
      </c>
      <c r="AB119" s="3" t="s">
        <v>256</v>
      </c>
    </row>
    <row r="120" spans="1:28" x14ac:dyDescent="0.25">
      <c r="A120" s="1099" t="s">
        <v>76</v>
      </c>
      <c r="B120" s="1100" t="s">
        <v>519</v>
      </c>
      <c r="C120" s="1059" t="s">
        <v>258</v>
      </c>
      <c r="D120" s="1103" t="s">
        <v>398</v>
      </c>
      <c r="E120" s="1103" t="s">
        <v>416</v>
      </c>
      <c r="F120" s="1104">
        <v>2151</v>
      </c>
      <c r="G120" s="1061">
        <v>10</v>
      </c>
      <c r="H120" s="1062">
        <v>0.025</v>
      </c>
      <c r="I120" s="1063" t="s">
        <v>399</v>
      </c>
      <c r="J120" s="1064" t="s">
        <v>487</v>
      </c>
      <c r="K120" s="712" t="s">
        <v>411</v>
      </c>
      <c r="L120" s="1051">
        <v>119250</v>
      </c>
      <c r="M120" s="1051">
        <v>118250</v>
      </c>
      <c r="N120" s="1051">
        <v>117250</v>
      </c>
      <c r="O120" s="1051">
        <v>217250</v>
      </c>
      <c r="P120" s="1051">
        <v>151250</v>
      </c>
      <c r="Q120" s="1051">
        <v>133250</v>
      </c>
      <c r="R120" s="1051">
        <v>129250</v>
      </c>
      <c r="S120" s="1051">
        <v>206250</v>
      </c>
      <c r="T120" s="1051">
        <v>243250</v>
      </c>
      <c r="U120" s="1051">
        <v>183250</v>
      </c>
      <c r="V120" s="1051">
        <v>238250</v>
      </c>
      <c r="W120" s="1051">
        <v>440000</v>
      </c>
      <c r="X120" s="1052">
        <v>352400</v>
      </c>
      <c r="Z120" s="1100" t="s">
        <v>519</v>
      </c>
      <c r="AA120" s="1104">
        <v>2151</v>
      </c>
      <c r="AB120" s="3" t="s">
        <v>258</v>
      </c>
    </row>
    <row r="121" spans="1:28" x14ac:dyDescent="0.25">
      <c r="A121" s="1099" t="s">
        <v>76</v>
      </c>
      <c r="B121" s="1100" t="s">
        <v>520</v>
      </c>
      <c r="C121" s="1059" t="s">
        <v>413</v>
      </c>
      <c r="D121" s="1103" t="s">
        <v>390</v>
      </c>
      <c r="E121" s="1103" t="s">
        <v>416</v>
      </c>
      <c r="F121" s="1104">
        <v>2199</v>
      </c>
      <c r="G121" s="1061">
        <v>8</v>
      </c>
      <c r="H121" s="1062">
        <v>0.02</v>
      </c>
      <c r="I121" s="1063"/>
      <c r="J121" s="1064" t="s">
        <v>521</v>
      </c>
      <c r="K121" s="712" t="s">
        <v>411</v>
      </c>
      <c r="L121" s="1051">
        <v>119250</v>
      </c>
      <c r="M121" s="1051">
        <v>118250</v>
      </c>
      <c r="N121" s="1051">
        <v>117250</v>
      </c>
      <c r="O121" s="1051">
        <v>217250</v>
      </c>
      <c r="P121" s="1051">
        <v>151250</v>
      </c>
      <c r="Q121" s="1051">
        <v>133250</v>
      </c>
      <c r="R121" s="1051">
        <v>129250</v>
      </c>
      <c r="S121" s="1051">
        <v>206250</v>
      </c>
      <c r="T121" s="1051">
        <v>243250</v>
      </c>
      <c r="U121" s="1051">
        <v>183250</v>
      </c>
      <c r="V121" s="1051">
        <v>238250</v>
      </c>
      <c r="W121" s="1051">
        <v>440000</v>
      </c>
      <c r="X121" s="1052">
        <v>352400</v>
      </c>
      <c r="Z121" s="1100" t="s">
        <v>520</v>
      </c>
      <c r="AA121" s="1104">
        <v>2199</v>
      </c>
      <c r="AB121" s="3" t="s">
        <v>256</v>
      </c>
    </row>
    <row r="122" spans="1:28" x14ac:dyDescent="0.25">
      <c r="A122" s="1099" t="s">
        <v>76</v>
      </c>
      <c r="B122" s="1100" t="s">
        <v>522</v>
      </c>
      <c r="C122" s="1059" t="s">
        <v>413</v>
      </c>
      <c r="D122" s="1103" t="s">
        <v>407</v>
      </c>
      <c r="E122" s="1103" t="s">
        <v>416</v>
      </c>
      <c r="F122" s="1104">
        <v>2199</v>
      </c>
      <c r="G122" s="1061">
        <v>8</v>
      </c>
      <c r="H122" s="1062">
        <v>0.02</v>
      </c>
      <c r="I122" s="1063" t="s">
        <v>399</v>
      </c>
      <c r="J122" s="1064" t="s">
        <v>521</v>
      </c>
      <c r="K122" s="712" t="s">
        <v>411</v>
      </c>
      <c r="L122" s="1051">
        <v>119250</v>
      </c>
      <c r="M122" s="1051">
        <v>118250</v>
      </c>
      <c r="N122" s="1051">
        <v>117250</v>
      </c>
      <c r="O122" s="1051">
        <v>217250</v>
      </c>
      <c r="P122" s="1051">
        <v>151250</v>
      </c>
      <c r="Q122" s="1051">
        <v>133250</v>
      </c>
      <c r="R122" s="1051">
        <v>129250</v>
      </c>
      <c r="S122" s="1051">
        <v>206250</v>
      </c>
      <c r="T122" s="1051">
        <v>243250</v>
      </c>
      <c r="U122" s="1051">
        <v>183250</v>
      </c>
      <c r="V122" s="1051">
        <v>238250</v>
      </c>
      <c r="W122" s="1051">
        <v>440000</v>
      </c>
      <c r="X122" s="1052">
        <v>352400</v>
      </c>
      <c r="Z122" s="1100" t="s">
        <v>522</v>
      </c>
      <c r="AA122" s="1104">
        <v>2199</v>
      </c>
      <c r="AB122" s="3" t="s">
        <v>256</v>
      </c>
    </row>
    <row r="123" spans="1:30" s="1085" customFormat="1" x14ac:dyDescent="0.25">
      <c r="A123" s="1099" t="s">
        <v>76</v>
      </c>
      <c r="B123" s="1100" t="s">
        <v>523</v>
      </c>
      <c r="C123" s="1059" t="s">
        <v>385</v>
      </c>
      <c r="D123" s="1103" t="s">
        <v>390</v>
      </c>
      <c r="E123" s="1103" t="s">
        <v>387</v>
      </c>
      <c r="F123" s="1104">
        <v>3470</v>
      </c>
      <c r="G123" s="1061">
        <v>9</v>
      </c>
      <c r="H123" s="1062">
        <v>0.02</v>
      </c>
      <c r="I123" s="1110"/>
      <c r="J123" s="1064" t="s">
        <v>521</v>
      </c>
      <c r="K123" s="712" t="s">
        <v>411</v>
      </c>
      <c r="L123" s="1051">
        <v>119250</v>
      </c>
      <c r="M123" s="1051">
        <v>118250</v>
      </c>
      <c r="N123" s="1051">
        <v>117250</v>
      </c>
      <c r="O123" s="1051">
        <v>217250</v>
      </c>
      <c r="P123" s="1051">
        <v>151250</v>
      </c>
      <c r="Q123" s="1051">
        <v>133250</v>
      </c>
      <c r="R123" s="1051">
        <v>129250</v>
      </c>
      <c r="S123" s="1051">
        <v>206250</v>
      </c>
      <c r="T123" s="1051">
        <v>243250</v>
      </c>
      <c r="U123" s="1051">
        <v>183250</v>
      </c>
      <c r="V123" s="1051">
        <v>238250</v>
      </c>
      <c r="W123" s="1051">
        <v>440000</v>
      </c>
      <c r="X123" s="1052">
        <v>352400</v>
      </c>
      <c r="Z123" s="1100" t="s">
        <v>523</v>
      </c>
      <c r="AA123" s="1104">
        <v>3470</v>
      </c>
      <c r="AB123" s="3" t="s">
        <v>257</v>
      </c>
      <c r="AD123" s="3"/>
    </row>
    <row r="124" spans="1:30" s="1065" customFormat="1" x14ac:dyDescent="0.25">
      <c r="A124" s="1111" t="s">
        <v>76</v>
      </c>
      <c r="B124" s="1109" t="s">
        <v>524</v>
      </c>
      <c r="C124" s="1068" t="s">
        <v>413</v>
      </c>
      <c r="D124" s="1103" t="s">
        <v>390</v>
      </c>
      <c r="E124" s="1112" t="s">
        <v>387</v>
      </c>
      <c r="F124" s="1113">
        <v>3470</v>
      </c>
      <c r="G124" s="1070">
        <v>9</v>
      </c>
      <c r="H124" s="1062">
        <v>0.02</v>
      </c>
      <c r="I124" s="1072"/>
      <c r="J124" s="1064" t="s">
        <v>521</v>
      </c>
      <c r="K124" s="1074" t="s">
        <v>411</v>
      </c>
      <c r="L124" s="1075">
        <v>119250</v>
      </c>
      <c r="M124" s="1075">
        <v>118250</v>
      </c>
      <c r="N124" s="1075">
        <v>117250</v>
      </c>
      <c r="O124" s="1075">
        <v>217250</v>
      </c>
      <c r="P124" s="1075">
        <v>151250</v>
      </c>
      <c r="Q124" s="1075">
        <v>133250</v>
      </c>
      <c r="R124" s="1075">
        <v>129250</v>
      </c>
      <c r="S124" s="1075">
        <v>206250</v>
      </c>
      <c r="T124" s="1075">
        <v>243250</v>
      </c>
      <c r="U124" s="1075">
        <v>183250</v>
      </c>
      <c r="V124" s="1075">
        <v>238250</v>
      </c>
      <c r="W124" s="1075">
        <v>440000</v>
      </c>
      <c r="X124" s="1075">
        <v>352400</v>
      </c>
      <c r="Z124" s="1109" t="s">
        <v>524</v>
      </c>
      <c r="AA124" s="1113">
        <v>3470</v>
      </c>
      <c r="AB124" s="3" t="s">
        <v>257</v>
      </c>
      <c r="AD124" s="3"/>
    </row>
    <row r="125" spans="1:30" s="1065" customFormat="1" x14ac:dyDescent="0.25">
      <c r="A125" s="1111" t="s">
        <v>76</v>
      </c>
      <c r="B125" s="1109" t="s">
        <v>525</v>
      </c>
      <c r="C125" s="1068" t="s">
        <v>413</v>
      </c>
      <c r="D125" s="1103" t="s">
        <v>390</v>
      </c>
      <c r="E125" s="1112" t="s">
        <v>387</v>
      </c>
      <c r="F125" s="1113">
        <v>3470</v>
      </c>
      <c r="G125" s="1070">
        <v>9</v>
      </c>
      <c r="H125" s="1062">
        <v>0.02</v>
      </c>
      <c r="I125" s="1072" t="s">
        <v>399</v>
      </c>
      <c r="J125" s="1064" t="s">
        <v>521</v>
      </c>
      <c r="K125" s="1074" t="s">
        <v>411</v>
      </c>
      <c r="L125" s="1075">
        <v>119250</v>
      </c>
      <c r="M125" s="1075">
        <v>118250</v>
      </c>
      <c r="N125" s="1075">
        <v>117250</v>
      </c>
      <c r="O125" s="1075">
        <v>217250</v>
      </c>
      <c r="P125" s="1075">
        <v>151250</v>
      </c>
      <c r="Q125" s="1075">
        <v>133250</v>
      </c>
      <c r="R125" s="1075">
        <v>129250</v>
      </c>
      <c r="S125" s="1075">
        <v>206250</v>
      </c>
      <c r="T125" s="1075">
        <v>243250</v>
      </c>
      <c r="U125" s="1075">
        <v>183250</v>
      </c>
      <c r="V125" s="1075">
        <v>238250</v>
      </c>
      <c r="W125" s="1075">
        <v>440000</v>
      </c>
      <c r="X125" s="1075">
        <v>352400</v>
      </c>
      <c r="Z125" s="1109" t="s">
        <v>525</v>
      </c>
      <c r="AA125" s="1113">
        <v>3470</v>
      </c>
      <c r="AB125" s="3" t="s">
        <v>257</v>
      </c>
      <c r="AD125" s="3"/>
    </row>
    <row r="126" spans="1:30" s="1065" customFormat="1" x14ac:dyDescent="0.25">
      <c r="A126" s="1111" t="s">
        <v>76</v>
      </c>
      <c r="B126" s="1109" t="s">
        <v>526</v>
      </c>
      <c r="C126" s="1068" t="s">
        <v>413</v>
      </c>
      <c r="D126" s="1112" t="s">
        <v>398</v>
      </c>
      <c r="E126" s="1112" t="s">
        <v>387</v>
      </c>
      <c r="F126" s="1113">
        <v>3470</v>
      </c>
      <c r="G126" s="1070">
        <v>9</v>
      </c>
      <c r="H126" s="1071">
        <v>0.025</v>
      </c>
      <c r="I126" s="1072"/>
      <c r="J126" s="1087" t="s">
        <v>487</v>
      </c>
      <c r="K126" s="1074" t="s">
        <v>411</v>
      </c>
      <c r="L126" s="1075">
        <v>119250</v>
      </c>
      <c r="M126" s="1075">
        <v>118250</v>
      </c>
      <c r="N126" s="1075">
        <v>117250</v>
      </c>
      <c r="O126" s="1075">
        <v>217250</v>
      </c>
      <c r="P126" s="1075">
        <v>151250</v>
      </c>
      <c r="Q126" s="1075">
        <v>133250</v>
      </c>
      <c r="R126" s="1075">
        <v>129250</v>
      </c>
      <c r="S126" s="1075">
        <v>206250</v>
      </c>
      <c r="T126" s="1075">
        <v>243250</v>
      </c>
      <c r="U126" s="1075">
        <v>183250</v>
      </c>
      <c r="V126" s="1075">
        <v>238250</v>
      </c>
      <c r="W126" s="1075">
        <v>440000</v>
      </c>
      <c r="X126" s="1075">
        <v>352400</v>
      </c>
      <c r="Z126" s="1109" t="s">
        <v>526</v>
      </c>
      <c r="AA126" s="1113">
        <v>3470</v>
      </c>
      <c r="AB126" s="3" t="s">
        <v>257</v>
      </c>
      <c r="AD126" s="3"/>
    </row>
    <row r="127" spans="1:30" s="1065" customFormat="1" x14ac:dyDescent="0.25">
      <c r="A127" s="1111" t="s">
        <v>76</v>
      </c>
      <c r="B127" s="1109" t="s">
        <v>527</v>
      </c>
      <c r="C127" s="1068" t="s">
        <v>413</v>
      </c>
      <c r="D127" s="1112" t="s">
        <v>398</v>
      </c>
      <c r="E127" s="1112" t="s">
        <v>387</v>
      </c>
      <c r="F127" s="1113">
        <v>3470</v>
      </c>
      <c r="G127" s="1070">
        <v>9</v>
      </c>
      <c r="H127" s="1071">
        <v>0.025</v>
      </c>
      <c r="I127" s="1072" t="s">
        <v>399</v>
      </c>
      <c r="J127" s="1087" t="s">
        <v>487</v>
      </c>
      <c r="K127" s="1074" t="s">
        <v>411</v>
      </c>
      <c r="L127" s="1075">
        <v>119250</v>
      </c>
      <c r="M127" s="1075">
        <v>118250</v>
      </c>
      <c r="N127" s="1075">
        <v>117250</v>
      </c>
      <c r="O127" s="1075">
        <v>217250</v>
      </c>
      <c r="P127" s="1075">
        <v>151250</v>
      </c>
      <c r="Q127" s="1075">
        <v>133250</v>
      </c>
      <c r="R127" s="1075">
        <v>129250</v>
      </c>
      <c r="S127" s="1075">
        <v>206250</v>
      </c>
      <c r="T127" s="1075">
        <v>243250</v>
      </c>
      <c r="U127" s="1075">
        <v>183250</v>
      </c>
      <c r="V127" s="1075">
        <v>238250</v>
      </c>
      <c r="W127" s="1075">
        <v>440000</v>
      </c>
      <c r="X127" s="1075">
        <v>352400</v>
      </c>
      <c r="Z127" s="1109" t="s">
        <v>527</v>
      </c>
      <c r="AA127" s="1113">
        <v>3470</v>
      </c>
      <c r="AB127" s="3" t="s">
        <v>257</v>
      </c>
      <c r="AD127" s="3"/>
    </row>
    <row r="128" spans="1:30" s="1065" customFormat="1" x14ac:dyDescent="0.25">
      <c r="A128" s="1111" t="s">
        <v>76</v>
      </c>
      <c r="B128" s="1109" t="s">
        <v>528</v>
      </c>
      <c r="C128" s="1068" t="s">
        <v>413</v>
      </c>
      <c r="D128" s="1112" t="s">
        <v>395</v>
      </c>
      <c r="E128" s="1112" t="s">
        <v>416</v>
      </c>
      <c r="F128" s="1113">
        <v>3470</v>
      </c>
      <c r="G128" s="1070">
        <v>10</v>
      </c>
      <c r="H128" s="1071">
        <v>0.025</v>
      </c>
      <c r="I128" s="1072" t="s">
        <v>399</v>
      </c>
      <c r="J128" s="1087" t="s">
        <v>487</v>
      </c>
      <c r="K128" s="1074" t="s">
        <v>411</v>
      </c>
      <c r="L128" s="1075">
        <v>119250</v>
      </c>
      <c r="M128" s="1075">
        <v>118250</v>
      </c>
      <c r="N128" s="1075">
        <v>117250</v>
      </c>
      <c r="O128" s="1075">
        <v>217250</v>
      </c>
      <c r="P128" s="1075">
        <v>151250</v>
      </c>
      <c r="Q128" s="1075">
        <v>133250</v>
      </c>
      <c r="R128" s="1075">
        <v>129250</v>
      </c>
      <c r="S128" s="1075">
        <v>206250</v>
      </c>
      <c r="T128" s="1075">
        <v>243250</v>
      </c>
      <c r="U128" s="1075">
        <v>183250</v>
      </c>
      <c r="V128" s="1075">
        <v>238250</v>
      </c>
      <c r="W128" s="1075">
        <v>440000</v>
      </c>
      <c r="X128" s="1075">
        <v>352400</v>
      </c>
      <c r="Z128" s="1109" t="s">
        <v>528</v>
      </c>
      <c r="AA128" s="1113">
        <v>3470</v>
      </c>
      <c r="AB128" s="3" t="s">
        <v>258</v>
      </c>
      <c r="AD128" s="3"/>
    </row>
    <row r="129" spans="1:30" s="1088" customFormat="1" x14ac:dyDescent="0.25">
      <c r="A129" s="1114"/>
      <c r="B129" s="1115"/>
      <c r="C129" s="1091"/>
      <c r="D129" s="1116"/>
      <c r="E129" s="1116"/>
      <c r="F129" s="1117"/>
      <c r="G129" s="1093"/>
      <c r="H129" s="1094"/>
      <c r="I129" s="1095"/>
      <c r="J129" s="1096"/>
      <c r="K129" s="1097"/>
      <c r="L129" s="1098"/>
      <c r="M129" s="1098"/>
      <c r="N129" s="1098"/>
      <c r="O129" s="1098"/>
      <c r="P129" s="1098"/>
      <c r="Q129" s="1098"/>
      <c r="R129" s="1098"/>
      <c r="S129" s="1098"/>
      <c r="T129" s="1098"/>
      <c r="U129" s="1098"/>
      <c r="V129" s="1098"/>
      <c r="W129" s="1098"/>
      <c r="X129" s="1052"/>
      <c r="Z129" s="1115"/>
      <c r="AA129" s="1117"/>
      <c r="AB129" s="3"/>
      <c r="AD129" s="3"/>
    </row>
    <row r="130" spans="1:30" s="1088" customFormat="1" x14ac:dyDescent="0.25">
      <c r="A130" s="1114"/>
      <c r="B130" s="1115"/>
      <c r="C130" s="1091"/>
      <c r="D130" s="1116"/>
      <c r="E130" s="1116"/>
      <c r="F130" s="1117"/>
      <c r="G130" s="1093"/>
      <c r="H130" s="1094"/>
      <c r="I130" s="1095"/>
      <c r="J130" s="1096"/>
      <c r="K130" s="1097"/>
      <c r="L130" s="1098"/>
      <c r="M130" s="1098"/>
      <c r="N130" s="1098"/>
      <c r="O130" s="1098"/>
      <c r="P130" s="1098"/>
      <c r="Q130" s="1098"/>
      <c r="R130" s="1098"/>
      <c r="S130" s="1098"/>
      <c r="T130" s="1098"/>
      <c r="U130" s="1098"/>
      <c r="V130" s="1098"/>
      <c r="W130" s="1098"/>
      <c r="X130" s="1052"/>
      <c r="Z130" s="1115"/>
      <c r="AA130" s="1117"/>
      <c r="AB130" s="3"/>
      <c r="AD130" s="3"/>
    </row>
    <row r="131" spans="1:28" x14ac:dyDescent="0.25">
      <c r="A131" s="1057" t="s">
        <v>79</v>
      </c>
      <c r="B131" s="1058" t="s">
        <v>529</v>
      </c>
      <c r="C131" s="1059" t="s">
        <v>385</v>
      </c>
      <c r="D131" s="1060" t="s">
        <v>473</v>
      </c>
      <c r="E131" s="1060" t="s">
        <v>387</v>
      </c>
      <c r="F131" s="1061">
        <v>1332</v>
      </c>
      <c r="G131" s="1061">
        <v>4</v>
      </c>
      <c r="H131" s="1062">
        <v>0.05</v>
      </c>
      <c r="I131" s="1063"/>
      <c r="J131" s="1064" t="s">
        <v>530</v>
      </c>
      <c r="K131" s="712" t="s">
        <v>411</v>
      </c>
      <c r="L131" s="1051">
        <v>210000</v>
      </c>
      <c r="M131" s="1051">
        <v>210000</v>
      </c>
      <c r="N131" s="1051">
        <v>210000</v>
      </c>
      <c r="O131" s="1051">
        <v>275000</v>
      </c>
      <c r="P131" s="1051">
        <v>250000</v>
      </c>
      <c r="Q131" s="1051">
        <v>250000</v>
      </c>
      <c r="R131" s="1051">
        <v>250000</v>
      </c>
      <c r="S131" s="1051">
        <v>250000</v>
      </c>
      <c r="T131" s="1051">
        <v>275000</v>
      </c>
      <c r="U131" s="1051">
        <v>250000</v>
      </c>
      <c r="V131" s="1051">
        <v>275000</v>
      </c>
      <c r="W131" s="1051">
        <v>440000</v>
      </c>
      <c r="X131" s="1052">
        <v>395800</v>
      </c>
      <c r="Z131" s="1058" t="s">
        <v>529</v>
      </c>
      <c r="AA131" s="1061">
        <v>1332</v>
      </c>
      <c r="AB131" s="3" t="s">
        <v>250</v>
      </c>
    </row>
    <row r="132" spans="1:28" x14ac:dyDescent="0.25">
      <c r="A132" s="1057" t="s">
        <v>79</v>
      </c>
      <c r="B132" s="1058" t="s">
        <v>531</v>
      </c>
      <c r="C132" s="1059" t="s">
        <v>385</v>
      </c>
      <c r="D132" s="1060" t="s">
        <v>473</v>
      </c>
      <c r="E132" s="1060" t="s">
        <v>387</v>
      </c>
      <c r="F132" s="1061">
        <v>1798</v>
      </c>
      <c r="G132" s="1061">
        <v>4</v>
      </c>
      <c r="H132" s="1062">
        <v>0.05</v>
      </c>
      <c r="I132" s="1063"/>
      <c r="J132" s="1064" t="s">
        <v>530</v>
      </c>
      <c r="K132" s="712" t="s">
        <v>411</v>
      </c>
      <c r="L132" s="1051">
        <v>210000</v>
      </c>
      <c r="M132" s="1051">
        <v>210000</v>
      </c>
      <c r="N132" s="1051">
        <v>210000</v>
      </c>
      <c r="O132" s="1051">
        <v>275000</v>
      </c>
      <c r="P132" s="1051">
        <v>250000</v>
      </c>
      <c r="Q132" s="1051">
        <v>250000</v>
      </c>
      <c r="R132" s="1051">
        <v>250000</v>
      </c>
      <c r="S132" s="1051">
        <v>250000</v>
      </c>
      <c r="T132" s="1051">
        <v>275000</v>
      </c>
      <c r="U132" s="1051">
        <v>250000</v>
      </c>
      <c r="V132" s="1051">
        <v>275000</v>
      </c>
      <c r="W132" s="1051">
        <v>440000</v>
      </c>
      <c r="X132" s="1052">
        <v>395800</v>
      </c>
      <c r="Z132" s="1058" t="s">
        <v>531</v>
      </c>
      <c r="AA132" s="1061">
        <v>1798</v>
      </c>
      <c r="AB132" s="3" t="str">
        <f t="shared" si="1"/>
        <v>중형</v>
      </c>
    </row>
    <row r="133" spans="1:28" x14ac:dyDescent="0.25">
      <c r="A133" s="1057" t="s">
        <v>79</v>
      </c>
      <c r="B133" s="1058" t="s">
        <v>532</v>
      </c>
      <c r="C133" s="1059" t="s">
        <v>385</v>
      </c>
      <c r="D133" s="1060" t="s">
        <v>473</v>
      </c>
      <c r="E133" s="1060" t="s">
        <v>404</v>
      </c>
      <c r="F133" s="1061">
        <v>1998</v>
      </c>
      <c r="G133" s="1061">
        <v>4</v>
      </c>
      <c r="H133" s="1062">
        <v>0.05</v>
      </c>
      <c r="I133" s="1063"/>
      <c r="J133" s="1064" t="s">
        <v>530</v>
      </c>
      <c r="K133" s="712" t="s">
        <v>411</v>
      </c>
      <c r="L133" s="1051">
        <v>210000</v>
      </c>
      <c r="M133" s="1051">
        <v>210000</v>
      </c>
      <c r="N133" s="1051">
        <v>210000</v>
      </c>
      <c r="O133" s="1051">
        <v>275000</v>
      </c>
      <c r="P133" s="1051">
        <v>250000</v>
      </c>
      <c r="Q133" s="1051">
        <v>250000</v>
      </c>
      <c r="R133" s="1051">
        <v>250000</v>
      </c>
      <c r="S133" s="1051">
        <v>250000</v>
      </c>
      <c r="T133" s="1051">
        <v>275000</v>
      </c>
      <c r="U133" s="1051">
        <v>250000</v>
      </c>
      <c r="V133" s="1051">
        <v>275000</v>
      </c>
      <c r="W133" s="1051">
        <v>440000</v>
      </c>
      <c r="X133" s="1052">
        <v>347600</v>
      </c>
      <c r="Z133" s="1058" t="s">
        <v>532</v>
      </c>
      <c r="AA133" s="1061">
        <v>1998</v>
      </c>
      <c r="AB133" s="3" t="str">
        <f t="shared" si="1"/>
        <v>중형</v>
      </c>
    </row>
    <row r="134" spans="1:30" s="1001" customFormat="1" x14ac:dyDescent="0.25">
      <c r="A134" s="1057" t="s">
        <v>79</v>
      </c>
      <c r="B134" s="1058" t="s">
        <v>533</v>
      </c>
      <c r="C134" s="1059" t="s">
        <v>385</v>
      </c>
      <c r="D134" s="1060" t="s">
        <v>395</v>
      </c>
      <c r="E134" s="1060" t="s">
        <v>387</v>
      </c>
      <c r="F134" s="1061">
        <v>1997</v>
      </c>
      <c r="G134" s="1061">
        <v>8</v>
      </c>
      <c r="H134" s="1062">
        <v>0.05</v>
      </c>
      <c r="I134" s="1063"/>
      <c r="J134" s="1079" t="s">
        <v>530</v>
      </c>
      <c r="K134" s="1083" t="s">
        <v>411</v>
      </c>
      <c r="L134" s="693">
        <v>210000</v>
      </c>
      <c r="M134" s="693">
        <v>210000</v>
      </c>
      <c r="N134" s="693">
        <v>210000</v>
      </c>
      <c r="O134" s="693">
        <v>275000</v>
      </c>
      <c r="P134" s="693">
        <v>250000</v>
      </c>
      <c r="Q134" s="693">
        <v>250000</v>
      </c>
      <c r="R134" s="693">
        <v>250000</v>
      </c>
      <c r="S134" s="693">
        <v>250000</v>
      </c>
      <c r="T134" s="693">
        <v>275000</v>
      </c>
      <c r="U134" s="693">
        <v>250000</v>
      </c>
      <c r="V134" s="693">
        <v>275000</v>
      </c>
      <c r="W134" s="693">
        <v>440000</v>
      </c>
      <c r="X134" s="1084">
        <v>340000</v>
      </c>
      <c r="Z134" s="1058" t="s">
        <v>533</v>
      </c>
      <c r="AA134" s="1061">
        <v>1997</v>
      </c>
      <c r="AB134" s="3" t="s">
        <v>256</v>
      </c>
      <c r="AD134" s="3"/>
    </row>
    <row r="135" spans="1:30" s="1001" customFormat="1" x14ac:dyDescent="0.25">
      <c r="A135" s="1057" t="s">
        <v>79</v>
      </c>
      <c r="B135" s="1058" t="s">
        <v>534</v>
      </c>
      <c r="C135" s="1059" t="s">
        <v>385</v>
      </c>
      <c r="D135" s="1060" t="s">
        <v>395</v>
      </c>
      <c r="E135" s="1060" t="s">
        <v>404</v>
      </c>
      <c r="F135" s="1061">
        <v>1998</v>
      </c>
      <c r="G135" s="1061">
        <v>8</v>
      </c>
      <c r="H135" s="1062">
        <v>0.05</v>
      </c>
      <c r="I135" s="1063"/>
      <c r="J135" s="1079" t="s">
        <v>530</v>
      </c>
      <c r="K135" s="1083" t="s">
        <v>411</v>
      </c>
      <c r="L135" s="693">
        <v>210000</v>
      </c>
      <c r="M135" s="693">
        <v>210000</v>
      </c>
      <c r="N135" s="693">
        <v>210000</v>
      </c>
      <c r="O135" s="693">
        <v>275000</v>
      </c>
      <c r="P135" s="693">
        <v>250000</v>
      </c>
      <c r="Q135" s="693">
        <v>250000</v>
      </c>
      <c r="R135" s="693">
        <v>250000</v>
      </c>
      <c r="S135" s="693">
        <v>250000</v>
      </c>
      <c r="T135" s="693">
        <v>275000</v>
      </c>
      <c r="U135" s="693">
        <v>250000</v>
      </c>
      <c r="V135" s="693">
        <v>275000</v>
      </c>
      <c r="W135" s="693">
        <v>440000</v>
      </c>
      <c r="X135" s="1084">
        <v>340000</v>
      </c>
      <c r="Z135" s="1058" t="s">
        <v>534</v>
      </c>
      <c r="AA135" s="1061">
        <v>1998</v>
      </c>
      <c r="AB135" s="3" t="s">
        <v>256</v>
      </c>
      <c r="AD135" s="3"/>
    </row>
    <row r="136" spans="1:30" s="1001" customFormat="1" x14ac:dyDescent="0.25">
      <c r="A136" s="1057" t="s">
        <v>79</v>
      </c>
      <c r="B136" s="1058" t="s">
        <v>535</v>
      </c>
      <c r="C136" s="1059" t="s">
        <v>385</v>
      </c>
      <c r="D136" s="1060" t="s">
        <v>395</v>
      </c>
      <c r="E136" s="1060" t="s">
        <v>416</v>
      </c>
      <c r="F136" s="1061">
        <v>1997</v>
      </c>
      <c r="G136" s="1061">
        <v>8</v>
      </c>
      <c r="H136" s="1062">
        <v>0.05</v>
      </c>
      <c r="I136" s="1063"/>
      <c r="J136" s="1079" t="s">
        <v>530</v>
      </c>
      <c r="K136" s="1083" t="s">
        <v>411</v>
      </c>
      <c r="L136" s="693">
        <v>210000</v>
      </c>
      <c r="M136" s="693">
        <v>210000</v>
      </c>
      <c r="N136" s="693">
        <v>210000</v>
      </c>
      <c r="O136" s="693">
        <v>275000</v>
      </c>
      <c r="P136" s="693">
        <v>250000</v>
      </c>
      <c r="Q136" s="693">
        <v>250000</v>
      </c>
      <c r="R136" s="693">
        <v>250000</v>
      </c>
      <c r="S136" s="693">
        <v>250000</v>
      </c>
      <c r="T136" s="693">
        <v>275000</v>
      </c>
      <c r="U136" s="693">
        <v>250000</v>
      </c>
      <c r="V136" s="693">
        <v>275000</v>
      </c>
      <c r="W136" s="693">
        <v>440000</v>
      </c>
      <c r="X136" s="1084">
        <v>340000</v>
      </c>
      <c r="Z136" s="1058" t="s">
        <v>535</v>
      </c>
      <c r="AA136" s="1061">
        <v>1997</v>
      </c>
      <c r="AB136" s="3" t="s">
        <v>256</v>
      </c>
      <c r="AD136" s="3"/>
    </row>
    <row r="137" spans="1:30" s="1001" customFormat="1" x14ac:dyDescent="0.25">
      <c r="A137" s="1057" t="s">
        <v>79</v>
      </c>
      <c r="B137" s="1058" t="s">
        <v>536</v>
      </c>
      <c r="C137" s="1059" t="s">
        <v>385</v>
      </c>
      <c r="D137" s="1060" t="s">
        <v>398</v>
      </c>
      <c r="E137" s="1060" t="s">
        <v>387</v>
      </c>
      <c r="F137" s="1061">
        <v>1332</v>
      </c>
      <c r="G137" s="1061">
        <v>8</v>
      </c>
      <c r="H137" s="1062">
        <v>0.03</v>
      </c>
      <c r="I137" s="1063"/>
      <c r="J137" s="1079" t="s">
        <v>530</v>
      </c>
      <c r="K137" s="1083" t="s">
        <v>411</v>
      </c>
      <c r="L137" s="693">
        <v>210000</v>
      </c>
      <c r="M137" s="693">
        <v>210000</v>
      </c>
      <c r="N137" s="693">
        <v>210000</v>
      </c>
      <c r="O137" s="693">
        <v>275000</v>
      </c>
      <c r="P137" s="693">
        <v>250000</v>
      </c>
      <c r="Q137" s="693">
        <v>250000</v>
      </c>
      <c r="R137" s="693">
        <v>250000</v>
      </c>
      <c r="S137" s="693">
        <v>250000</v>
      </c>
      <c r="T137" s="693">
        <v>275000</v>
      </c>
      <c r="U137" s="693">
        <v>250000</v>
      </c>
      <c r="V137" s="693">
        <v>275000</v>
      </c>
      <c r="W137" s="693">
        <v>440000</v>
      </c>
      <c r="X137" s="1084">
        <v>280000</v>
      </c>
      <c r="Z137" s="1058" t="s">
        <v>536</v>
      </c>
      <c r="AA137" s="1061">
        <v>1332</v>
      </c>
      <c r="AB137" s="3" t="s">
        <v>255</v>
      </c>
      <c r="AD137" s="3"/>
    </row>
    <row r="138" spans="1:30" s="1001" customFormat="1" x14ac:dyDescent="0.25">
      <c r="A138" s="1057" t="s">
        <v>79</v>
      </c>
      <c r="B138" s="1058" t="s">
        <v>537</v>
      </c>
      <c r="C138" s="1059" t="s">
        <v>385</v>
      </c>
      <c r="D138" s="1060" t="s">
        <v>398</v>
      </c>
      <c r="E138" s="1060" t="s">
        <v>387</v>
      </c>
      <c r="F138" s="1061">
        <v>1598</v>
      </c>
      <c r="G138" s="1061">
        <v>8</v>
      </c>
      <c r="H138" s="1062">
        <v>0.03</v>
      </c>
      <c r="I138" s="1063"/>
      <c r="J138" s="1079" t="s">
        <v>530</v>
      </c>
      <c r="K138" s="1083" t="s">
        <v>411</v>
      </c>
      <c r="L138" s="693">
        <v>210000</v>
      </c>
      <c r="M138" s="693">
        <v>210000</v>
      </c>
      <c r="N138" s="693">
        <v>210000</v>
      </c>
      <c r="O138" s="693">
        <v>275000</v>
      </c>
      <c r="P138" s="693">
        <v>250000</v>
      </c>
      <c r="Q138" s="693">
        <v>250000</v>
      </c>
      <c r="R138" s="693">
        <v>250000</v>
      </c>
      <c r="S138" s="693">
        <v>250000</v>
      </c>
      <c r="T138" s="693">
        <v>275000</v>
      </c>
      <c r="U138" s="693">
        <v>250000</v>
      </c>
      <c r="V138" s="693">
        <v>275000</v>
      </c>
      <c r="W138" s="693">
        <v>440000</v>
      </c>
      <c r="X138" s="1084">
        <v>280000</v>
      </c>
      <c r="Z138" s="1058" t="s">
        <v>537</v>
      </c>
      <c r="AA138" s="1061">
        <v>1598</v>
      </c>
      <c r="AB138" s="3" t="s">
        <v>255</v>
      </c>
      <c r="AD138" s="3"/>
    </row>
    <row r="139" spans="1:30" s="1118" customFormat="1" x14ac:dyDescent="0.25">
      <c r="A139" s="1119"/>
      <c r="B139" s="1120"/>
      <c r="C139" s="1121"/>
      <c r="D139" s="1122"/>
      <c r="E139" s="1122"/>
      <c r="F139" s="1123"/>
      <c r="G139" s="1123"/>
      <c r="H139" s="1124"/>
      <c r="I139" s="1125"/>
      <c r="J139" s="1126"/>
      <c r="K139" s="1127"/>
      <c r="L139" s="1098"/>
      <c r="M139" s="1098"/>
      <c r="N139" s="1098"/>
      <c r="O139" s="1098"/>
      <c r="P139" s="1098"/>
      <c r="Q139" s="1098"/>
      <c r="R139" s="1098"/>
      <c r="S139" s="1098"/>
      <c r="T139" s="1098"/>
      <c r="U139" s="1098"/>
      <c r="V139" s="1098"/>
      <c r="W139" s="1098"/>
      <c r="X139" s="1108"/>
      <c r="Z139" s="1120"/>
      <c r="AA139" s="1123"/>
      <c r="AB139" s="3"/>
      <c r="AD139" s="3"/>
    </row>
    <row r="140" spans="1:30" s="1118" customFormat="1" x14ac:dyDescent="0.25">
      <c r="A140" s="1119"/>
      <c r="B140" s="1120"/>
      <c r="C140" s="1121"/>
      <c r="D140" s="1122"/>
      <c r="E140" s="1122"/>
      <c r="F140" s="1123"/>
      <c r="G140" s="1123"/>
      <c r="H140" s="1124"/>
      <c r="I140" s="1125"/>
      <c r="J140" s="1126"/>
      <c r="K140" s="1127"/>
      <c r="L140" s="1098"/>
      <c r="M140" s="1098"/>
      <c r="N140" s="1098"/>
      <c r="O140" s="1098"/>
      <c r="P140" s="1098"/>
      <c r="Q140" s="1098"/>
      <c r="R140" s="1098"/>
      <c r="S140" s="1098"/>
      <c r="T140" s="1098"/>
      <c r="U140" s="1098"/>
      <c r="V140" s="1098"/>
      <c r="W140" s="1098"/>
      <c r="X140" s="1108"/>
      <c r="Z140" s="1120"/>
      <c r="AA140" s="1123"/>
      <c r="AB140" s="3"/>
      <c r="AD140" s="3"/>
    </row>
    <row r="141" spans="1:28" x14ac:dyDescent="0.25">
      <c r="A141" s="1099" t="s">
        <v>81</v>
      </c>
      <c r="B141" s="1100" t="s">
        <v>538</v>
      </c>
      <c r="C141" s="1105" t="s">
        <v>385</v>
      </c>
      <c r="D141" s="1103" t="s">
        <v>386</v>
      </c>
      <c r="E141" s="1103" t="s">
        <v>387</v>
      </c>
      <c r="F141" s="1104">
        <v>999</v>
      </c>
      <c r="G141" s="1104">
        <v>2</v>
      </c>
      <c r="H141" s="1062">
        <v>0.09</v>
      </c>
      <c r="I141" s="1063" t="s">
        <v>399</v>
      </c>
      <c r="J141" s="1064" t="s">
        <v>539</v>
      </c>
      <c r="K141" s="712" t="s">
        <v>411</v>
      </c>
      <c r="L141" s="1051">
        <v>213850</v>
      </c>
      <c r="M141" s="1051">
        <v>212850</v>
      </c>
      <c r="N141" s="1051">
        <v>211850</v>
      </c>
      <c r="O141" s="1051">
        <v>275000</v>
      </c>
      <c r="P141" s="1051">
        <v>245850</v>
      </c>
      <c r="Q141" s="1051">
        <v>227850</v>
      </c>
      <c r="R141" s="1051">
        <v>223850</v>
      </c>
      <c r="S141" s="1051">
        <v>275000</v>
      </c>
      <c r="T141" s="1051">
        <v>286000</v>
      </c>
      <c r="U141" s="1051">
        <v>250000</v>
      </c>
      <c r="V141" s="1051">
        <v>275000</v>
      </c>
      <c r="W141" s="1051">
        <v>440000</v>
      </c>
      <c r="X141" s="1052">
        <v>188400</v>
      </c>
      <c r="Z141" s="1100" t="s">
        <v>538</v>
      </c>
      <c r="AA141" s="1104">
        <v>999</v>
      </c>
      <c r="AB141" s="3" t="str">
        <f t="shared" ref="AB141:AB150" si="2">IF(AA141&lt;1000,"경형",IF(AA141&lt;1600,"소형",IF(AA141&lt;2000,"중형",IF(AA141&lt;2500,"대형",IF(AA141&lt;3400,"고급",IF(AA141&gt;=3400,"최고급"))))))</f>
        <v>경형</v>
      </c>
    </row>
    <row r="142" spans="1:28" x14ac:dyDescent="0.25">
      <c r="A142" s="1099" t="s">
        <v>81</v>
      </c>
      <c r="B142" s="1100" t="s">
        <v>540</v>
      </c>
      <c r="C142" s="1105" t="s">
        <v>385</v>
      </c>
      <c r="D142" s="1103" t="s">
        <v>490</v>
      </c>
      <c r="E142" s="1103" t="s">
        <v>387</v>
      </c>
      <c r="F142" s="1104">
        <v>999</v>
      </c>
      <c r="G142" s="1104">
        <v>2</v>
      </c>
      <c r="H142" s="1062">
        <v>0.09</v>
      </c>
      <c r="I142" s="1063" t="s">
        <v>399</v>
      </c>
      <c r="J142" s="1064" t="s">
        <v>539</v>
      </c>
      <c r="K142" s="712" t="s">
        <v>411</v>
      </c>
      <c r="L142" s="1051">
        <v>213850</v>
      </c>
      <c r="M142" s="1051">
        <v>212850</v>
      </c>
      <c r="N142" s="1051">
        <v>211850</v>
      </c>
      <c r="O142" s="1051">
        <v>275000</v>
      </c>
      <c r="P142" s="1051">
        <v>245850</v>
      </c>
      <c r="Q142" s="1051">
        <v>227850</v>
      </c>
      <c r="R142" s="1051">
        <v>223850</v>
      </c>
      <c r="S142" s="1051">
        <v>275000</v>
      </c>
      <c r="T142" s="1051">
        <v>286000</v>
      </c>
      <c r="U142" s="1051">
        <v>250000</v>
      </c>
      <c r="V142" s="1051">
        <v>275000</v>
      </c>
      <c r="W142" s="1051">
        <v>440000</v>
      </c>
      <c r="X142" s="1052">
        <v>188400</v>
      </c>
      <c r="Z142" s="1100" t="s">
        <v>540</v>
      </c>
      <c r="AA142" s="1104">
        <v>999</v>
      </c>
      <c r="AB142" s="3" t="str">
        <f t="shared" si="2"/>
        <v>경형</v>
      </c>
    </row>
    <row r="143" spans="1:28" x14ac:dyDescent="0.25">
      <c r="A143" s="1099" t="s">
        <v>81</v>
      </c>
      <c r="B143" s="1100" t="s">
        <v>541</v>
      </c>
      <c r="C143" s="1105" t="s">
        <v>385</v>
      </c>
      <c r="D143" s="1103" t="s">
        <v>386</v>
      </c>
      <c r="E143" s="1103" t="s">
        <v>387</v>
      </c>
      <c r="F143" s="1104">
        <v>1362</v>
      </c>
      <c r="G143" s="1061">
        <v>3</v>
      </c>
      <c r="H143" s="1082">
        <v>0.05</v>
      </c>
      <c r="I143" s="1063"/>
      <c r="J143" s="1064" t="s">
        <v>172</v>
      </c>
      <c r="K143" s="712" t="s">
        <v>411</v>
      </c>
      <c r="L143" s="1051">
        <v>99000</v>
      </c>
      <c r="M143" s="1051">
        <v>99000</v>
      </c>
      <c r="N143" s="1051">
        <v>99000</v>
      </c>
      <c r="O143" s="1051">
        <v>186000</v>
      </c>
      <c r="P143" s="1051">
        <v>186000</v>
      </c>
      <c r="Q143" s="1051">
        <v>132000</v>
      </c>
      <c r="R143" s="1051">
        <v>132000</v>
      </c>
      <c r="S143" s="1051">
        <v>198000</v>
      </c>
      <c r="T143" s="1051">
        <v>209000</v>
      </c>
      <c r="U143" s="1051">
        <v>219000</v>
      </c>
      <c r="V143" s="1051">
        <v>225270</v>
      </c>
      <c r="W143" s="1051">
        <v>440000</v>
      </c>
      <c r="X143" s="1052">
        <v>280000</v>
      </c>
      <c r="Z143" s="1100" t="s">
        <v>541</v>
      </c>
      <c r="AA143" s="1104">
        <v>1362</v>
      </c>
      <c r="AB143" s="3" t="s">
        <v>255</v>
      </c>
    </row>
    <row r="144" spans="1:28" x14ac:dyDescent="0.25">
      <c r="A144" s="1099" t="s">
        <v>81</v>
      </c>
      <c r="B144" s="1100" t="s">
        <v>542</v>
      </c>
      <c r="C144" s="1105" t="s">
        <v>385</v>
      </c>
      <c r="D144" s="1103" t="s">
        <v>386</v>
      </c>
      <c r="E144" s="1103" t="s">
        <v>416</v>
      </c>
      <c r="F144" s="1104">
        <v>1598</v>
      </c>
      <c r="G144" s="1061">
        <v>3</v>
      </c>
      <c r="H144" s="1082">
        <v>0.05</v>
      </c>
      <c r="I144" s="1063"/>
      <c r="J144" s="1064" t="s">
        <v>172</v>
      </c>
      <c r="K144" s="712" t="s">
        <v>411</v>
      </c>
      <c r="L144" s="1051">
        <v>99000</v>
      </c>
      <c r="M144" s="1051">
        <v>99000</v>
      </c>
      <c r="N144" s="1051">
        <v>99000</v>
      </c>
      <c r="O144" s="1051">
        <v>186000</v>
      </c>
      <c r="P144" s="1051">
        <v>186000</v>
      </c>
      <c r="Q144" s="1051">
        <v>132000</v>
      </c>
      <c r="R144" s="1051">
        <v>132000</v>
      </c>
      <c r="S144" s="1051">
        <v>198000</v>
      </c>
      <c r="T144" s="1051">
        <v>209000</v>
      </c>
      <c r="U144" s="1051">
        <v>219000</v>
      </c>
      <c r="V144" s="1051">
        <v>225270</v>
      </c>
      <c r="W144" s="1051">
        <v>440000</v>
      </c>
      <c r="X144" s="1052">
        <v>280000</v>
      </c>
      <c r="Z144" s="1100" t="s">
        <v>542</v>
      </c>
      <c r="AA144" s="1104">
        <v>1598</v>
      </c>
      <c r="AB144" s="3" t="s">
        <v>255</v>
      </c>
    </row>
    <row r="145" spans="1:30" s="1001" customFormat="1" x14ac:dyDescent="0.25">
      <c r="A145" s="1099" t="s">
        <v>81</v>
      </c>
      <c r="B145" s="1100" t="s">
        <v>543</v>
      </c>
      <c r="C145" s="1105" t="s">
        <v>385</v>
      </c>
      <c r="D145" s="1103" t="s">
        <v>386</v>
      </c>
      <c r="E145" s="1103" t="s">
        <v>387</v>
      </c>
      <c r="F145" s="1104">
        <v>1199</v>
      </c>
      <c r="G145" s="1061">
        <v>3</v>
      </c>
      <c r="H145" s="1062">
        <v>0.03</v>
      </c>
      <c r="I145" s="1063"/>
      <c r="J145" s="1079" t="s">
        <v>172</v>
      </c>
      <c r="K145" s="1083" t="s">
        <v>411</v>
      </c>
      <c r="L145" s="693">
        <v>99000</v>
      </c>
      <c r="M145" s="693">
        <v>99000</v>
      </c>
      <c r="N145" s="693">
        <v>99000</v>
      </c>
      <c r="O145" s="693">
        <v>186000</v>
      </c>
      <c r="P145" s="693">
        <v>186000</v>
      </c>
      <c r="Q145" s="693">
        <v>132000</v>
      </c>
      <c r="R145" s="693">
        <v>132000</v>
      </c>
      <c r="S145" s="693">
        <v>198000</v>
      </c>
      <c r="T145" s="693">
        <v>209000</v>
      </c>
      <c r="U145" s="693">
        <v>219000</v>
      </c>
      <c r="V145" s="693">
        <v>225270</v>
      </c>
      <c r="W145" s="693">
        <v>440000</v>
      </c>
      <c r="X145" s="1084"/>
      <c r="Z145" s="1100" t="s">
        <v>543</v>
      </c>
      <c r="AA145" s="1104">
        <v>1199</v>
      </c>
      <c r="AB145" s="3" t="s">
        <v>255</v>
      </c>
      <c r="AD145" s="3"/>
    </row>
    <row r="146" spans="1:30" s="1001" customFormat="1" x14ac:dyDescent="0.25">
      <c r="A146" s="1099" t="s">
        <v>81</v>
      </c>
      <c r="B146" s="1100" t="s">
        <v>544</v>
      </c>
      <c r="C146" s="1105" t="s">
        <v>385</v>
      </c>
      <c r="D146" s="1103" t="s">
        <v>386</v>
      </c>
      <c r="E146" s="1103" t="s">
        <v>387</v>
      </c>
      <c r="F146" s="1104">
        <v>1341</v>
      </c>
      <c r="G146" s="1061">
        <v>3</v>
      </c>
      <c r="H146" s="1062">
        <v>0.03</v>
      </c>
      <c r="I146" s="1063"/>
      <c r="J146" s="1079" t="s">
        <v>172</v>
      </c>
      <c r="K146" s="1083" t="s">
        <v>411</v>
      </c>
      <c r="L146" s="693">
        <v>99000</v>
      </c>
      <c r="M146" s="693">
        <v>99000</v>
      </c>
      <c r="N146" s="693">
        <v>99000</v>
      </c>
      <c r="O146" s="693">
        <v>186000</v>
      </c>
      <c r="P146" s="693">
        <v>186000</v>
      </c>
      <c r="Q146" s="693">
        <v>132000</v>
      </c>
      <c r="R146" s="693">
        <v>132000</v>
      </c>
      <c r="S146" s="693">
        <v>198000</v>
      </c>
      <c r="T146" s="693">
        <v>209000</v>
      </c>
      <c r="U146" s="693">
        <v>219000</v>
      </c>
      <c r="V146" s="693">
        <v>225270</v>
      </c>
      <c r="W146" s="693">
        <v>440000</v>
      </c>
      <c r="X146" s="1084"/>
      <c r="Z146" s="1100" t="s">
        <v>544</v>
      </c>
      <c r="AA146" s="1104">
        <v>1341</v>
      </c>
      <c r="AB146" s="3" t="s">
        <v>255</v>
      </c>
      <c r="AD146" s="3"/>
    </row>
    <row r="147" spans="1:28" x14ac:dyDescent="0.25">
      <c r="A147" s="1099" t="s">
        <v>81</v>
      </c>
      <c r="B147" s="1100" t="s">
        <v>545</v>
      </c>
      <c r="C147" s="1105" t="s">
        <v>385</v>
      </c>
      <c r="D147" s="1103" t="s">
        <v>386</v>
      </c>
      <c r="E147" s="1103" t="s">
        <v>387</v>
      </c>
      <c r="F147" s="1104">
        <v>1341</v>
      </c>
      <c r="G147" s="1061">
        <v>3</v>
      </c>
      <c r="H147" s="1082">
        <v>0.05</v>
      </c>
      <c r="I147" s="1063"/>
      <c r="J147" s="1064" t="s">
        <v>172</v>
      </c>
      <c r="K147" s="712" t="s">
        <v>411</v>
      </c>
      <c r="L147" s="1051">
        <v>99000</v>
      </c>
      <c r="M147" s="1051">
        <v>99000</v>
      </c>
      <c r="N147" s="1051">
        <v>99000</v>
      </c>
      <c r="O147" s="1051">
        <v>186000</v>
      </c>
      <c r="P147" s="1051">
        <v>186000</v>
      </c>
      <c r="Q147" s="1051">
        <v>132000</v>
      </c>
      <c r="R147" s="1051">
        <v>132000</v>
      </c>
      <c r="S147" s="1051">
        <v>198000</v>
      </c>
      <c r="T147" s="1051">
        <v>209000</v>
      </c>
      <c r="U147" s="1051">
        <v>219000</v>
      </c>
      <c r="V147" s="1051">
        <v>225270</v>
      </c>
      <c r="W147" s="1051">
        <v>440000</v>
      </c>
      <c r="X147" s="1052">
        <v>395800</v>
      </c>
      <c r="Z147" s="1100" t="s">
        <v>545</v>
      </c>
      <c r="AA147" s="1104">
        <v>1341</v>
      </c>
      <c r="AB147" s="3" t="s">
        <v>250</v>
      </c>
    </row>
    <row r="148" spans="1:28" x14ac:dyDescent="0.25">
      <c r="A148" s="1099" t="s">
        <v>81</v>
      </c>
      <c r="B148" s="1100" t="s">
        <v>546</v>
      </c>
      <c r="C148" s="1105" t="s">
        <v>385</v>
      </c>
      <c r="D148" s="1103" t="s">
        <v>386</v>
      </c>
      <c r="E148" s="1103" t="s">
        <v>416</v>
      </c>
      <c r="F148" s="1104">
        <v>1598</v>
      </c>
      <c r="G148" s="1061">
        <v>3</v>
      </c>
      <c r="H148" s="1082">
        <v>0.05</v>
      </c>
      <c r="I148" s="1063"/>
      <c r="J148" s="1064" t="s">
        <v>172</v>
      </c>
      <c r="K148" s="712" t="s">
        <v>411</v>
      </c>
      <c r="L148" s="1051">
        <v>99000</v>
      </c>
      <c r="M148" s="1051">
        <v>99000</v>
      </c>
      <c r="N148" s="1051">
        <v>99000</v>
      </c>
      <c r="O148" s="1051">
        <v>186000</v>
      </c>
      <c r="P148" s="1051">
        <v>186000</v>
      </c>
      <c r="Q148" s="1051">
        <v>132000</v>
      </c>
      <c r="R148" s="1051">
        <v>132000</v>
      </c>
      <c r="S148" s="1051">
        <v>198000</v>
      </c>
      <c r="T148" s="1051">
        <v>209000</v>
      </c>
      <c r="U148" s="1051">
        <v>219000</v>
      </c>
      <c r="V148" s="1051">
        <v>225270</v>
      </c>
      <c r="W148" s="1051">
        <v>440000</v>
      </c>
      <c r="X148" s="1052">
        <v>395800</v>
      </c>
      <c r="Z148" s="1100" t="s">
        <v>546</v>
      </c>
      <c r="AA148" s="1104">
        <v>1598</v>
      </c>
      <c r="AB148" s="3" t="s">
        <v>250</v>
      </c>
    </row>
    <row r="149" spans="1:28" x14ac:dyDescent="0.25">
      <c r="A149" s="1099" t="s">
        <v>81</v>
      </c>
      <c r="B149" s="1100" t="s">
        <v>547</v>
      </c>
      <c r="C149" s="1105" t="s">
        <v>385</v>
      </c>
      <c r="D149" s="1103" t="s">
        <v>386</v>
      </c>
      <c r="E149" s="1103" t="s">
        <v>387</v>
      </c>
      <c r="F149" s="1104">
        <v>1998</v>
      </c>
      <c r="G149" s="1061">
        <v>4</v>
      </c>
      <c r="H149" s="1082">
        <v>0.05</v>
      </c>
      <c r="I149" s="1063"/>
      <c r="J149" s="1064" t="s">
        <v>172</v>
      </c>
      <c r="K149" s="712" t="s">
        <v>411</v>
      </c>
      <c r="L149" s="1051">
        <v>99000</v>
      </c>
      <c r="M149" s="1051">
        <v>99000</v>
      </c>
      <c r="N149" s="1051">
        <v>99000</v>
      </c>
      <c r="O149" s="1051">
        <v>186000</v>
      </c>
      <c r="P149" s="1051">
        <v>186000</v>
      </c>
      <c r="Q149" s="1051">
        <v>132000</v>
      </c>
      <c r="R149" s="1051">
        <v>132000</v>
      </c>
      <c r="S149" s="1051">
        <v>198000</v>
      </c>
      <c r="T149" s="1051">
        <v>209000</v>
      </c>
      <c r="U149" s="1051">
        <v>219000</v>
      </c>
      <c r="V149" s="1051">
        <v>225270</v>
      </c>
      <c r="W149" s="1051">
        <v>440000</v>
      </c>
      <c r="X149" s="1052">
        <v>395800</v>
      </c>
      <c r="Z149" s="1100" t="s">
        <v>547</v>
      </c>
      <c r="AA149" s="1104">
        <v>1998</v>
      </c>
      <c r="AB149" s="3" t="str">
        <f t="shared" si="2"/>
        <v>중형</v>
      </c>
    </row>
    <row r="150" spans="1:28" x14ac:dyDescent="0.25">
      <c r="A150" s="1099" t="s">
        <v>81</v>
      </c>
      <c r="B150" s="1100" t="s">
        <v>548</v>
      </c>
      <c r="C150" s="1105" t="s">
        <v>385</v>
      </c>
      <c r="D150" s="1103" t="s">
        <v>386</v>
      </c>
      <c r="E150" s="1103" t="s">
        <v>396</v>
      </c>
      <c r="F150" s="1104">
        <v>1796</v>
      </c>
      <c r="G150" s="1061">
        <v>4</v>
      </c>
      <c r="H150" s="1082">
        <v>0.05</v>
      </c>
      <c r="I150" s="1063"/>
      <c r="J150" s="1064" t="s">
        <v>172</v>
      </c>
      <c r="K150" s="712" t="s">
        <v>411</v>
      </c>
      <c r="L150" s="1051">
        <v>99000</v>
      </c>
      <c r="M150" s="1051">
        <v>99000</v>
      </c>
      <c r="N150" s="1051">
        <v>99000</v>
      </c>
      <c r="O150" s="1051">
        <v>186000</v>
      </c>
      <c r="P150" s="1051">
        <v>186000</v>
      </c>
      <c r="Q150" s="1051">
        <v>132000</v>
      </c>
      <c r="R150" s="1051">
        <v>132000</v>
      </c>
      <c r="S150" s="1051">
        <v>198000</v>
      </c>
      <c r="T150" s="1051">
        <v>209000</v>
      </c>
      <c r="U150" s="1051">
        <v>219000</v>
      </c>
      <c r="V150" s="1051">
        <v>225270</v>
      </c>
      <c r="W150" s="1051">
        <v>440000</v>
      </c>
      <c r="X150" s="1052">
        <v>395800</v>
      </c>
      <c r="Z150" s="1100" t="s">
        <v>548</v>
      </c>
      <c r="AA150" s="1104">
        <v>1796</v>
      </c>
      <c r="AB150" s="3" t="str">
        <f t="shared" si="2"/>
        <v>중형</v>
      </c>
    </row>
    <row r="151" spans="1:28" x14ac:dyDescent="0.25">
      <c r="A151" s="1099" t="s">
        <v>81</v>
      </c>
      <c r="B151" s="1100" t="s">
        <v>549</v>
      </c>
      <c r="C151" s="1059" t="s">
        <v>413</v>
      </c>
      <c r="D151" s="1103" t="s">
        <v>386</v>
      </c>
      <c r="E151" s="1103" t="s">
        <v>387</v>
      </c>
      <c r="F151" s="1104">
        <v>3564</v>
      </c>
      <c r="G151" s="1061">
        <v>9</v>
      </c>
      <c r="H151" s="1082">
        <v>0.02</v>
      </c>
      <c r="I151" s="1063"/>
      <c r="J151" s="1064" t="s">
        <v>550</v>
      </c>
      <c r="K151" s="712" t="s">
        <v>411</v>
      </c>
      <c r="L151" s="693">
        <v>99000</v>
      </c>
      <c r="M151" s="693">
        <v>99000</v>
      </c>
      <c r="N151" s="693">
        <v>99000</v>
      </c>
      <c r="O151" s="693">
        <v>186000</v>
      </c>
      <c r="P151" s="693">
        <v>186000</v>
      </c>
      <c r="Q151" s="693">
        <v>132000</v>
      </c>
      <c r="R151" s="693">
        <v>132000</v>
      </c>
      <c r="S151" s="693">
        <v>198000</v>
      </c>
      <c r="T151" s="693">
        <v>209000</v>
      </c>
      <c r="U151" s="693">
        <v>219000</v>
      </c>
      <c r="V151" s="693">
        <v>225270</v>
      </c>
      <c r="W151" s="693">
        <v>440000</v>
      </c>
      <c r="Z151" s="1100" t="s">
        <v>549</v>
      </c>
      <c r="AA151" s="1104">
        <v>3564</v>
      </c>
      <c r="AB151" s="3" t="s">
        <v>257</v>
      </c>
    </row>
    <row r="152" spans="1:28" x14ac:dyDescent="0.25">
      <c r="A152" s="1099" t="s">
        <v>81</v>
      </c>
      <c r="B152" s="1100" t="s">
        <v>551</v>
      </c>
      <c r="C152" s="1059" t="s">
        <v>385</v>
      </c>
      <c r="D152" s="1103" t="s">
        <v>386</v>
      </c>
      <c r="E152" s="1103" t="s">
        <v>416</v>
      </c>
      <c r="F152" s="1104">
        <v>1598</v>
      </c>
      <c r="G152" s="1061">
        <v>8</v>
      </c>
      <c r="H152" s="1082">
        <v>0.07</v>
      </c>
      <c r="I152" s="1063"/>
      <c r="J152" s="1064" t="s">
        <v>172</v>
      </c>
      <c r="K152" s="712" t="s">
        <v>411</v>
      </c>
      <c r="L152" s="1051">
        <v>99000</v>
      </c>
      <c r="M152" s="1051">
        <v>99000</v>
      </c>
      <c r="N152" s="1051">
        <v>99000</v>
      </c>
      <c r="O152" s="1051">
        <v>186000</v>
      </c>
      <c r="P152" s="1051">
        <v>186000</v>
      </c>
      <c r="Q152" s="1051">
        <v>132000</v>
      </c>
      <c r="R152" s="1051">
        <v>132000</v>
      </c>
      <c r="S152" s="1051">
        <v>198000</v>
      </c>
      <c r="T152" s="1051">
        <v>209000</v>
      </c>
      <c r="U152" s="1051">
        <v>219000</v>
      </c>
      <c r="V152" s="1051">
        <v>225270</v>
      </c>
      <c r="W152" s="1051">
        <v>440000</v>
      </c>
      <c r="X152" s="1052">
        <v>340000</v>
      </c>
      <c r="Z152" s="1100" t="s">
        <v>551</v>
      </c>
      <c r="AA152" s="1104">
        <v>1598</v>
      </c>
      <c r="AB152" s="3" t="s">
        <v>256</v>
      </c>
    </row>
    <row r="153" spans="1:30" s="1088" customFormat="1" x14ac:dyDescent="0.25">
      <c r="A153" s="1114"/>
      <c r="B153" s="1115"/>
      <c r="C153" s="1091"/>
      <c r="D153" s="1116"/>
      <c r="E153" s="1116"/>
      <c r="F153" s="1117"/>
      <c r="G153" s="1093"/>
      <c r="H153" s="1094"/>
      <c r="I153" s="1095"/>
      <c r="J153" s="1096"/>
      <c r="K153" s="1097"/>
      <c r="L153" s="1098"/>
      <c r="M153" s="1098"/>
      <c r="N153" s="1098"/>
      <c r="O153" s="1098"/>
      <c r="P153" s="1098"/>
      <c r="Q153" s="1098"/>
      <c r="R153" s="1098"/>
      <c r="S153" s="1098"/>
      <c r="T153" s="1098"/>
      <c r="U153" s="1098"/>
      <c r="V153" s="1098"/>
      <c r="W153" s="1098"/>
      <c r="X153" s="1052"/>
      <c r="Z153" s="1115"/>
      <c r="AA153" s="1117"/>
      <c r="AB153" s="3"/>
      <c r="AD153" s="3"/>
    </row>
    <row r="154" spans="1:30" s="1088" customFormat="1" x14ac:dyDescent="0.25">
      <c r="A154" s="1114"/>
      <c r="B154" s="1115"/>
      <c r="C154" s="1091"/>
      <c r="D154" s="1116"/>
      <c r="E154" s="1116"/>
      <c r="F154" s="1117"/>
      <c r="G154" s="1093"/>
      <c r="H154" s="1094"/>
      <c r="I154" s="1095"/>
      <c r="J154" s="1096"/>
      <c r="K154" s="1097"/>
      <c r="L154" s="1098"/>
      <c r="M154" s="1098"/>
      <c r="N154" s="1098"/>
      <c r="O154" s="1098"/>
      <c r="P154" s="1098"/>
      <c r="Q154" s="1098"/>
      <c r="R154" s="1098"/>
      <c r="S154" s="1098"/>
      <c r="T154" s="1098"/>
      <c r="U154" s="1098"/>
      <c r="V154" s="1098"/>
      <c r="W154" s="1098"/>
      <c r="X154" s="1052"/>
      <c r="Z154" s="1115"/>
      <c r="AA154" s="1117"/>
      <c r="AB154" s="3"/>
      <c r="AD154" s="3"/>
    </row>
    <row r="155" spans="1:30" s="1065" customFormat="1" x14ac:dyDescent="0.25">
      <c r="A155" s="1111" t="s">
        <v>86</v>
      </c>
      <c r="B155" s="1109" t="s">
        <v>552</v>
      </c>
      <c r="C155" s="1068" t="s">
        <v>385</v>
      </c>
      <c r="D155" s="1112" t="s">
        <v>386</v>
      </c>
      <c r="E155" s="1112" t="s">
        <v>416</v>
      </c>
      <c r="F155" s="1113">
        <v>2157</v>
      </c>
      <c r="G155" s="1070">
        <v>8</v>
      </c>
      <c r="H155" s="1071">
        <v>0.03</v>
      </c>
      <c r="I155" s="1072"/>
      <c r="J155" s="1087" t="s">
        <v>550</v>
      </c>
      <c r="K155" s="1074" t="s">
        <v>411</v>
      </c>
      <c r="L155" s="1075">
        <v>99000</v>
      </c>
      <c r="M155" s="1075">
        <v>99000</v>
      </c>
      <c r="N155" s="1075">
        <v>99000</v>
      </c>
      <c r="O155" s="1075">
        <v>198000</v>
      </c>
      <c r="P155" s="1075">
        <v>132000</v>
      </c>
      <c r="Q155" s="1075">
        <v>114000</v>
      </c>
      <c r="R155" s="1075">
        <v>110000</v>
      </c>
      <c r="S155" s="1075">
        <v>187000</v>
      </c>
      <c r="T155" s="1075">
        <v>224000</v>
      </c>
      <c r="U155" s="1075">
        <v>164000</v>
      </c>
      <c r="V155" s="1075">
        <v>219000</v>
      </c>
      <c r="W155" s="1075">
        <v>440000</v>
      </c>
      <c r="X155" s="1075">
        <v>1000000</v>
      </c>
      <c r="Z155" s="1109" t="s">
        <v>552</v>
      </c>
      <c r="AA155" s="1113">
        <v>2157</v>
      </c>
      <c r="AB155" s="3" t="s">
        <v>256</v>
      </c>
      <c r="AD155" s="3"/>
    </row>
    <row r="156" spans="1:30" s="1065" customFormat="1" x14ac:dyDescent="0.25">
      <c r="A156" s="1111" t="s">
        <v>86</v>
      </c>
      <c r="B156" s="1109" t="s">
        <v>553</v>
      </c>
      <c r="C156" s="1068" t="s">
        <v>413</v>
      </c>
      <c r="D156" s="1112" t="s">
        <v>386</v>
      </c>
      <c r="E156" s="1112" t="s">
        <v>416</v>
      </c>
      <c r="F156" s="1113">
        <v>2157</v>
      </c>
      <c r="G156" s="1070">
        <v>8</v>
      </c>
      <c r="H156" s="1071">
        <v>0.03</v>
      </c>
      <c r="I156" s="1072"/>
      <c r="J156" s="1087" t="s">
        <v>550</v>
      </c>
      <c r="K156" s="1074" t="s">
        <v>411</v>
      </c>
      <c r="L156" s="1075">
        <v>99000</v>
      </c>
      <c r="M156" s="1075">
        <v>99000</v>
      </c>
      <c r="N156" s="1075">
        <v>99000</v>
      </c>
      <c r="O156" s="1075">
        <v>198000</v>
      </c>
      <c r="P156" s="1075">
        <v>132000</v>
      </c>
      <c r="Q156" s="1075">
        <v>114000</v>
      </c>
      <c r="R156" s="1075">
        <v>110000</v>
      </c>
      <c r="S156" s="1075">
        <v>187000</v>
      </c>
      <c r="T156" s="1075">
        <v>224000</v>
      </c>
      <c r="U156" s="1075">
        <v>164000</v>
      </c>
      <c r="V156" s="1075">
        <v>219000</v>
      </c>
      <c r="W156" s="1075">
        <v>440000</v>
      </c>
      <c r="X156" s="1075">
        <v>1000000</v>
      </c>
      <c r="Z156" s="1109" t="s">
        <v>553</v>
      </c>
      <c r="AA156" s="1113">
        <v>2157</v>
      </c>
      <c r="AB156" s="3" t="s">
        <v>256</v>
      </c>
      <c r="AD156" s="3"/>
    </row>
    <row r="157" spans="1:30" s="1065" customFormat="1" x14ac:dyDescent="0.25">
      <c r="A157" s="1111" t="s">
        <v>86</v>
      </c>
      <c r="B157" s="1109" t="s">
        <v>554</v>
      </c>
      <c r="C157" s="1068" t="s">
        <v>385</v>
      </c>
      <c r="D157" s="1112" t="s">
        <v>395</v>
      </c>
      <c r="E157" s="1112" t="s">
        <v>387</v>
      </c>
      <c r="F157" s="1113">
        <v>1497</v>
      </c>
      <c r="G157" s="1070">
        <v>8</v>
      </c>
      <c r="H157" s="1071">
        <v>0.01</v>
      </c>
      <c r="I157" s="1072"/>
      <c r="J157" s="1087" t="s">
        <v>550</v>
      </c>
      <c r="K157" s="1074" t="s">
        <v>411</v>
      </c>
      <c r="L157" s="1075">
        <v>99000</v>
      </c>
      <c r="M157" s="1075">
        <v>99000</v>
      </c>
      <c r="N157" s="1075">
        <v>99000</v>
      </c>
      <c r="O157" s="1075">
        <v>198000</v>
      </c>
      <c r="P157" s="1075">
        <v>132000</v>
      </c>
      <c r="Q157" s="1075">
        <v>114000</v>
      </c>
      <c r="R157" s="1075">
        <v>110000</v>
      </c>
      <c r="S157" s="1075">
        <v>187000</v>
      </c>
      <c r="T157" s="1075">
        <v>224000</v>
      </c>
      <c r="U157" s="1075">
        <v>164000</v>
      </c>
      <c r="V157" s="1075">
        <v>219000</v>
      </c>
      <c r="W157" s="1075">
        <v>440000</v>
      </c>
      <c r="X157" s="1075">
        <v>1000000</v>
      </c>
      <c r="Z157" s="1109" t="s">
        <v>554</v>
      </c>
      <c r="AA157" s="1113">
        <v>1497</v>
      </c>
      <c r="AB157" s="3" t="s">
        <v>256</v>
      </c>
      <c r="AD157" s="3"/>
    </row>
    <row r="158" spans="1:28" x14ac:dyDescent="0.25">
      <c r="A158" s="1099" t="s">
        <v>86</v>
      </c>
      <c r="B158" s="1100" t="s">
        <v>555</v>
      </c>
      <c r="C158" s="1059" t="s">
        <v>385</v>
      </c>
      <c r="D158" s="1103" t="s">
        <v>395</v>
      </c>
      <c r="E158" s="1103" t="s">
        <v>416</v>
      </c>
      <c r="F158" s="1104">
        <v>1597</v>
      </c>
      <c r="G158" s="1061">
        <v>8</v>
      </c>
      <c r="H158" s="1062">
        <v>0.03</v>
      </c>
      <c r="I158" s="1063"/>
      <c r="J158" s="1064" t="s">
        <v>550</v>
      </c>
      <c r="K158" s="712" t="s">
        <v>411</v>
      </c>
      <c r="L158" s="1051">
        <v>99000</v>
      </c>
      <c r="M158" s="1051">
        <v>99000</v>
      </c>
      <c r="N158" s="1051">
        <v>99000</v>
      </c>
      <c r="O158" s="1051">
        <v>198000</v>
      </c>
      <c r="P158" s="1051">
        <v>132000</v>
      </c>
      <c r="Q158" s="1051">
        <v>114000</v>
      </c>
      <c r="R158" s="1051">
        <v>110000</v>
      </c>
      <c r="S158" s="1051">
        <v>187000</v>
      </c>
      <c r="T158" s="1051">
        <v>224000</v>
      </c>
      <c r="U158" s="1051">
        <v>164000</v>
      </c>
      <c r="V158" s="1051">
        <v>219000</v>
      </c>
      <c r="W158" s="1051">
        <v>440000</v>
      </c>
      <c r="X158" s="1052">
        <v>316400</v>
      </c>
      <c r="Z158" s="1100" t="s">
        <v>555</v>
      </c>
      <c r="AA158" s="1104">
        <v>1597</v>
      </c>
      <c r="AB158" s="3" t="s">
        <v>255</v>
      </c>
    </row>
    <row r="159" spans="1:28" x14ac:dyDescent="0.25">
      <c r="A159" s="1099" t="s">
        <v>86</v>
      </c>
      <c r="B159" s="1100" t="s">
        <v>556</v>
      </c>
      <c r="C159" s="1059" t="s">
        <v>385</v>
      </c>
      <c r="D159" s="1103" t="s">
        <v>395</v>
      </c>
      <c r="E159" s="1103" t="s">
        <v>387</v>
      </c>
      <c r="F159" s="1104">
        <v>1497</v>
      </c>
      <c r="G159" s="1061">
        <v>8</v>
      </c>
      <c r="H159" s="1062">
        <v>0.03</v>
      </c>
      <c r="I159" s="1063"/>
      <c r="J159" s="1064" t="s">
        <v>550</v>
      </c>
      <c r="K159" s="712" t="s">
        <v>411</v>
      </c>
      <c r="L159" s="1051">
        <v>99000</v>
      </c>
      <c r="M159" s="1051">
        <v>99000</v>
      </c>
      <c r="N159" s="1051">
        <v>99000</v>
      </c>
      <c r="O159" s="1051">
        <v>198000</v>
      </c>
      <c r="P159" s="1051">
        <v>132000</v>
      </c>
      <c r="Q159" s="1051">
        <v>114000</v>
      </c>
      <c r="R159" s="1051">
        <v>110000</v>
      </c>
      <c r="S159" s="1051">
        <v>187000</v>
      </c>
      <c r="T159" s="1051">
        <v>224000</v>
      </c>
      <c r="U159" s="1051">
        <v>164000</v>
      </c>
      <c r="V159" s="1051">
        <v>219000</v>
      </c>
      <c r="W159" s="1051">
        <v>440000</v>
      </c>
      <c r="X159" s="1052">
        <v>316400</v>
      </c>
      <c r="Z159" s="1100" t="s">
        <v>556</v>
      </c>
      <c r="AA159" s="1104">
        <v>1497</v>
      </c>
      <c r="AB159" s="3" t="s">
        <v>255</v>
      </c>
    </row>
    <row r="160" spans="1:28" x14ac:dyDescent="0.25">
      <c r="A160" s="1099" t="s">
        <v>86</v>
      </c>
      <c r="B160" s="1100" t="s">
        <v>557</v>
      </c>
      <c r="C160" s="1059" t="s">
        <v>385</v>
      </c>
      <c r="D160" s="1103" t="s">
        <v>395</v>
      </c>
      <c r="E160" s="1103" t="s">
        <v>387</v>
      </c>
      <c r="F160" s="1104">
        <v>1597</v>
      </c>
      <c r="G160" s="1061">
        <v>8</v>
      </c>
      <c r="H160" s="1062">
        <v>0.03</v>
      </c>
      <c r="I160" s="1063"/>
      <c r="J160" s="1064" t="s">
        <v>550</v>
      </c>
      <c r="K160" s="712" t="s">
        <v>411</v>
      </c>
      <c r="L160" s="1051">
        <v>99000</v>
      </c>
      <c r="M160" s="1051">
        <v>99000</v>
      </c>
      <c r="N160" s="1051">
        <v>99000</v>
      </c>
      <c r="O160" s="1051">
        <v>198000</v>
      </c>
      <c r="P160" s="1051">
        <v>132000</v>
      </c>
      <c r="Q160" s="1051">
        <v>114000</v>
      </c>
      <c r="R160" s="1051">
        <v>110000</v>
      </c>
      <c r="S160" s="1051">
        <v>187000</v>
      </c>
      <c r="T160" s="1051">
        <v>224000</v>
      </c>
      <c r="U160" s="1051">
        <v>164000</v>
      </c>
      <c r="V160" s="1051">
        <v>219000</v>
      </c>
      <c r="W160" s="1051">
        <v>440000</v>
      </c>
      <c r="X160" s="1052">
        <v>316400</v>
      </c>
      <c r="Z160" s="1100" t="s">
        <v>557</v>
      </c>
      <c r="AA160" s="1104">
        <v>1597</v>
      </c>
      <c r="AB160" s="3" t="s">
        <v>255</v>
      </c>
    </row>
    <row r="161" spans="1:30" s="1065" customFormat="1" x14ac:dyDescent="0.25">
      <c r="A161" s="1111" t="s">
        <v>86</v>
      </c>
      <c r="B161" s="1109" t="s">
        <v>558</v>
      </c>
      <c r="C161" s="1068" t="s">
        <v>385</v>
      </c>
      <c r="D161" s="1112" t="s">
        <v>395</v>
      </c>
      <c r="E161" s="1112" t="s">
        <v>387</v>
      </c>
      <c r="F161" s="1113">
        <v>1497</v>
      </c>
      <c r="G161" s="1070">
        <v>8</v>
      </c>
      <c r="H161" s="1062">
        <v>0.03</v>
      </c>
      <c r="I161" s="1072"/>
      <c r="J161" s="1087" t="s">
        <v>550</v>
      </c>
      <c r="K161" s="1074" t="s">
        <v>411</v>
      </c>
      <c r="L161" s="1075">
        <v>99000</v>
      </c>
      <c r="M161" s="1075">
        <v>99000</v>
      </c>
      <c r="N161" s="1075">
        <v>99000</v>
      </c>
      <c r="O161" s="1075">
        <v>198000</v>
      </c>
      <c r="P161" s="1075">
        <v>132000</v>
      </c>
      <c r="Q161" s="1075">
        <v>114000</v>
      </c>
      <c r="R161" s="1075">
        <v>110000</v>
      </c>
      <c r="S161" s="1075">
        <v>187000</v>
      </c>
      <c r="T161" s="1075">
        <v>224000</v>
      </c>
      <c r="U161" s="1075">
        <v>164000</v>
      </c>
      <c r="V161" s="1075">
        <v>219000</v>
      </c>
      <c r="W161" s="1075">
        <v>440000</v>
      </c>
      <c r="X161" s="1075">
        <v>316400</v>
      </c>
      <c r="Z161" s="1109" t="s">
        <v>558</v>
      </c>
      <c r="AA161" s="1113">
        <v>1497</v>
      </c>
      <c r="AB161" s="3" t="s">
        <v>255</v>
      </c>
      <c r="AD161" s="3"/>
    </row>
    <row r="162" spans="1:28" x14ac:dyDescent="0.25">
      <c r="A162" s="1099" t="s">
        <v>86</v>
      </c>
      <c r="B162" s="1100" t="s">
        <v>559</v>
      </c>
      <c r="C162" s="1059" t="s">
        <v>385</v>
      </c>
      <c r="D162" s="1103" t="s">
        <v>473</v>
      </c>
      <c r="E162" s="1103" t="s">
        <v>416</v>
      </c>
      <c r="F162" s="1104">
        <v>1597</v>
      </c>
      <c r="G162" s="1061">
        <v>8</v>
      </c>
      <c r="H162" s="1062">
        <v>0.03</v>
      </c>
      <c r="I162" s="1063"/>
      <c r="J162" s="1064" t="s">
        <v>550</v>
      </c>
      <c r="K162" s="712" t="s">
        <v>411</v>
      </c>
      <c r="L162" s="1051">
        <v>99000</v>
      </c>
      <c r="M162" s="1051">
        <v>99000</v>
      </c>
      <c r="N162" s="1051">
        <v>99000</v>
      </c>
      <c r="O162" s="1051">
        <v>198000</v>
      </c>
      <c r="P162" s="1051">
        <v>132000</v>
      </c>
      <c r="Q162" s="1051">
        <v>114000</v>
      </c>
      <c r="R162" s="1051">
        <v>110000</v>
      </c>
      <c r="S162" s="1051">
        <v>187000</v>
      </c>
      <c r="T162" s="1051">
        <v>224000</v>
      </c>
      <c r="U162" s="1051">
        <v>164000</v>
      </c>
      <c r="V162" s="1051">
        <v>219000</v>
      </c>
      <c r="W162" s="1051">
        <v>440000</v>
      </c>
      <c r="X162" s="1052">
        <v>331400</v>
      </c>
      <c r="Z162" s="1100" t="s">
        <v>559</v>
      </c>
      <c r="AA162" s="1104">
        <v>1597</v>
      </c>
      <c r="AB162" s="3" t="s">
        <v>255</v>
      </c>
    </row>
    <row r="163" spans="1:28" x14ac:dyDescent="0.25">
      <c r="A163" s="1099" t="s">
        <v>86</v>
      </c>
      <c r="B163" s="1100" t="s">
        <v>560</v>
      </c>
      <c r="C163" s="1059" t="s">
        <v>385</v>
      </c>
      <c r="D163" s="1103" t="s">
        <v>473</v>
      </c>
      <c r="E163" s="1103" t="s">
        <v>387</v>
      </c>
      <c r="F163" s="1104">
        <v>1497</v>
      </c>
      <c r="G163" s="1061">
        <v>8</v>
      </c>
      <c r="H163" s="1062">
        <v>0.03</v>
      </c>
      <c r="I163" s="1063"/>
      <c r="J163" s="1064" t="s">
        <v>550</v>
      </c>
      <c r="K163" s="712" t="s">
        <v>411</v>
      </c>
      <c r="L163" s="1051">
        <v>99000</v>
      </c>
      <c r="M163" s="1051">
        <v>99000</v>
      </c>
      <c r="N163" s="1051">
        <v>99000</v>
      </c>
      <c r="O163" s="1051">
        <v>198000</v>
      </c>
      <c r="P163" s="1051">
        <v>132000</v>
      </c>
      <c r="Q163" s="1051">
        <v>114000</v>
      </c>
      <c r="R163" s="1051">
        <v>110000</v>
      </c>
      <c r="S163" s="1051">
        <v>187000</v>
      </c>
      <c r="T163" s="1051">
        <v>224000</v>
      </c>
      <c r="U163" s="1051">
        <v>164000</v>
      </c>
      <c r="V163" s="1051">
        <v>219000</v>
      </c>
      <c r="W163" s="1051">
        <v>440000</v>
      </c>
      <c r="X163" s="1052">
        <v>331400</v>
      </c>
      <c r="Z163" s="1100" t="s">
        <v>560</v>
      </c>
      <c r="AA163" s="1104">
        <v>1497</v>
      </c>
      <c r="AB163" s="3" t="s">
        <v>255</v>
      </c>
    </row>
    <row r="164" spans="1:28" x14ac:dyDescent="0.25">
      <c r="A164" s="1099" t="s">
        <v>86</v>
      </c>
      <c r="B164" s="1100" t="s">
        <v>561</v>
      </c>
      <c r="C164" s="1059" t="s">
        <v>413</v>
      </c>
      <c r="D164" s="1103" t="s">
        <v>473</v>
      </c>
      <c r="E164" s="1103" t="s">
        <v>416</v>
      </c>
      <c r="F164" s="1104">
        <v>2157</v>
      </c>
      <c r="G164" s="1061">
        <v>8</v>
      </c>
      <c r="H164" s="1062">
        <v>0.03</v>
      </c>
      <c r="I164" s="1063" t="s">
        <v>399</v>
      </c>
      <c r="J164" s="1064" t="s">
        <v>550</v>
      </c>
      <c r="K164" s="712" t="s">
        <v>411</v>
      </c>
      <c r="L164" s="1051">
        <v>99000</v>
      </c>
      <c r="M164" s="1051">
        <v>99000</v>
      </c>
      <c r="N164" s="1051">
        <v>99000</v>
      </c>
      <c r="O164" s="1051">
        <v>198000</v>
      </c>
      <c r="P164" s="1051">
        <v>132000</v>
      </c>
      <c r="Q164" s="1051">
        <v>114000</v>
      </c>
      <c r="R164" s="1051">
        <v>110000</v>
      </c>
      <c r="S164" s="1051">
        <v>187000</v>
      </c>
      <c r="T164" s="1051">
        <v>224000</v>
      </c>
      <c r="U164" s="1051">
        <v>164000</v>
      </c>
      <c r="V164" s="1051">
        <v>219000</v>
      </c>
      <c r="W164" s="1051">
        <v>440000</v>
      </c>
      <c r="X164" s="1052">
        <v>331400</v>
      </c>
      <c r="Z164" s="1100" t="s">
        <v>561</v>
      </c>
      <c r="AA164" s="1104">
        <v>2157</v>
      </c>
      <c r="AB164" s="3" t="s">
        <v>255</v>
      </c>
    </row>
    <row r="165" spans="1:28" x14ac:dyDescent="0.25">
      <c r="A165" s="1099" t="s">
        <v>86</v>
      </c>
      <c r="B165" s="1100" t="s">
        <v>562</v>
      </c>
      <c r="C165" s="1059" t="s">
        <v>258</v>
      </c>
      <c r="D165" s="1103" t="s">
        <v>473</v>
      </c>
      <c r="E165" s="1103" t="s">
        <v>416</v>
      </c>
      <c r="F165" s="1104">
        <v>2157</v>
      </c>
      <c r="G165" s="1061">
        <v>10</v>
      </c>
      <c r="H165" s="1062">
        <v>0.03</v>
      </c>
      <c r="I165" s="1063" t="s">
        <v>399</v>
      </c>
      <c r="J165" s="1128" t="s">
        <v>550</v>
      </c>
      <c r="K165" s="712" t="s">
        <v>411</v>
      </c>
      <c r="L165" s="1051">
        <v>99000</v>
      </c>
      <c r="M165" s="1051">
        <v>99000</v>
      </c>
      <c r="N165" s="1051">
        <v>99000</v>
      </c>
      <c r="O165" s="1051">
        <v>198000</v>
      </c>
      <c r="P165" s="1051">
        <v>132000</v>
      </c>
      <c r="Q165" s="1051">
        <v>114000</v>
      </c>
      <c r="R165" s="1051">
        <v>110000</v>
      </c>
      <c r="S165" s="1051">
        <v>187000</v>
      </c>
      <c r="T165" s="1051">
        <v>224000</v>
      </c>
      <c r="U165" s="1051">
        <v>164000</v>
      </c>
      <c r="V165" s="1051">
        <v>219000</v>
      </c>
      <c r="W165" s="1051">
        <v>440000</v>
      </c>
      <c r="X165" s="1052">
        <v>331400</v>
      </c>
      <c r="Z165" s="1100" t="s">
        <v>562</v>
      </c>
      <c r="AA165" s="1104">
        <v>2157</v>
      </c>
      <c r="AB165" s="3" t="s">
        <v>258</v>
      </c>
    </row>
    <row r="170" spans="27:27" x14ac:dyDescent="0.25">
      <c r="AA170" s="3" t="s">
        <v>563</v>
      </c>
    </row>
  </sheetData>
  <mergeCells count="1">
    <mergeCell ref="X2:X3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B2:H12"/>
  <sheetViews>
    <sheetView workbookViewId="0" zoomScale="100" zoomScaleNormal="100">
      <selection activeCell="G19" sqref="G19"/>
    </sheetView>
  </sheetViews>
  <sheetFormatPr defaultRowHeight="17" outlineLevelRow="0" outlineLevelCol="0" x14ac:dyDescent="0" defaultColWidth="8.75" customHeight="1"/>
  <cols>
    <col min="1" max="1" width="2.58203125" style="1" customWidth="1"/>
    <col min="2" max="2" width="10.08203125" style="1" customWidth="1"/>
    <col min="3" max="3" width="16.75" style="1" customWidth="1"/>
    <col min="4" max="8" width="13.75" style="1" customWidth="1"/>
    <col min="9" max="16384" width="8.75" style="1" customWidth="1"/>
  </cols>
  <sheetData>
    <row r="2" ht="21" customHeight="1" spans="1:1" s="980" customFormat="1" x14ac:dyDescent="0.25">
      <c r="A2" s="980" t="s">
        <v>301</v>
      </c>
    </row>
    <row r="3" ht="15" customHeight="1" s="980" customFormat="1" x14ac:dyDescent="0.25"/>
    <row r="4" ht="17.5" customHeight="1" spans="2:2" s="981" customFormat="1" x14ac:dyDescent="0.25">
      <c r="B4" s="981" t="s">
        <v>302</v>
      </c>
    </row>
    <row r="5" spans="2:2" x14ac:dyDescent="0.25">
      <c r="B5" s="982"/>
    </row>
    <row r="6" ht="27" customHeight="1" spans="2:8" x14ac:dyDescent="0.25">
      <c r="B6" s="983" t="s">
        <v>303</v>
      </c>
      <c r="C6" s="983"/>
      <c r="D6" s="983" t="s">
        <v>30</v>
      </c>
      <c r="E6" s="983"/>
      <c r="F6" s="983"/>
      <c r="G6" s="983"/>
      <c r="H6" s="983"/>
    </row>
    <row r="7" ht="27" customHeight="1" spans="2:8" x14ac:dyDescent="0.25">
      <c r="B7" s="983"/>
      <c r="C7" s="983"/>
      <c r="D7" s="984" t="s">
        <v>304</v>
      </c>
      <c r="E7" s="985" t="s">
        <v>305</v>
      </c>
      <c r="F7" s="985" t="s">
        <v>306</v>
      </c>
      <c r="G7" s="985" t="s">
        <v>307</v>
      </c>
      <c r="H7" s="986" t="s">
        <v>308</v>
      </c>
    </row>
    <row r="8" ht="27" customHeight="1" spans="2:8" x14ac:dyDescent="0.25">
      <c r="B8" s="983" t="s">
        <v>309</v>
      </c>
      <c r="C8" s="987" t="s">
        <v>310</v>
      </c>
      <c r="D8" s="988">
        <v>0.3</v>
      </c>
      <c r="E8" s="989">
        <v>0.3</v>
      </c>
      <c r="F8" s="989">
        <v>0.3</v>
      </c>
      <c r="G8" s="989">
        <v>0.3</v>
      </c>
      <c r="H8" s="990">
        <v>0.3</v>
      </c>
    </row>
    <row r="9" ht="27" customHeight="1" spans="2:8" x14ac:dyDescent="0.25">
      <c r="B9" s="983"/>
      <c r="C9" s="991" t="s">
        <v>311</v>
      </c>
      <c r="D9" s="992">
        <v>0.2</v>
      </c>
      <c r="E9" s="993">
        <v>0.2</v>
      </c>
      <c r="F9" s="993">
        <v>0.25</v>
      </c>
      <c r="G9" s="993">
        <v>0.3</v>
      </c>
      <c r="H9" s="994">
        <v>0.3</v>
      </c>
    </row>
    <row r="10" ht="27" customHeight="1" spans="2:8" x14ac:dyDescent="0.25">
      <c r="B10" s="983"/>
      <c r="C10" s="991" t="s">
        <v>312</v>
      </c>
      <c r="D10" s="995"/>
      <c r="E10" s="996"/>
      <c r="F10" s="993">
        <v>0.1</v>
      </c>
      <c r="G10" s="993">
        <v>0.2</v>
      </c>
      <c r="H10" s="994">
        <v>0.25</v>
      </c>
    </row>
    <row r="11" ht="27" customHeight="1" spans="2:8" x14ac:dyDescent="0.25">
      <c r="B11" s="983"/>
      <c r="C11" s="991" t="s">
        <v>313</v>
      </c>
      <c r="D11" s="995"/>
      <c r="E11" s="996"/>
      <c r="F11" s="996"/>
      <c r="G11" s="993">
        <v>0.1</v>
      </c>
      <c r="H11" s="994">
        <v>0.2</v>
      </c>
    </row>
    <row r="12" ht="27" customHeight="1" spans="2:8" x14ac:dyDescent="0.25">
      <c r="B12" s="983"/>
      <c r="C12" s="997" t="s">
        <v>314</v>
      </c>
      <c r="D12" s="998"/>
      <c r="E12" s="999"/>
      <c r="F12" s="999"/>
      <c r="G12" s="999"/>
      <c r="H12" s="1000">
        <v>0.1</v>
      </c>
    </row>
  </sheetData>
  <mergeCells count="3">
    <mergeCell ref="B6:C7"/>
    <mergeCell ref="D6:H6"/>
    <mergeCell ref="B8:B12"/>
  </mergeCells>
  <pageMargins left="0.25" right="0.25" top="0.75" bottom="0.75" header="0.3" footer="0.3"/>
  <pageSetup paperSize="9" orientation="landscape" horizontalDpi="4294967295" verticalDpi="4294967295" scale="100" fitToWidth="1" fitToHeight="1" firstPageNumber="1" useFirstPageNumber="1" copies="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B3:AA12"/>
  <sheetViews>
    <sheetView workbookViewId="0" zoomScale="100" zoomScaleNormal="100">
      <selection activeCell="R21" sqref="R21"/>
    </sheetView>
  </sheetViews>
  <sheetFormatPr defaultRowHeight="17" outlineLevelRow="0" outlineLevelCol="0" x14ac:dyDescent="0" defaultColWidth="8.75" customHeight="1"/>
  <cols>
    <col min="1" max="27" width="2.83203125" style="1" customWidth="1"/>
    <col min="28" max="16384" width="8.75" style="1" customWidth="1"/>
  </cols>
  <sheetData>
    <row r="3" ht="17.5" customHeight="1" x14ac:dyDescent="0.25"/>
    <row r="4" ht="17.5" customHeight="1" spans="2:27" x14ac:dyDescent="0.25">
      <c r="B4" s="862"/>
      <c r="C4" s="862"/>
      <c r="D4" s="862"/>
      <c r="E4" s="862"/>
      <c r="F4" s="862"/>
      <c r="G4" s="862"/>
      <c r="H4" s="862"/>
      <c r="I4" s="862"/>
      <c r="J4" s="862"/>
      <c r="K4" s="862"/>
      <c r="L4" s="862"/>
      <c r="M4" s="862"/>
      <c r="N4" s="862"/>
      <c r="O4" s="862"/>
      <c r="P4" s="862"/>
      <c r="Q4" s="862"/>
      <c r="R4" s="862"/>
      <c r="S4" s="862"/>
      <c r="T4" s="862"/>
      <c r="U4" s="862"/>
      <c r="V4" s="862"/>
      <c r="W4" s="862"/>
      <c r="X4" s="862"/>
      <c r="Y4" s="862"/>
      <c r="Z4" s="862"/>
      <c r="AA4" s="862"/>
    </row>
    <row r="5" ht="30" customHeight="1" spans="2:27" x14ac:dyDescent="0.25">
      <c r="B5" s="949" t="s">
        <v>286</v>
      </c>
      <c r="C5" s="949"/>
      <c r="D5" s="949"/>
      <c r="E5" s="949"/>
      <c r="F5" s="949"/>
      <c r="G5" s="949"/>
      <c r="H5" s="949"/>
      <c r="I5" s="949"/>
      <c r="J5" s="949"/>
      <c r="K5" s="949"/>
      <c r="L5" s="949"/>
      <c r="M5" s="949"/>
      <c r="N5" s="949"/>
      <c r="O5" s="949"/>
      <c r="P5" s="949"/>
      <c r="Q5" s="949"/>
      <c r="R5" s="949"/>
      <c r="S5" s="949"/>
      <c r="T5" s="949"/>
      <c r="U5" s="949"/>
      <c r="V5" s="949"/>
      <c r="W5" s="949"/>
      <c r="X5" s="949"/>
      <c r="Y5" s="949"/>
      <c r="Z5" s="949"/>
      <c r="AA5" s="949"/>
    </row>
    <row r="6" spans="2:27" x14ac:dyDescent="0.25">
      <c r="B6" s="723"/>
      <c r="C6" s="723"/>
      <c r="D6" s="723"/>
      <c r="E6" s="723"/>
      <c r="F6" s="723"/>
      <c r="G6" s="723"/>
      <c r="H6" s="723"/>
      <c r="I6" s="723"/>
      <c r="J6" s="723"/>
      <c r="K6" s="723"/>
      <c r="L6" s="723"/>
      <c r="M6" s="723"/>
      <c r="N6" s="723"/>
      <c r="O6" s="723"/>
      <c r="P6" s="723"/>
      <c r="Q6" s="723"/>
      <c r="R6" s="723"/>
      <c r="S6" s="723"/>
      <c r="T6" s="723"/>
      <c r="U6" s="723"/>
      <c r="V6" s="723"/>
      <c r="W6" s="723"/>
      <c r="X6" s="723"/>
      <c r="Y6" s="723"/>
      <c r="Z6" s="723"/>
      <c r="AA6" s="723"/>
    </row>
    <row r="11" ht="26" customHeight="1" spans="2:27" x14ac:dyDescent="0.25">
      <c r="B11" s="948"/>
      <c r="C11" s="948"/>
      <c r="D11" s="948"/>
      <c r="E11" s="948"/>
      <c r="F11" s="948"/>
      <c r="G11" s="948"/>
      <c r="H11" s="948"/>
      <c r="I11" s="948"/>
      <c r="J11" s="948"/>
      <c r="K11" s="948"/>
      <c r="L11" s="948"/>
      <c r="M11" s="948"/>
      <c r="N11" s="948"/>
      <c r="O11" s="948"/>
      <c r="P11" s="948"/>
      <c r="Q11" s="948"/>
      <c r="R11" s="948"/>
      <c r="S11" s="948"/>
      <c r="T11" s="948"/>
      <c r="U11" s="948"/>
      <c r="V11" s="948"/>
      <c r="W11" s="948"/>
      <c r="X11" s="948"/>
      <c r="Y11" s="948"/>
      <c r="Z11" s="948"/>
      <c r="AA11" s="948"/>
    </row>
    <row r="12" ht="26" customHeight="1" spans="2:27" x14ac:dyDescent="0.25">
      <c r="B12" s="948"/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948"/>
      <c r="N12" s="948"/>
      <c r="O12" s="948"/>
      <c r="P12" s="948"/>
      <c r="Q12" s="948"/>
      <c r="R12" s="948"/>
      <c r="S12" s="948"/>
      <c r="T12" s="948"/>
      <c r="U12" s="948"/>
      <c r="V12" s="948"/>
      <c r="W12" s="948"/>
      <c r="X12" s="948"/>
      <c r="Y12" s="948"/>
      <c r="Z12" s="948"/>
      <c r="AA12" s="948"/>
    </row>
  </sheetData>
  <mergeCells count="1">
    <mergeCell ref="B5:AA5"/>
  </mergeCells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>
      <selection activeCell="F8" sqref="F8"/>
    </sheetView>
  </sheetViews>
  <sheetFormatPr defaultRowHeight="17" outlineLevelRow="0" outlineLevelCol="0" x14ac:dyDescent="0" customHeight="1"/>
  <sheetData/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94"/>
  <sheetViews>
    <sheetView workbookViewId="0" zoomScale="100" zoomScaleNormal="100">
      <selection activeCell="L92" sqref="L92"/>
    </sheetView>
  </sheetViews>
  <sheetFormatPr defaultRowHeight="17" outlineLevelRow="0" outlineLevelCol="0" x14ac:dyDescent="0" customHeight="1"/>
  <cols>
    <col min="1" max="1" width="11.5" hidden="1" customWidth="1"/>
    <col min="2" max="2" width="11.5" customWidth="1"/>
    <col min="3" max="3" width="31.75" customWidth="1"/>
    <col min="4" max="10" width="11.5" hidden="1" customWidth="1"/>
    <col min="11" max="11" width="11.5" customWidth="1"/>
    <col min="12" max="12" width="14.25" customWidth="1"/>
    <col min="13" max="20" width="11.5" hidden="1" customWidth="1"/>
    <col min="21" max="21" width="11.5" customWidth="1"/>
    <col min="22" max="22" width="11.5" hidden="1" customWidth="1"/>
    <col min="23" max="23" width="11.5" customWidth="1"/>
    <col min="24" max="27" width="21" hidden="1" customWidth="1"/>
    <col min="28" max="28" width="10.75" style="1138" customWidth="1"/>
  </cols>
  <sheetData>
    <row r="1" spans="1:29" x14ac:dyDescent="0.25">
      <c r="A1" s="1139" t="s">
        <v>582</v>
      </c>
      <c r="B1" s="1139" t="s">
        <v>583</v>
      </c>
      <c r="C1" s="1139" t="s">
        <v>584</v>
      </c>
      <c r="D1" s="1139" t="s">
        <v>585</v>
      </c>
      <c r="E1" s="1139" t="s">
        <v>586</v>
      </c>
      <c r="F1" s="1139" t="s">
        <v>587</v>
      </c>
      <c r="G1" s="1139" t="s">
        <v>588</v>
      </c>
      <c r="H1" s="1139" t="s">
        <v>39</v>
      </c>
      <c r="I1" s="1139" t="s">
        <v>589</v>
      </c>
      <c r="J1" s="1139" t="s">
        <v>590</v>
      </c>
      <c r="K1" s="1139" t="s">
        <v>591</v>
      </c>
      <c r="L1" s="1139" t="s">
        <v>20</v>
      </c>
      <c r="M1" s="1139" t="s">
        <v>592</v>
      </c>
      <c r="N1" s="1139" t="s">
        <v>593</v>
      </c>
      <c r="O1" s="1139" t="s">
        <v>594</v>
      </c>
      <c r="P1" s="1139" t="s">
        <v>595</v>
      </c>
      <c r="Q1" s="1139" t="s">
        <v>596</v>
      </c>
      <c r="R1" s="1139" t="s">
        <v>597</v>
      </c>
      <c r="S1" s="1139" t="s">
        <v>598</v>
      </c>
      <c r="T1" s="1139" t="s">
        <v>599</v>
      </c>
      <c r="U1" s="1139" t="s">
        <v>600</v>
      </c>
      <c r="V1" s="1139" t="s">
        <v>601</v>
      </c>
      <c r="W1" s="1139" t="s">
        <v>602</v>
      </c>
      <c r="X1" s="1139" t="s">
        <v>603</v>
      </c>
      <c r="Y1" s="1139" t="s">
        <v>604</v>
      </c>
      <c r="Z1" s="1139" t="s">
        <v>605</v>
      </c>
      <c r="AA1" s="1139" t="s">
        <v>606</v>
      </c>
      <c r="AC1" s="1140" t="s">
        <v>607</v>
      </c>
    </row>
    <row r="2" spans="1:28" x14ac:dyDescent="0.25">
      <c r="A2" s="1141">
        <v>110380</v>
      </c>
      <c r="B2" s="1141" t="s">
        <v>608</v>
      </c>
      <c r="C2" s="1141" t="s">
        <v>609</v>
      </c>
      <c r="D2" s="1142">
        <v>43669</v>
      </c>
      <c r="E2" s="1143">
        <v>21110000</v>
      </c>
      <c r="F2" s="1141" t="s">
        <v>610</v>
      </c>
      <c r="G2" s="1144" t="s">
        <v>611</v>
      </c>
      <c r="H2" s="1145">
        <v>1461</v>
      </c>
      <c r="I2" s="1141" t="s">
        <v>612</v>
      </c>
      <c r="J2" s="1144" t="s">
        <v>14</v>
      </c>
      <c r="K2" s="1141" t="s">
        <v>613</v>
      </c>
      <c r="L2" s="1141" t="s">
        <v>608</v>
      </c>
      <c r="M2" s="1144" t="s">
        <v>14</v>
      </c>
      <c r="N2" s="1144" t="s">
        <v>614</v>
      </c>
      <c r="O2" s="1146">
        <v>0</v>
      </c>
      <c r="P2" s="1147"/>
      <c r="Q2" s="1146">
        <v>5</v>
      </c>
      <c r="R2" s="1141" t="s">
        <v>615</v>
      </c>
      <c r="S2" s="1141" t="s">
        <v>616</v>
      </c>
      <c r="T2" s="1141" t="s">
        <v>617</v>
      </c>
      <c r="U2" s="1148">
        <v>144000</v>
      </c>
      <c r="V2" s="1141" t="s">
        <v>617</v>
      </c>
      <c r="W2" s="1148">
        <v>144000</v>
      </c>
      <c r="X2" s="1141" t="s">
        <v>618</v>
      </c>
      <c r="Y2" s="1149">
        <v>43669.675208333334</v>
      </c>
      <c r="Z2" s="1141" t="s">
        <v>618</v>
      </c>
      <c r="AA2" s="1149">
        <v>43669.675208333334</v>
      </c>
      <c r="AB2" s="1138">
        <f>W2*2</f>
        <v>288000</v>
      </c>
    </row>
    <row r="3" spans="1:28" x14ac:dyDescent="0.25">
      <c r="A3" s="1150">
        <v>110379</v>
      </c>
      <c r="B3" s="1150" t="s">
        <v>608</v>
      </c>
      <c r="C3" s="1150" t="s">
        <v>619</v>
      </c>
      <c r="D3" s="1151">
        <v>43669</v>
      </c>
      <c r="E3" s="1152">
        <v>22980000</v>
      </c>
      <c r="F3" s="1150" t="s">
        <v>610</v>
      </c>
      <c r="G3" s="1153" t="s">
        <v>611</v>
      </c>
      <c r="H3" s="1154">
        <v>1461</v>
      </c>
      <c r="I3" s="1150" t="s">
        <v>612</v>
      </c>
      <c r="J3" s="1153" t="s">
        <v>14</v>
      </c>
      <c r="K3" s="1150" t="s">
        <v>613</v>
      </c>
      <c r="L3" s="1150" t="s">
        <v>608</v>
      </c>
      <c r="M3" s="1153" t="s">
        <v>14</v>
      </c>
      <c r="N3" s="1153" t="s">
        <v>614</v>
      </c>
      <c r="O3" s="1155">
        <v>0</v>
      </c>
      <c r="P3" s="1156"/>
      <c r="Q3" s="1155">
        <v>5</v>
      </c>
      <c r="R3" s="1150" t="s">
        <v>615</v>
      </c>
      <c r="S3" s="1150" t="s">
        <v>616</v>
      </c>
      <c r="T3" s="1150" t="s">
        <v>617</v>
      </c>
      <c r="U3" s="1157">
        <v>144000</v>
      </c>
      <c r="V3" s="1150" t="s">
        <v>617</v>
      </c>
      <c r="W3" s="1157">
        <v>144000</v>
      </c>
      <c r="X3" s="1150" t="s">
        <v>618</v>
      </c>
      <c r="Y3" s="1158">
        <v>43669.63496527778</v>
      </c>
      <c r="Z3" s="1150" t="s">
        <v>618</v>
      </c>
      <c r="AA3" s="1158">
        <v>43669.63496527778</v>
      </c>
      <c r="AB3" s="1138">
        <f t="shared" ref="AB3:AB66" si="0">W3*2</f>
        <v>288000</v>
      </c>
    </row>
    <row r="4" spans="1:28" x14ac:dyDescent="0.25">
      <c r="A4" s="1159">
        <v>110227</v>
      </c>
      <c r="B4" s="1159" t="s">
        <v>608</v>
      </c>
      <c r="C4" s="1159" t="s">
        <v>620</v>
      </c>
      <c r="D4" s="1160">
        <v>43544</v>
      </c>
      <c r="E4" s="1161">
        <v>19540000</v>
      </c>
      <c r="F4" s="1159" t="s">
        <v>610</v>
      </c>
      <c r="G4" s="1162" t="s">
        <v>611</v>
      </c>
      <c r="H4" s="1163">
        <v>1461</v>
      </c>
      <c r="I4" s="1159" t="s">
        <v>612</v>
      </c>
      <c r="J4" s="1162" t="s">
        <v>14</v>
      </c>
      <c r="K4" s="1159" t="s">
        <v>613</v>
      </c>
      <c r="L4" s="1159" t="s">
        <v>608</v>
      </c>
      <c r="M4" s="1162" t="s">
        <v>14</v>
      </c>
      <c r="N4" s="1162" t="s">
        <v>614</v>
      </c>
      <c r="O4" s="1164">
        <v>0</v>
      </c>
      <c r="P4" s="1165"/>
      <c r="Q4" s="1164">
        <v>5</v>
      </c>
      <c r="R4" s="1159" t="s">
        <v>615</v>
      </c>
      <c r="S4" s="1159" t="s">
        <v>616</v>
      </c>
      <c r="T4" s="1159" t="s">
        <v>617</v>
      </c>
      <c r="U4" s="1166">
        <v>144000</v>
      </c>
      <c r="V4" s="1159" t="s">
        <v>617</v>
      </c>
      <c r="W4" s="1166">
        <v>144000</v>
      </c>
      <c r="X4" s="1159" t="s">
        <v>618</v>
      </c>
      <c r="Y4" s="1167">
        <v>43544.504641203705</v>
      </c>
      <c r="Z4" s="1159" t="s">
        <v>618</v>
      </c>
      <c r="AA4" s="1167">
        <v>43544.50686342592</v>
      </c>
      <c r="AB4" s="1138">
        <f t="shared" si="0"/>
        <v>288000</v>
      </c>
    </row>
    <row r="5" spans="1:28" x14ac:dyDescent="0.25">
      <c r="A5" s="1150">
        <v>110728</v>
      </c>
      <c r="B5" s="1150" t="s">
        <v>621</v>
      </c>
      <c r="C5" s="1150" t="s">
        <v>622</v>
      </c>
      <c r="D5" s="1151">
        <v>43760</v>
      </c>
      <c r="E5" s="1152">
        <v>24990000</v>
      </c>
      <c r="F5" s="1150" t="s">
        <v>387</v>
      </c>
      <c r="G5" s="1153" t="s">
        <v>611</v>
      </c>
      <c r="H5" s="1154">
        <v>1591</v>
      </c>
      <c r="I5" s="1150" t="s">
        <v>612</v>
      </c>
      <c r="J5" s="1153" t="s">
        <v>14</v>
      </c>
      <c r="K5" s="1150" t="s">
        <v>18</v>
      </c>
      <c r="L5" s="1150" t="s">
        <v>621</v>
      </c>
      <c r="M5" s="1153" t="s">
        <v>14</v>
      </c>
      <c r="N5" s="1153" t="s">
        <v>623</v>
      </c>
      <c r="O5" s="1155">
        <v>50</v>
      </c>
      <c r="P5" s="1155">
        <v>0</v>
      </c>
      <c r="Q5" s="1155">
        <v>5</v>
      </c>
      <c r="R5" s="1150" t="s">
        <v>624</v>
      </c>
      <c r="S5" s="1150" t="s">
        <v>625</v>
      </c>
      <c r="T5" s="1150" t="s">
        <v>626</v>
      </c>
      <c r="U5" s="1157">
        <v>150000</v>
      </c>
      <c r="V5" s="1150" t="s">
        <v>626</v>
      </c>
      <c r="W5" s="1157">
        <v>150000</v>
      </c>
      <c r="X5" s="1150" t="s">
        <v>618</v>
      </c>
      <c r="Y5" s="1158">
        <v>43760.4371412037</v>
      </c>
      <c r="Z5" s="1150" t="s">
        <v>618</v>
      </c>
      <c r="AA5" s="1158">
        <v>43898.012083333335</v>
      </c>
      <c r="AB5" s="1138">
        <f t="shared" si="0"/>
        <v>300000</v>
      </c>
    </row>
    <row r="6" spans="1:28" x14ac:dyDescent="0.25">
      <c r="A6" s="1159">
        <v>100328</v>
      </c>
      <c r="B6" s="1159" t="s">
        <v>627</v>
      </c>
      <c r="C6" s="1159" t="s">
        <v>628</v>
      </c>
      <c r="D6" s="1160">
        <v>40982</v>
      </c>
      <c r="E6" s="1161">
        <v>26600000</v>
      </c>
      <c r="F6" s="1159" t="s">
        <v>610</v>
      </c>
      <c r="G6" s="1162" t="s">
        <v>611</v>
      </c>
      <c r="H6" s="1163">
        <v>1685</v>
      </c>
      <c r="I6" s="1159" t="s">
        <v>629</v>
      </c>
      <c r="J6" s="1162" t="s">
        <v>14</v>
      </c>
      <c r="K6" s="1159" t="s">
        <v>18</v>
      </c>
      <c r="L6" s="1159" t="s">
        <v>627</v>
      </c>
      <c r="M6" s="1162" t="s">
        <v>630</v>
      </c>
      <c r="N6" s="1162" t="s">
        <v>631</v>
      </c>
      <c r="O6" s="1164">
        <v>70</v>
      </c>
      <c r="P6" s="1164">
        <v>0</v>
      </c>
      <c r="Q6" s="1164">
        <v>5</v>
      </c>
      <c r="R6" s="1159" t="s">
        <v>632</v>
      </c>
      <c r="S6" s="1159" t="s">
        <v>625</v>
      </c>
      <c r="T6" s="1159" t="s">
        <v>633</v>
      </c>
      <c r="U6" s="1165"/>
      <c r="V6" s="1159" t="s">
        <v>633</v>
      </c>
      <c r="W6" s="1165"/>
      <c r="X6" s="1159" t="s">
        <v>634</v>
      </c>
      <c r="Y6" s="1167">
        <v>40982.77863425926</v>
      </c>
      <c r="Z6" s="1159" t="s">
        <v>635</v>
      </c>
      <c r="AA6" s="1167">
        <v>42853.95460648148</v>
      </c>
      <c r="AB6" s="1138">
        <f t="shared" si="0"/>
        <v>0</v>
      </c>
    </row>
    <row r="7" spans="1:28" x14ac:dyDescent="0.25">
      <c r="A7" s="1150">
        <v>100007</v>
      </c>
      <c r="B7" s="1150" t="s">
        <v>627</v>
      </c>
      <c r="C7" s="1150" t="s">
        <v>636</v>
      </c>
      <c r="D7" s="1151">
        <v>40851</v>
      </c>
      <c r="E7" s="1152">
        <v>24960000</v>
      </c>
      <c r="F7" s="1150" t="s">
        <v>610</v>
      </c>
      <c r="G7" s="1153" t="s">
        <v>611</v>
      </c>
      <c r="H7" s="1154">
        <v>1685</v>
      </c>
      <c r="I7" s="1150" t="s">
        <v>629</v>
      </c>
      <c r="J7" s="1153" t="s">
        <v>14</v>
      </c>
      <c r="K7" s="1150" t="s">
        <v>18</v>
      </c>
      <c r="L7" s="1150" t="s">
        <v>627</v>
      </c>
      <c r="M7" s="1153" t="s">
        <v>630</v>
      </c>
      <c r="N7" s="1153" t="s">
        <v>631</v>
      </c>
      <c r="O7" s="1155">
        <v>70</v>
      </c>
      <c r="P7" s="1155">
        <v>0</v>
      </c>
      <c r="Q7" s="1155">
        <v>5</v>
      </c>
      <c r="R7" s="1150" t="s">
        <v>632</v>
      </c>
      <c r="S7" s="1150" t="s">
        <v>625</v>
      </c>
      <c r="T7" s="1150" t="s">
        <v>633</v>
      </c>
      <c r="U7" s="1156"/>
      <c r="V7" s="1150" t="s">
        <v>633</v>
      </c>
      <c r="W7" s="1156"/>
      <c r="X7" s="1150" t="s">
        <v>634</v>
      </c>
      <c r="Y7" s="1158">
        <v>40851.69269675926</v>
      </c>
      <c r="Z7" s="1150" t="s">
        <v>635</v>
      </c>
      <c r="AA7" s="1158">
        <v>42853.95287037037</v>
      </c>
      <c r="AB7" s="1138">
        <f t="shared" si="0"/>
        <v>0</v>
      </c>
    </row>
    <row r="8" spans="1:28" x14ac:dyDescent="0.25">
      <c r="A8" s="1159">
        <v>100197</v>
      </c>
      <c r="B8" s="1159" t="s">
        <v>627</v>
      </c>
      <c r="C8" s="1159" t="s">
        <v>637</v>
      </c>
      <c r="D8" s="1160">
        <v>40942</v>
      </c>
      <c r="E8" s="1161">
        <v>26600000</v>
      </c>
      <c r="F8" s="1159" t="s">
        <v>387</v>
      </c>
      <c r="G8" s="1162" t="s">
        <v>611</v>
      </c>
      <c r="H8" s="1163">
        <v>1999</v>
      </c>
      <c r="I8" s="1159" t="s">
        <v>629</v>
      </c>
      <c r="J8" s="1162" t="s">
        <v>14</v>
      </c>
      <c r="K8" s="1159" t="s">
        <v>18</v>
      </c>
      <c r="L8" s="1159" t="s">
        <v>627</v>
      </c>
      <c r="M8" s="1162" t="s">
        <v>630</v>
      </c>
      <c r="N8" s="1162" t="s">
        <v>631</v>
      </c>
      <c r="O8" s="1164">
        <v>70</v>
      </c>
      <c r="P8" s="1164">
        <v>0</v>
      </c>
      <c r="Q8" s="1164">
        <v>5</v>
      </c>
      <c r="R8" s="1159" t="s">
        <v>624</v>
      </c>
      <c r="S8" s="1159" t="s">
        <v>625</v>
      </c>
      <c r="T8" s="1159" t="s">
        <v>633</v>
      </c>
      <c r="U8" s="1165"/>
      <c r="V8" s="1159" t="s">
        <v>633</v>
      </c>
      <c r="W8" s="1165"/>
      <c r="X8" s="1159" t="s">
        <v>634</v>
      </c>
      <c r="Y8" s="1167">
        <v>40942.68355324074</v>
      </c>
      <c r="Z8" s="1159" t="s">
        <v>635</v>
      </c>
      <c r="AA8" s="1167">
        <v>42853.94853009259</v>
      </c>
      <c r="AB8" s="1138">
        <f t="shared" si="0"/>
        <v>0</v>
      </c>
    </row>
    <row r="9" spans="1:28" x14ac:dyDescent="0.25">
      <c r="A9" s="1150">
        <v>100326</v>
      </c>
      <c r="B9" s="1150" t="s">
        <v>627</v>
      </c>
      <c r="C9" s="1150" t="s">
        <v>638</v>
      </c>
      <c r="D9" s="1151">
        <v>40982</v>
      </c>
      <c r="E9" s="1152">
        <v>24960000</v>
      </c>
      <c r="F9" s="1150" t="s">
        <v>387</v>
      </c>
      <c r="G9" s="1153" t="s">
        <v>611</v>
      </c>
      <c r="H9" s="1154">
        <v>1999</v>
      </c>
      <c r="I9" s="1150" t="s">
        <v>629</v>
      </c>
      <c r="J9" s="1153" t="s">
        <v>14</v>
      </c>
      <c r="K9" s="1150" t="s">
        <v>18</v>
      </c>
      <c r="L9" s="1150" t="s">
        <v>627</v>
      </c>
      <c r="M9" s="1153" t="s">
        <v>630</v>
      </c>
      <c r="N9" s="1153" t="s">
        <v>631</v>
      </c>
      <c r="O9" s="1155">
        <v>70</v>
      </c>
      <c r="P9" s="1155">
        <v>0</v>
      </c>
      <c r="Q9" s="1155">
        <v>5</v>
      </c>
      <c r="R9" s="1150" t="s">
        <v>624</v>
      </c>
      <c r="S9" s="1150" t="s">
        <v>625</v>
      </c>
      <c r="T9" s="1150" t="s">
        <v>633</v>
      </c>
      <c r="U9" s="1156"/>
      <c r="V9" s="1150" t="s">
        <v>633</v>
      </c>
      <c r="W9" s="1156"/>
      <c r="X9" s="1150" t="s">
        <v>634</v>
      </c>
      <c r="Y9" s="1158">
        <v>40982.77678240741</v>
      </c>
      <c r="Z9" s="1150" t="s">
        <v>635</v>
      </c>
      <c r="AA9" s="1158">
        <v>42853.948275462964</v>
      </c>
      <c r="AB9" s="1138">
        <f t="shared" si="0"/>
        <v>0</v>
      </c>
    </row>
    <row r="10" spans="1:28" x14ac:dyDescent="0.25">
      <c r="A10" s="1159">
        <v>100331</v>
      </c>
      <c r="B10" s="1159" t="s">
        <v>627</v>
      </c>
      <c r="C10" s="1159" t="s">
        <v>639</v>
      </c>
      <c r="D10" s="1160">
        <v>40982</v>
      </c>
      <c r="E10" s="1161">
        <v>26800000</v>
      </c>
      <c r="F10" s="1159" t="s">
        <v>610</v>
      </c>
      <c r="G10" s="1162" t="s">
        <v>611</v>
      </c>
      <c r="H10" s="1163">
        <v>1685</v>
      </c>
      <c r="I10" s="1159" t="s">
        <v>629</v>
      </c>
      <c r="J10" s="1162" t="s">
        <v>14</v>
      </c>
      <c r="K10" s="1159" t="s">
        <v>18</v>
      </c>
      <c r="L10" s="1159" t="s">
        <v>640</v>
      </c>
      <c r="M10" s="1162" t="s">
        <v>630</v>
      </c>
      <c r="N10" s="1162" t="s">
        <v>631</v>
      </c>
      <c r="O10" s="1164">
        <v>70</v>
      </c>
      <c r="P10" s="1164">
        <v>0</v>
      </c>
      <c r="Q10" s="1164">
        <v>5</v>
      </c>
      <c r="R10" s="1159" t="s">
        <v>615</v>
      </c>
      <c r="S10" s="1159" t="s">
        <v>625</v>
      </c>
      <c r="T10" s="1159" t="s">
        <v>633</v>
      </c>
      <c r="U10" s="1165"/>
      <c r="V10" s="1159" t="s">
        <v>633</v>
      </c>
      <c r="W10" s="1165"/>
      <c r="X10" s="1159" t="s">
        <v>634</v>
      </c>
      <c r="Y10" s="1167">
        <v>40982.782222222224</v>
      </c>
      <c r="Z10" s="1159" t="s">
        <v>635</v>
      </c>
      <c r="AA10" s="1167">
        <v>42853.9575462963</v>
      </c>
      <c r="AB10" s="1138">
        <f t="shared" si="0"/>
        <v>0</v>
      </c>
    </row>
    <row r="11" spans="1:28" x14ac:dyDescent="0.25">
      <c r="A11" s="1150">
        <v>100330</v>
      </c>
      <c r="B11" s="1150" t="s">
        <v>627</v>
      </c>
      <c r="C11" s="1150" t="s">
        <v>641</v>
      </c>
      <c r="D11" s="1151">
        <v>40982</v>
      </c>
      <c r="E11" s="1152">
        <v>24210000</v>
      </c>
      <c r="F11" s="1150" t="s">
        <v>610</v>
      </c>
      <c r="G11" s="1153" t="s">
        <v>611</v>
      </c>
      <c r="H11" s="1154">
        <v>1685</v>
      </c>
      <c r="I11" s="1150" t="s">
        <v>629</v>
      </c>
      <c r="J11" s="1153" t="s">
        <v>14</v>
      </c>
      <c r="K11" s="1150" t="s">
        <v>18</v>
      </c>
      <c r="L11" s="1150" t="s">
        <v>640</v>
      </c>
      <c r="M11" s="1153" t="s">
        <v>630</v>
      </c>
      <c r="N11" s="1153" t="s">
        <v>631</v>
      </c>
      <c r="O11" s="1155">
        <v>70</v>
      </c>
      <c r="P11" s="1155">
        <v>0</v>
      </c>
      <c r="Q11" s="1155">
        <v>5</v>
      </c>
      <c r="R11" s="1150" t="s">
        <v>615</v>
      </c>
      <c r="S11" s="1150" t="s">
        <v>625</v>
      </c>
      <c r="T11" s="1150" t="s">
        <v>633</v>
      </c>
      <c r="U11" s="1156"/>
      <c r="V11" s="1150" t="s">
        <v>633</v>
      </c>
      <c r="W11" s="1156"/>
      <c r="X11" s="1150" t="s">
        <v>634</v>
      </c>
      <c r="Y11" s="1158">
        <v>40982.781689814816</v>
      </c>
      <c r="Z11" s="1150" t="s">
        <v>635</v>
      </c>
      <c r="AA11" s="1158">
        <v>42853.956284722226</v>
      </c>
      <c r="AB11" s="1138">
        <f t="shared" si="0"/>
        <v>0</v>
      </c>
    </row>
    <row r="12" spans="1:28" x14ac:dyDescent="0.25">
      <c r="A12" s="1159">
        <v>100327</v>
      </c>
      <c r="B12" s="1159" t="s">
        <v>627</v>
      </c>
      <c r="C12" s="1159" t="s">
        <v>642</v>
      </c>
      <c r="D12" s="1160">
        <v>40982</v>
      </c>
      <c r="E12" s="1161">
        <v>26800000</v>
      </c>
      <c r="F12" s="1159" t="s">
        <v>387</v>
      </c>
      <c r="G12" s="1162" t="s">
        <v>611</v>
      </c>
      <c r="H12" s="1163">
        <v>1999</v>
      </c>
      <c r="I12" s="1159" t="s">
        <v>629</v>
      </c>
      <c r="J12" s="1162" t="s">
        <v>14</v>
      </c>
      <c r="K12" s="1159" t="s">
        <v>18</v>
      </c>
      <c r="L12" s="1159" t="s">
        <v>640</v>
      </c>
      <c r="M12" s="1162" t="s">
        <v>630</v>
      </c>
      <c r="N12" s="1162" t="s">
        <v>631</v>
      </c>
      <c r="O12" s="1164">
        <v>70</v>
      </c>
      <c r="P12" s="1164">
        <v>0</v>
      </c>
      <c r="Q12" s="1164">
        <v>5</v>
      </c>
      <c r="R12" s="1159" t="s">
        <v>643</v>
      </c>
      <c r="S12" s="1159" t="s">
        <v>625</v>
      </c>
      <c r="T12" s="1159" t="s">
        <v>633</v>
      </c>
      <c r="U12" s="1165"/>
      <c r="V12" s="1159" t="s">
        <v>633</v>
      </c>
      <c r="W12" s="1165"/>
      <c r="X12" s="1159" t="s">
        <v>634</v>
      </c>
      <c r="Y12" s="1167">
        <v>40982.777453703704</v>
      </c>
      <c r="Z12" s="1159" t="s">
        <v>635</v>
      </c>
      <c r="AA12" s="1167">
        <v>42853.951111111106</v>
      </c>
      <c r="AB12" s="1138">
        <f t="shared" si="0"/>
        <v>0</v>
      </c>
    </row>
    <row r="13" spans="1:28" x14ac:dyDescent="0.25">
      <c r="A13" s="1150">
        <v>100333</v>
      </c>
      <c r="B13" s="1150" t="s">
        <v>627</v>
      </c>
      <c r="C13" s="1150" t="s">
        <v>644</v>
      </c>
      <c r="D13" s="1151">
        <v>40982</v>
      </c>
      <c r="E13" s="1152">
        <v>24210000</v>
      </c>
      <c r="F13" s="1150" t="s">
        <v>387</v>
      </c>
      <c r="G13" s="1153" t="s">
        <v>611</v>
      </c>
      <c r="H13" s="1154">
        <v>1999</v>
      </c>
      <c r="I13" s="1150" t="s">
        <v>629</v>
      </c>
      <c r="J13" s="1153" t="s">
        <v>14</v>
      </c>
      <c r="K13" s="1150" t="s">
        <v>18</v>
      </c>
      <c r="L13" s="1150" t="s">
        <v>640</v>
      </c>
      <c r="M13" s="1153" t="s">
        <v>630</v>
      </c>
      <c r="N13" s="1153" t="s">
        <v>631</v>
      </c>
      <c r="O13" s="1155">
        <v>70</v>
      </c>
      <c r="P13" s="1155">
        <v>0</v>
      </c>
      <c r="Q13" s="1155">
        <v>5</v>
      </c>
      <c r="R13" s="1150" t="s">
        <v>643</v>
      </c>
      <c r="S13" s="1150" t="s">
        <v>625</v>
      </c>
      <c r="T13" s="1150" t="s">
        <v>633</v>
      </c>
      <c r="U13" s="1156"/>
      <c r="V13" s="1150" t="s">
        <v>633</v>
      </c>
      <c r="W13" s="1156"/>
      <c r="X13" s="1150" t="s">
        <v>634</v>
      </c>
      <c r="Y13" s="1158">
        <v>40982.78493055556</v>
      </c>
      <c r="Z13" s="1150" t="s">
        <v>635</v>
      </c>
      <c r="AA13" s="1158">
        <v>42853.95</v>
      </c>
      <c r="AB13" s="1138">
        <f t="shared" si="0"/>
        <v>0</v>
      </c>
    </row>
    <row r="14" spans="1:28" x14ac:dyDescent="0.25">
      <c r="A14" s="1159">
        <v>110886</v>
      </c>
      <c r="B14" s="1159" t="s">
        <v>645</v>
      </c>
      <c r="C14" s="1159" t="s">
        <v>646</v>
      </c>
      <c r="D14" s="1160">
        <v>43831</v>
      </c>
      <c r="E14" s="1161">
        <v>21440000</v>
      </c>
      <c r="F14" s="1159" t="s">
        <v>387</v>
      </c>
      <c r="G14" s="1162" t="s">
        <v>611</v>
      </c>
      <c r="H14" s="1163">
        <v>1598</v>
      </c>
      <c r="I14" s="1159" t="s">
        <v>612</v>
      </c>
      <c r="J14" s="1162" t="s">
        <v>14</v>
      </c>
      <c r="K14" s="1159" t="s">
        <v>76</v>
      </c>
      <c r="L14" s="1159" t="s">
        <v>645</v>
      </c>
      <c r="M14" s="1162" t="s">
        <v>14</v>
      </c>
      <c r="N14" s="1162" t="s">
        <v>647</v>
      </c>
      <c r="O14" s="1164">
        <v>50</v>
      </c>
      <c r="P14" s="1164">
        <v>0</v>
      </c>
      <c r="Q14" s="1164">
        <v>5</v>
      </c>
      <c r="R14" s="1159" t="s">
        <v>643</v>
      </c>
      <c r="S14" s="1159" t="s">
        <v>648</v>
      </c>
      <c r="T14" s="1159" t="s">
        <v>649</v>
      </c>
      <c r="U14" s="1166">
        <v>100800</v>
      </c>
      <c r="V14" s="1159" t="s">
        <v>649</v>
      </c>
      <c r="W14" s="1166">
        <v>100800</v>
      </c>
      <c r="X14" s="1159" t="s">
        <v>618</v>
      </c>
      <c r="Y14" s="1167">
        <v>43833.500868055555</v>
      </c>
      <c r="Z14" s="1159" t="s">
        <v>618</v>
      </c>
      <c r="AA14" s="1167">
        <v>43897.134108796294</v>
      </c>
      <c r="AB14" s="1138">
        <f t="shared" si="0"/>
        <v>201600</v>
      </c>
    </row>
    <row r="15" spans="1:28" x14ac:dyDescent="0.25">
      <c r="A15" s="1150">
        <v>110884</v>
      </c>
      <c r="B15" s="1150" t="s">
        <v>645</v>
      </c>
      <c r="C15" s="1150" t="s">
        <v>650</v>
      </c>
      <c r="D15" s="1151">
        <v>43831</v>
      </c>
      <c r="E15" s="1152">
        <v>17520000</v>
      </c>
      <c r="F15" s="1150" t="s">
        <v>387</v>
      </c>
      <c r="G15" s="1153" t="s">
        <v>611</v>
      </c>
      <c r="H15" s="1154">
        <v>1598</v>
      </c>
      <c r="I15" s="1150" t="s">
        <v>612</v>
      </c>
      <c r="J15" s="1153" t="s">
        <v>14</v>
      </c>
      <c r="K15" s="1150" t="s">
        <v>76</v>
      </c>
      <c r="L15" s="1150" t="s">
        <v>645</v>
      </c>
      <c r="M15" s="1153" t="s">
        <v>14</v>
      </c>
      <c r="N15" s="1153" t="s">
        <v>647</v>
      </c>
      <c r="O15" s="1155">
        <v>50</v>
      </c>
      <c r="P15" s="1155">
        <v>0</v>
      </c>
      <c r="Q15" s="1155">
        <v>5</v>
      </c>
      <c r="R15" s="1150" t="s">
        <v>643</v>
      </c>
      <c r="S15" s="1150" t="s">
        <v>648</v>
      </c>
      <c r="T15" s="1150" t="s">
        <v>651</v>
      </c>
      <c r="U15" s="1157">
        <v>90800</v>
      </c>
      <c r="V15" s="1150" t="s">
        <v>651</v>
      </c>
      <c r="W15" s="1157">
        <v>90800</v>
      </c>
      <c r="X15" s="1150" t="s">
        <v>618</v>
      </c>
      <c r="Y15" s="1158">
        <v>43833.49793981481</v>
      </c>
      <c r="Z15" s="1150" t="s">
        <v>618</v>
      </c>
      <c r="AA15" s="1158">
        <v>43897.13380787037</v>
      </c>
      <c r="AB15" s="1138">
        <f t="shared" si="0"/>
        <v>181600</v>
      </c>
    </row>
    <row r="16" spans="1:28" x14ac:dyDescent="0.25">
      <c r="A16" s="1159">
        <v>110891</v>
      </c>
      <c r="B16" s="1159" t="s">
        <v>645</v>
      </c>
      <c r="C16" s="1159" t="s">
        <v>652</v>
      </c>
      <c r="D16" s="1160">
        <v>43831</v>
      </c>
      <c r="E16" s="1161">
        <v>21160000</v>
      </c>
      <c r="F16" s="1159" t="s">
        <v>387</v>
      </c>
      <c r="G16" s="1162" t="s">
        <v>611</v>
      </c>
      <c r="H16" s="1163">
        <v>1591</v>
      </c>
      <c r="I16" s="1159" t="s">
        <v>612</v>
      </c>
      <c r="J16" s="1162" t="s">
        <v>14</v>
      </c>
      <c r="K16" s="1159" t="s">
        <v>76</v>
      </c>
      <c r="L16" s="1159" t="s">
        <v>645</v>
      </c>
      <c r="M16" s="1162" t="s">
        <v>14</v>
      </c>
      <c r="N16" s="1162" t="s">
        <v>647</v>
      </c>
      <c r="O16" s="1164">
        <v>50</v>
      </c>
      <c r="P16" s="1164">
        <v>0</v>
      </c>
      <c r="Q16" s="1164">
        <v>5</v>
      </c>
      <c r="R16" s="1159" t="s">
        <v>643</v>
      </c>
      <c r="S16" s="1159" t="s">
        <v>648</v>
      </c>
      <c r="T16" s="1159" t="s">
        <v>626</v>
      </c>
      <c r="U16" s="1166">
        <v>150000</v>
      </c>
      <c r="V16" s="1159" t="s">
        <v>626</v>
      </c>
      <c r="W16" s="1166">
        <v>150000</v>
      </c>
      <c r="X16" s="1159" t="s">
        <v>618</v>
      </c>
      <c r="Y16" s="1167">
        <v>43833.588472222225</v>
      </c>
      <c r="Z16" s="1159" t="s">
        <v>618</v>
      </c>
      <c r="AA16" s="1167">
        <v>43897.13087962963</v>
      </c>
      <c r="AB16" s="1138">
        <f t="shared" si="0"/>
        <v>300000</v>
      </c>
    </row>
    <row r="17" spans="1:28" x14ac:dyDescent="0.25">
      <c r="A17" s="1150">
        <v>110892</v>
      </c>
      <c r="B17" s="1150" t="s">
        <v>645</v>
      </c>
      <c r="C17" s="1150" t="s">
        <v>653</v>
      </c>
      <c r="D17" s="1151">
        <v>43831</v>
      </c>
      <c r="E17" s="1152">
        <v>21680000</v>
      </c>
      <c r="F17" s="1150" t="s">
        <v>387</v>
      </c>
      <c r="G17" s="1153" t="s">
        <v>611</v>
      </c>
      <c r="H17" s="1154">
        <v>1591</v>
      </c>
      <c r="I17" s="1150" t="s">
        <v>612</v>
      </c>
      <c r="J17" s="1153" t="s">
        <v>14</v>
      </c>
      <c r="K17" s="1150" t="s">
        <v>76</v>
      </c>
      <c r="L17" s="1150" t="s">
        <v>645</v>
      </c>
      <c r="M17" s="1153" t="s">
        <v>14</v>
      </c>
      <c r="N17" s="1153" t="s">
        <v>647</v>
      </c>
      <c r="O17" s="1155">
        <v>50</v>
      </c>
      <c r="P17" s="1155">
        <v>0</v>
      </c>
      <c r="Q17" s="1155">
        <v>5</v>
      </c>
      <c r="R17" s="1150" t="s">
        <v>643</v>
      </c>
      <c r="S17" s="1150" t="s">
        <v>648</v>
      </c>
      <c r="T17" s="1150" t="s">
        <v>626</v>
      </c>
      <c r="U17" s="1157">
        <v>150000</v>
      </c>
      <c r="V17" s="1150" t="s">
        <v>626</v>
      </c>
      <c r="W17" s="1157">
        <v>150000</v>
      </c>
      <c r="X17" s="1150" t="s">
        <v>618</v>
      </c>
      <c r="Y17" s="1158">
        <v>43833.604675925926</v>
      </c>
      <c r="Z17" s="1150" t="s">
        <v>618</v>
      </c>
      <c r="AA17" s="1158">
        <v>43897.131157407406</v>
      </c>
      <c r="AB17" s="1138">
        <f t="shared" si="0"/>
        <v>300000</v>
      </c>
    </row>
    <row r="18" spans="1:28" x14ac:dyDescent="0.25">
      <c r="A18" s="1159">
        <v>110893</v>
      </c>
      <c r="B18" s="1159" t="s">
        <v>645</v>
      </c>
      <c r="C18" s="1159" t="s">
        <v>654</v>
      </c>
      <c r="D18" s="1160">
        <v>43831</v>
      </c>
      <c r="E18" s="1161">
        <v>23640000</v>
      </c>
      <c r="F18" s="1159" t="s">
        <v>387</v>
      </c>
      <c r="G18" s="1162" t="s">
        <v>611</v>
      </c>
      <c r="H18" s="1163">
        <v>1591</v>
      </c>
      <c r="I18" s="1159" t="s">
        <v>612</v>
      </c>
      <c r="J18" s="1162" t="s">
        <v>14</v>
      </c>
      <c r="K18" s="1159" t="s">
        <v>76</v>
      </c>
      <c r="L18" s="1159" t="s">
        <v>645</v>
      </c>
      <c r="M18" s="1162" t="s">
        <v>14</v>
      </c>
      <c r="N18" s="1162" t="s">
        <v>647</v>
      </c>
      <c r="O18" s="1164">
        <v>50</v>
      </c>
      <c r="P18" s="1164">
        <v>0</v>
      </c>
      <c r="Q18" s="1164">
        <v>5</v>
      </c>
      <c r="R18" s="1159" t="s">
        <v>643</v>
      </c>
      <c r="S18" s="1159" t="s">
        <v>648</v>
      </c>
      <c r="T18" s="1159" t="s">
        <v>626</v>
      </c>
      <c r="U18" s="1166">
        <v>150000</v>
      </c>
      <c r="V18" s="1159" t="s">
        <v>626</v>
      </c>
      <c r="W18" s="1166">
        <v>150000</v>
      </c>
      <c r="X18" s="1159" t="s">
        <v>618</v>
      </c>
      <c r="Y18" s="1167">
        <v>43833.605578703704</v>
      </c>
      <c r="Z18" s="1159" t="s">
        <v>618</v>
      </c>
      <c r="AA18" s="1167">
        <v>43897.131365740745</v>
      </c>
      <c r="AB18" s="1138">
        <f t="shared" si="0"/>
        <v>300000</v>
      </c>
    </row>
    <row r="19" spans="1:28" x14ac:dyDescent="0.25">
      <c r="A19" s="1150">
        <v>110894</v>
      </c>
      <c r="B19" s="1150" t="s">
        <v>645</v>
      </c>
      <c r="C19" s="1150" t="s">
        <v>655</v>
      </c>
      <c r="D19" s="1151">
        <v>43831</v>
      </c>
      <c r="E19" s="1152">
        <v>24030000</v>
      </c>
      <c r="F19" s="1150" t="s">
        <v>387</v>
      </c>
      <c r="G19" s="1153" t="s">
        <v>611</v>
      </c>
      <c r="H19" s="1154">
        <v>1591</v>
      </c>
      <c r="I19" s="1150" t="s">
        <v>612</v>
      </c>
      <c r="J19" s="1153" t="s">
        <v>14</v>
      </c>
      <c r="K19" s="1150" t="s">
        <v>76</v>
      </c>
      <c r="L19" s="1150" t="s">
        <v>645</v>
      </c>
      <c r="M19" s="1153" t="s">
        <v>14</v>
      </c>
      <c r="N19" s="1153" t="s">
        <v>647</v>
      </c>
      <c r="O19" s="1155">
        <v>50</v>
      </c>
      <c r="P19" s="1155">
        <v>0</v>
      </c>
      <c r="Q19" s="1155">
        <v>5</v>
      </c>
      <c r="R19" s="1150" t="s">
        <v>643</v>
      </c>
      <c r="S19" s="1150" t="s">
        <v>648</v>
      </c>
      <c r="T19" s="1150" t="s">
        <v>626</v>
      </c>
      <c r="U19" s="1157">
        <v>150000</v>
      </c>
      <c r="V19" s="1150" t="s">
        <v>626</v>
      </c>
      <c r="W19" s="1157">
        <v>150000</v>
      </c>
      <c r="X19" s="1150" t="s">
        <v>618</v>
      </c>
      <c r="Y19" s="1158">
        <v>43833.60605324074</v>
      </c>
      <c r="Z19" s="1150" t="s">
        <v>618</v>
      </c>
      <c r="AA19" s="1158">
        <v>43897.13155092593</v>
      </c>
      <c r="AB19" s="1138">
        <f t="shared" si="0"/>
        <v>300000</v>
      </c>
    </row>
    <row r="20" spans="1:28" x14ac:dyDescent="0.25">
      <c r="A20" s="1159">
        <v>110883</v>
      </c>
      <c r="B20" s="1159" t="s">
        <v>645</v>
      </c>
      <c r="C20" s="1159" t="s">
        <v>656</v>
      </c>
      <c r="D20" s="1160">
        <v>43831</v>
      </c>
      <c r="E20" s="1161">
        <v>15420000</v>
      </c>
      <c r="F20" s="1159" t="s">
        <v>387</v>
      </c>
      <c r="G20" s="1162" t="s">
        <v>611</v>
      </c>
      <c r="H20" s="1163">
        <v>1598</v>
      </c>
      <c r="I20" s="1159" t="s">
        <v>612</v>
      </c>
      <c r="J20" s="1162" t="s">
        <v>14</v>
      </c>
      <c r="K20" s="1159" t="s">
        <v>76</v>
      </c>
      <c r="L20" s="1159" t="s">
        <v>645</v>
      </c>
      <c r="M20" s="1162" t="s">
        <v>14</v>
      </c>
      <c r="N20" s="1162" t="s">
        <v>647</v>
      </c>
      <c r="O20" s="1164">
        <v>50</v>
      </c>
      <c r="P20" s="1164">
        <v>0</v>
      </c>
      <c r="Q20" s="1164">
        <v>5</v>
      </c>
      <c r="R20" s="1159" t="s">
        <v>643</v>
      </c>
      <c r="S20" s="1159" t="s">
        <v>648</v>
      </c>
      <c r="T20" s="1159" t="s">
        <v>651</v>
      </c>
      <c r="U20" s="1166">
        <v>90800</v>
      </c>
      <c r="V20" s="1159" t="s">
        <v>651</v>
      </c>
      <c r="W20" s="1166">
        <v>90800</v>
      </c>
      <c r="X20" s="1159" t="s">
        <v>618</v>
      </c>
      <c r="Y20" s="1167">
        <v>43833.48488425926</v>
      </c>
      <c r="Z20" s="1159" t="s">
        <v>618</v>
      </c>
      <c r="AA20" s="1167">
        <v>43897.133622685185</v>
      </c>
      <c r="AB20" s="1138">
        <f t="shared" si="0"/>
        <v>181600</v>
      </c>
    </row>
    <row r="21" spans="1:28" x14ac:dyDescent="0.25">
      <c r="A21" s="1150">
        <v>110885</v>
      </c>
      <c r="B21" s="1150" t="s">
        <v>645</v>
      </c>
      <c r="C21" s="1150" t="s">
        <v>657</v>
      </c>
      <c r="D21" s="1151">
        <v>43831</v>
      </c>
      <c r="E21" s="1152">
        <v>19620000</v>
      </c>
      <c r="F21" s="1150" t="s">
        <v>387</v>
      </c>
      <c r="G21" s="1153" t="s">
        <v>611</v>
      </c>
      <c r="H21" s="1154">
        <v>1598</v>
      </c>
      <c r="I21" s="1150" t="s">
        <v>612</v>
      </c>
      <c r="J21" s="1153" t="s">
        <v>14</v>
      </c>
      <c r="K21" s="1150" t="s">
        <v>76</v>
      </c>
      <c r="L21" s="1150" t="s">
        <v>645</v>
      </c>
      <c r="M21" s="1153" t="s">
        <v>14</v>
      </c>
      <c r="N21" s="1153" t="s">
        <v>647</v>
      </c>
      <c r="O21" s="1155">
        <v>50</v>
      </c>
      <c r="P21" s="1155">
        <v>0</v>
      </c>
      <c r="Q21" s="1155">
        <v>5</v>
      </c>
      <c r="R21" s="1150" t="s">
        <v>643</v>
      </c>
      <c r="S21" s="1150" t="s">
        <v>648</v>
      </c>
      <c r="T21" s="1150" t="s">
        <v>649</v>
      </c>
      <c r="U21" s="1157">
        <v>100800</v>
      </c>
      <c r="V21" s="1150" t="s">
        <v>649</v>
      </c>
      <c r="W21" s="1157">
        <v>100800</v>
      </c>
      <c r="X21" s="1150" t="s">
        <v>618</v>
      </c>
      <c r="Y21" s="1158">
        <v>43833.49940972222</v>
      </c>
      <c r="Z21" s="1150" t="s">
        <v>618</v>
      </c>
      <c r="AA21" s="1158">
        <v>43897.13395833333</v>
      </c>
      <c r="AB21" s="1138">
        <f t="shared" si="0"/>
        <v>201600</v>
      </c>
    </row>
    <row r="22" spans="1:28" x14ac:dyDescent="0.25">
      <c r="A22" s="1159">
        <v>110203</v>
      </c>
      <c r="B22" s="1159" t="s">
        <v>658</v>
      </c>
      <c r="C22" s="1159" t="s">
        <v>659</v>
      </c>
      <c r="D22" s="1160">
        <v>43538</v>
      </c>
      <c r="E22" s="1161">
        <v>28290000</v>
      </c>
      <c r="F22" s="1159" t="s">
        <v>387</v>
      </c>
      <c r="G22" s="1162" t="s">
        <v>611</v>
      </c>
      <c r="H22" s="1163">
        <v>1591</v>
      </c>
      <c r="I22" s="1159" t="s">
        <v>612</v>
      </c>
      <c r="J22" s="1162" t="s">
        <v>14</v>
      </c>
      <c r="K22" s="1159" t="s">
        <v>76</v>
      </c>
      <c r="L22" s="1159" t="s">
        <v>660</v>
      </c>
      <c r="M22" s="1162" t="s">
        <v>14</v>
      </c>
      <c r="N22" s="1162" t="s">
        <v>661</v>
      </c>
      <c r="O22" s="1164">
        <v>70</v>
      </c>
      <c r="P22" s="1164">
        <v>0</v>
      </c>
      <c r="Q22" s="1164">
        <v>5</v>
      </c>
      <c r="R22" s="1159" t="s">
        <v>662</v>
      </c>
      <c r="S22" s="1159" t="s">
        <v>648</v>
      </c>
      <c r="T22" s="1159" t="s">
        <v>663</v>
      </c>
      <c r="U22" s="1166">
        <v>174000</v>
      </c>
      <c r="V22" s="1159" t="s">
        <v>663</v>
      </c>
      <c r="W22" s="1166">
        <v>174000</v>
      </c>
      <c r="X22" s="1159" t="s">
        <v>664</v>
      </c>
      <c r="Y22" s="1167">
        <v>43538.840578703705</v>
      </c>
      <c r="Z22" s="1159" t="s">
        <v>618</v>
      </c>
      <c r="AA22" s="1167">
        <v>43897.10141203704</v>
      </c>
      <c r="AB22" s="1138">
        <f t="shared" si="0"/>
        <v>348000</v>
      </c>
    </row>
    <row r="23" spans="1:28" x14ac:dyDescent="0.25">
      <c r="A23" s="1150">
        <v>110849</v>
      </c>
      <c r="B23" s="1150" t="s">
        <v>658</v>
      </c>
      <c r="C23" s="1150" t="s">
        <v>665</v>
      </c>
      <c r="D23" s="1151">
        <v>43811</v>
      </c>
      <c r="E23" s="1152">
        <v>30630000</v>
      </c>
      <c r="F23" s="1150" t="s">
        <v>387</v>
      </c>
      <c r="G23" s="1153" t="s">
        <v>611</v>
      </c>
      <c r="H23" s="1154">
        <v>1591</v>
      </c>
      <c r="I23" s="1150" t="s">
        <v>612</v>
      </c>
      <c r="J23" s="1153" t="s">
        <v>14</v>
      </c>
      <c r="K23" s="1150" t="s">
        <v>76</v>
      </c>
      <c r="L23" s="1150" t="s">
        <v>660</v>
      </c>
      <c r="M23" s="1153" t="s">
        <v>14</v>
      </c>
      <c r="N23" s="1153" t="s">
        <v>661</v>
      </c>
      <c r="O23" s="1155">
        <v>70</v>
      </c>
      <c r="P23" s="1155">
        <v>0</v>
      </c>
      <c r="Q23" s="1155">
        <v>5</v>
      </c>
      <c r="R23" s="1150" t="s">
        <v>662</v>
      </c>
      <c r="S23" s="1150" t="s">
        <v>648</v>
      </c>
      <c r="T23" s="1150" t="s">
        <v>663</v>
      </c>
      <c r="U23" s="1157">
        <v>174000</v>
      </c>
      <c r="V23" s="1150" t="s">
        <v>663</v>
      </c>
      <c r="W23" s="1157">
        <v>174000</v>
      </c>
      <c r="X23" s="1150" t="s">
        <v>618</v>
      </c>
      <c r="Y23" s="1158">
        <v>43811.934340277774</v>
      </c>
      <c r="Z23" s="1150" t="s">
        <v>618</v>
      </c>
      <c r="AA23" s="1158">
        <v>43897.101631944446</v>
      </c>
      <c r="AB23" s="1138">
        <f t="shared" si="0"/>
        <v>348000</v>
      </c>
    </row>
    <row r="24" spans="1:28" x14ac:dyDescent="0.25">
      <c r="A24" s="1159">
        <v>110848</v>
      </c>
      <c r="B24" s="1159" t="s">
        <v>658</v>
      </c>
      <c r="C24" s="1159" t="s">
        <v>666</v>
      </c>
      <c r="D24" s="1160">
        <v>43811</v>
      </c>
      <c r="E24" s="1161">
        <v>23690000</v>
      </c>
      <c r="F24" s="1159" t="s">
        <v>387</v>
      </c>
      <c r="G24" s="1162" t="s">
        <v>611</v>
      </c>
      <c r="H24" s="1163">
        <v>1591</v>
      </c>
      <c r="I24" s="1159" t="s">
        <v>612</v>
      </c>
      <c r="J24" s="1162" t="s">
        <v>14</v>
      </c>
      <c r="K24" s="1159" t="s">
        <v>76</v>
      </c>
      <c r="L24" s="1159" t="s">
        <v>660</v>
      </c>
      <c r="M24" s="1162" t="s">
        <v>14</v>
      </c>
      <c r="N24" s="1162" t="s">
        <v>661</v>
      </c>
      <c r="O24" s="1164">
        <v>70</v>
      </c>
      <c r="P24" s="1164">
        <v>0</v>
      </c>
      <c r="Q24" s="1164">
        <v>5</v>
      </c>
      <c r="R24" s="1159" t="s">
        <v>662</v>
      </c>
      <c r="S24" s="1159" t="s">
        <v>648</v>
      </c>
      <c r="T24" s="1159" t="s">
        <v>667</v>
      </c>
      <c r="U24" s="1166">
        <v>131000</v>
      </c>
      <c r="V24" s="1159" t="s">
        <v>667</v>
      </c>
      <c r="W24" s="1166">
        <v>131000</v>
      </c>
      <c r="X24" s="1159" t="s">
        <v>618</v>
      </c>
      <c r="Y24" s="1167">
        <v>43811.89586805555</v>
      </c>
      <c r="Z24" s="1159" t="s">
        <v>618</v>
      </c>
      <c r="AA24" s="1167">
        <v>43897.101064814815</v>
      </c>
      <c r="AB24" s="1138">
        <f t="shared" si="0"/>
        <v>262000</v>
      </c>
    </row>
    <row r="25" spans="1:28" x14ac:dyDescent="0.25">
      <c r="A25" s="1150">
        <v>110202</v>
      </c>
      <c r="B25" s="1150" t="s">
        <v>658</v>
      </c>
      <c r="C25" s="1150" t="s">
        <v>668</v>
      </c>
      <c r="D25" s="1151">
        <v>43538</v>
      </c>
      <c r="E25" s="1152">
        <v>26420000</v>
      </c>
      <c r="F25" s="1150" t="s">
        <v>387</v>
      </c>
      <c r="G25" s="1153" t="s">
        <v>611</v>
      </c>
      <c r="H25" s="1154">
        <v>1591</v>
      </c>
      <c r="I25" s="1150" t="s">
        <v>612</v>
      </c>
      <c r="J25" s="1153" t="s">
        <v>14</v>
      </c>
      <c r="K25" s="1150" t="s">
        <v>76</v>
      </c>
      <c r="L25" s="1150" t="s">
        <v>660</v>
      </c>
      <c r="M25" s="1153" t="s">
        <v>14</v>
      </c>
      <c r="N25" s="1153" t="s">
        <v>661</v>
      </c>
      <c r="O25" s="1155">
        <v>70</v>
      </c>
      <c r="P25" s="1155">
        <v>0</v>
      </c>
      <c r="Q25" s="1155">
        <v>5</v>
      </c>
      <c r="R25" s="1150" t="s">
        <v>662</v>
      </c>
      <c r="S25" s="1150" t="s">
        <v>648</v>
      </c>
      <c r="T25" s="1150" t="s">
        <v>663</v>
      </c>
      <c r="U25" s="1157">
        <v>174000</v>
      </c>
      <c r="V25" s="1150" t="s">
        <v>663</v>
      </c>
      <c r="W25" s="1157">
        <v>174000</v>
      </c>
      <c r="X25" s="1150" t="s">
        <v>664</v>
      </c>
      <c r="Y25" s="1158">
        <v>43538.83826388889</v>
      </c>
      <c r="Z25" s="1150" t="s">
        <v>618</v>
      </c>
      <c r="AA25" s="1158">
        <v>43897.10122685185</v>
      </c>
      <c r="AB25" s="1138">
        <f t="shared" si="0"/>
        <v>348000</v>
      </c>
    </row>
    <row r="26" spans="1:28" x14ac:dyDescent="0.25">
      <c r="A26" s="1159">
        <v>110879</v>
      </c>
      <c r="B26" s="1159" t="s">
        <v>658</v>
      </c>
      <c r="C26" s="1159" t="s">
        <v>669</v>
      </c>
      <c r="D26" s="1160">
        <v>43831</v>
      </c>
      <c r="E26" s="1161">
        <v>28290000</v>
      </c>
      <c r="F26" s="1159" t="s">
        <v>404</v>
      </c>
      <c r="G26" s="1162" t="s">
        <v>611</v>
      </c>
      <c r="H26" s="1163">
        <v>1999</v>
      </c>
      <c r="I26" s="1159" t="s">
        <v>612</v>
      </c>
      <c r="J26" s="1162" t="s">
        <v>14</v>
      </c>
      <c r="K26" s="1159" t="s">
        <v>76</v>
      </c>
      <c r="L26" s="1159" t="s">
        <v>660</v>
      </c>
      <c r="M26" s="1162" t="s">
        <v>14</v>
      </c>
      <c r="N26" s="1162" t="s">
        <v>631</v>
      </c>
      <c r="O26" s="1164">
        <v>80</v>
      </c>
      <c r="P26" s="1164">
        <v>0</v>
      </c>
      <c r="Q26" s="1164">
        <v>5</v>
      </c>
      <c r="R26" s="1159" t="s">
        <v>643</v>
      </c>
      <c r="S26" s="1159" t="s">
        <v>648</v>
      </c>
      <c r="T26" s="1159" t="s">
        <v>667</v>
      </c>
      <c r="U26" s="1166">
        <v>131000</v>
      </c>
      <c r="V26" s="1159" t="s">
        <v>667</v>
      </c>
      <c r="W26" s="1166">
        <v>131000</v>
      </c>
      <c r="X26" s="1159" t="s">
        <v>618</v>
      </c>
      <c r="Y26" s="1167">
        <v>43833.455925925926</v>
      </c>
      <c r="Z26" s="1159" t="s">
        <v>618</v>
      </c>
      <c r="AA26" s="1167">
        <v>43897.10637731482</v>
      </c>
      <c r="AB26" s="1138">
        <f t="shared" si="0"/>
        <v>262000</v>
      </c>
    </row>
    <row r="27" spans="1:28" x14ac:dyDescent="0.25">
      <c r="A27" s="1150">
        <v>110880</v>
      </c>
      <c r="B27" s="1150" t="s">
        <v>658</v>
      </c>
      <c r="C27" s="1150" t="s">
        <v>670</v>
      </c>
      <c r="D27" s="1151">
        <v>43831</v>
      </c>
      <c r="E27" s="1152">
        <v>29820000</v>
      </c>
      <c r="F27" s="1150" t="s">
        <v>404</v>
      </c>
      <c r="G27" s="1153" t="s">
        <v>611</v>
      </c>
      <c r="H27" s="1154">
        <v>1999</v>
      </c>
      <c r="I27" s="1150" t="s">
        <v>612</v>
      </c>
      <c r="J27" s="1153" t="s">
        <v>14</v>
      </c>
      <c r="K27" s="1150" t="s">
        <v>76</v>
      </c>
      <c r="L27" s="1150" t="s">
        <v>660</v>
      </c>
      <c r="M27" s="1153" t="s">
        <v>14</v>
      </c>
      <c r="N27" s="1153" t="s">
        <v>631</v>
      </c>
      <c r="O27" s="1155">
        <v>80</v>
      </c>
      <c r="P27" s="1155">
        <v>0</v>
      </c>
      <c r="Q27" s="1155">
        <v>5</v>
      </c>
      <c r="R27" s="1150" t="s">
        <v>643</v>
      </c>
      <c r="S27" s="1150" t="s">
        <v>648</v>
      </c>
      <c r="T27" s="1150" t="s">
        <v>663</v>
      </c>
      <c r="U27" s="1157">
        <v>174000</v>
      </c>
      <c r="V27" s="1150" t="s">
        <v>663</v>
      </c>
      <c r="W27" s="1157">
        <v>174000</v>
      </c>
      <c r="X27" s="1150" t="s">
        <v>618</v>
      </c>
      <c r="Y27" s="1158">
        <v>43833.45679398148</v>
      </c>
      <c r="Z27" s="1150" t="s">
        <v>618</v>
      </c>
      <c r="AA27" s="1158">
        <v>43897.10655092592</v>
      </c>
      <c r="AB27" s="1138">
        <f t="shared" si="0"/>
        <v>348000</v>
      </c>
    </row>
    <row r="28" spans="1:28" x14ac:dyDescent="0.25">
      <c r="A28" s="1159">
        <v>110878</v>
      </c>
      <c r="B28" s="1159" t="s">
        <v>658</v>
      </c>
      <c r="C28" s="1159" t="s">
        <v>671</v>
      </c>
      <c r="D28" s="1160">
        <v>43831</v>
      </c>
      <c r="E28" s="1161">
        <v>25700000</v>
      </c>
      <c r="F28" s="1159" t="s">
        <v>404</v>
      </c>
      <c r="G28" s="1162" t="s">
        <v>611</v>
      </c>
      <c r="H28" s="1163">
        <v>1999</v>
      </c>
      <c r="I28" s="1159" t="s">
        <v>612</v>
      </c>
      <c r="J28" s="1162" t="s">
        <v>14</v>
      </c>
      <c r="K28" s="1159" t="s">
        <v>76</v>
      </c>
      <c r="L28" s="1159" t="s">
        <v>660</v>
      </c>
      <c r="M28" s="1162" t="s">
        <v>14</v>
      </c>
      <c r="N28" s="1162" t="s">
        <v>631</v>
      </c>
      <c r="O28" s="1164">
        <v>80</v>
      </c>
      <c r="P28" s="1164">
        <v>0</v>
      </c>
      <c r="Q28" s="1164">
        <v>5</v>
      </c>
      <c r="R28" s="1159" t="s">
        <v>643</v>
      </c>
      <c r="S28" s="1159" t="s">
        <v>648</v>
      </c>
      <c r="T28" s="1159" t="s">
        <v>667</v>
      </c>
      <c r="U28" s="1166">
        <v>131000</v>
      </c>
      <c r="V28" s="1159" t="s">
        <v>667</v>
      </c>
      <c r="W28" s="1166">
        <v>131000</v>
      </c>
      <c r="X28" s="1159" t="s">
        <v>618</v>
      </c>
      <c r="Y28" s="1167">
        <v>43833.448229166665</v>
      </c>
      <c r="Z28" s="1159" t="s">
        <v>618</v>
      </c>
      <c r="AA28" s="1167">
        <v>43897.106192129635</v>
      </c>
      <c r="AB28" s="1138">
        <f t="shared" si="0"/>
        <v>262000</v>
      </c>
    </row>
    <row r="29" spans="1:28" x14ac:dyDescent="0.25">
      <c r="A29" s="1150">
        <v>110187</v>
      </c>
      <c r="B29" s="1150" t="s">
        <v>658</v>
      </c>
      <c r="C29" s="1150" t="s">
        <v>672</v>
      </c>
      <c r="D29" s="1151">
        <v>43538</v>
      </c>
      <c r="E29" s="1152">
        <v>27140000</v>
      </c>
      <c r="F29" s="1150" t="s">
        <v>387</v>
      </c>
      <c r="G29" s="1153" t="s">
        <v>611</v>
      </c>
      <c r="H29" s="1154">
        <v>1999</v>
      </c>
      <c r="I29" s="1150" t="s">
        <v>612</v>
      </c>
      <c r="J29" s="1153" t="s">
        <v>14</v>
      </c>
      <c r="K29" s="1150" t="s">
        <v>76</v>
      </c>
      <c r="L29" s="1150" t="s">
        <v>660</v>
      </c>
      <c r="M29" s="1153" t="s">
        <v>14</v>
      </c>
      <c r="N29" s="1153" t="s">
        <v>661</v>
      </c>
      <c r="O29" s="1155">
        <v>70</v>
      </c>
      <c r="P29" s="1155">
        <v>0</v>
      </c>
      <c r="Q29" s="1155">
        <v>5</v>
      </c>
      <c r="R29" s="1150" t="s">
        <v>662</v>
      </c>
      <c r="S29" s="1150" t="s">
        <v>648</v>
      </c>
      <c r="T29" s="1150" t="s">
        <v>667</v>
      </c>
      <c r="U29" s="1157">
        <v>131000</v>
      </c>
      <c r="V29" s="1150" t="s">
        <v>667</v>
      </c>
      <c r="W29" s="1157">
        <v>131000</v>
      </c>
      <c r="X29" s="1150" t="s">
        <v>664</v>
      </c>
      <c r="Y29" s="1158">
        <v>43538.784791666665</v>
      </c>
      <c r="Z29" s="1150" t="s">
        <v>618</v>
      </c>
      <c r="AA29" s="1158">
        <v>43897.09019675926</v>
      </c>
      <c r="AB29" s="1138">
        <f t="shared" si="0"/>
        <v>262000</v>
      </c>
    </row>
    <row r="30" spans="1:28" x14ac:dyDescent="0.25">
      <c r="A30" s="1159">
        <v>110842</v>
      </c>
      <c r="B30" s="1159" t="s">
        <v>658</v>
      </c>
      <c r="C30" s="1159" t="s">
        <v>673</v>
      </c>
      <c r="D30" s="1160">
        <v>43811</v>
      </c>
      <c r="E30" s="1161">
        <v>29870000</v>
      </c>
      <c r="F30" s="1159" t="s">
        <v>387</v>
      </c>
      <c r="G30" s="1162" t="s">
        <v>611</v>
      </c>
      <c r="H30" s="1163">
        <v>1999</v>
      </c>
      <c r="I30" s="1159" t="s">
        <v>612</v>
      </c>
      <c r="J30" s="1162" t="s">
        <v>14</v>
      </c>
      <c r="K30" s="1159" t="s">
        <v>76</v>
      </c>
      <c r="L30" s="1159" t="s">
        <v>660</v>
      </c>
      <c r="M30" s="1162" t="s">
        <v>14</v>
      </c>
      <c r="N30" s="1162" t="s">
        <v>661</v>
      </c>
      <c r="O30" s="1164">
        <v>70</v>
      </c>
      <c r="P30" s="1164">
        <v>0</v>
      </c>
      <c r="Q30" s="1164">
        <v>5</v>
      </c>
      <c r="R30" s="1159" t="s">
        <v>662</v>
      </c>
      <c r="S30" s="1159" t="s">
        <v>648</v>
      </c>
      <c r="T30" s="1159" t="s">
        <v>663</v>
      </c>
      <c r="U30" s="1166">
        <v>174000</v>
      </c>
      <c r="V30" s="1159" t="s">
        <v>663</v>
      </c>
      <c r="W30" s="1166">
        <v>174000</v>
      </c>
      <c r="X30" s="1159" t="s">
        <v>674</v>
      </c>
      <c r="Y30" s="1167">
        <v>43811.68582175926</v>
      </c>
      <c r="Z30" s="1159" t="s">
        <v>618</v>
      </c>
      <c r="AA30" s="1167">
        <v>43897.09053240741</v>
      </c>
      <c r="AB30" s="1138">
        <f t="shared" si="0"/>
        <v>348000</v>
      </c>
    </row>
    <row r="31" spans="1:28" x14ac:dyDescent="0.25">
      <c r="A31" s="1150">
        <v>110841</v>
      </c>
      <c r="B31" s="1150" t="s">
        <v>658</v>
      </c>
      <c r="C31" s="1150" t="s">
        <v>675</v>
      </c>
      <c r="D31" s="1151">
        <v>43811</v>
      </c>
      <c r="E31" s="1152">
        <v>22930000</v>
      </c>
      <c r="F31" s="1150" t="s">
        <v>387</v>
      </c>
      <c r="G31" s="1153" t="s">
        <v>611</v>
      </c>
      <c r="H31" s="1154">
        <v>1999</v>
      </c>
      <c r="I31" s="1150" t="s">
        <v>612</v>
      </c>
      <c r="J31" s="1153" t="s">
        <v>14</v>
      </c>
      <c r="K31" s="1150" t="s">
        <v>76</v>
      </c>
      <c r="L31" s="1150" t="s">
        <v>660</v>
      </c>
      <c r="M31" s="1153" t="s">
        <v>14</v>
      </c>
      <c r="N31" s="1153" t="s">
        <v>661</v>
      </c>
      <c r="O31" s="1155">
        <v>70</v>
      </c>
      <c r="P31" s="1155">
        <v>0</v>
      </c>
      <c r="Q31" s="1155">
        <v>5</v>
      </c>
      <c r="R31" s="1150" t="s">
        <v>662</v>
      </c>
      <c r="S31" s="1150" t="s">
        <v>648</v>
      </c>
      <c r="T31" s="1150" t="s">
        <v>667</v>
      </c>
      <c r="U31" s="1157">
        <v>131000</v>
      </c>
      <c r="V31" s="1150" t="s">
        <v>667</v>
      </c>
      <c r="W31" s="1157">
        <v>131000</v>
      </c>
      <c r="X31" s="1150" t="s">
        <v>674</v>
      </c>
      <c r="Y31" s="1158">
        <v>43811.665</v>
      </c>
      <c r="Z31" s="1150" t="s">
        <v>618</v>
      </c>
      <c r="AA31" s="1158">
        <v>43897.089479166665</v>
      </c>
      <c r="AB31" s="1138">
        <f t="shared" si="0"/>
        <v>262000</v>
      </c>
    </row>
    <row r="32" spans="1:28" x14ac:dyDescent="0.25">
      <c r="A32" s="1159">
        <v>110186</v>
      </c>
      <c r="B32" s="1159" t="s">
        <v>658</v>
      </c>
      <c r="C32" s="1159" t="s">
        <v>676</v>
      </c>
      <c r="D32" s="1160">
        <v>43538</v>
      </c>
      <c r="E32" s="1161">
        <v>25270000</v>
      </c>
      <c r="F32" s="1159" t="s">
        <v>387</v>
      </c>
      <c r="G32" s="1162" t="s">
        <v>611</v>
      </c>
      <c r="H32" s="1163">
        <v>1999</v>
      </c>
      <c r="I32" s="1159" t="s">
        <v>612</v>
      </c>
      <c r="J32" s="1162" t="s">
        <v>14</v>
      </c>
      <c r="K32" s="1159" t="s">
        <v>76</v>
      </c>
      <c r="L32" s="1159" t="s">
        <v>660</v>
      </c>
      <c r="M32" s="1162" t="s">
        <v>14</v>
      </c>
      <c r="N32" s="1162" t="s">
        <v>661</v>
      </c>
      <c r="O32" s="1164">
        <v>70</v>
      </c>
      <c r="P32" s="1164">
        <v>0</v>
      </c>
      <c r="Q32" s="1164">
        <v>5</v>
      </c>
      <c r="R32" s="1159" t="s">
        <v>662</v>
      </c>
      <c r="S32" s="1159" t="s">
        <v>648</v>
      </c>
      <c r="T32" s="1159" t="s">
        <v>667</v>
      </c>
      <c r="U32" s="1166">
        <v>131000</v>
      </c>
      <c r="V32" s="1159" t="s">
        <v>667</v>
      </c>
      <c r="W32" s="1166">
        <v>131000</v>
      </c>
      <c r="X32" s="1159" t="s">
        <v>664</v>
      </c>
      <c r="Y32" s="1167">
        <v>43538.78236111111</v>
      </c>
      <c r="Z32" s="1159" t="s">
        <v>618</v>
      </c>
      <c r="AA32" s="1167">
        <v>43897.08982638889</v>
      </c>
      <c r="AB32" s="1138">
        <f t="shared" si="0"/>
        <v>262000</v>
      </c>
    </row>
    <row r="33" spans="1:28" x14ac:dyDescent="0.25">
      <c r="A33" s="1150">
        <v>110844</v>
      </c>
      <c r="B33" s="1150" t="s">
        <v>658</v>
      </c>
      <c r="C33" s="1150" t="s">
        <v>677</v>
      </c>
      <c r="D33" s="1151">
        <v>43811</v>
      </c>
      <c r="E33" s="1152">
        <v>20900000</v>
      </c>
      <c r="F33" s="1150" t="s">
        <v>404</v>
      </c>
      <c r="G33" s="1153" t="s">
        <v>611</v>
      </c>
      <c r="H33" s="1154">
        <v>1999</v>
      </c>
      <c r="I33" s="1150" t="s">
        <v>612</v>
      </c>
      <c r="J33" s="1153" t="s">
        <v>14</v>
      </c>
      <c r="K33" s="1150" t="s">
        <v>76</v>
      </c>
      <c r="L33" s="1150" t="s">
        <v>660</v>
      </c>
      <c r="M33" s="1153" t="s">
        <v>14</v>
      </c>
      <c r="N33" s="1153" t="s">
        <v>631</v>
      </c>
      <c r="O33" s="1155">
        <v>72</v>
      </c>
      <c r="P33" s="1155">
        <v>0</v>
      </c>
      <c r="Q33" s="1155">
        <v>5</v>
      </c>
      <c r="R33" s="1150" t="s">
        <v>643</v>
      </c>
      <c r="S33" s="1150" t="s">
        <v>648</v>
      </c>
      <c r="T33" s="1150" t="s">
        <v>678</v>
      </c>
      <c r="U33" s="1157">
        <v>114500</v>
      </c>
      <c r="V33" s="1150" t="s">
        <v>678</v>
      </c>
      <c r="W33" s="1157">
        <v>114500</v>
      </c>
      <c r="X33" s="1150" t="s">
        <v>674</v>
      </c>
      <c r="Y33" s="1158">
        <v>43811.70128472222</v>
      </c>
      <c r="Z33" s="1150" t="s">
        <v>618</v>
      </c>
      <c r="AA33" s="1158">
        <v>43811.84638888889</v>
      </c>
      <c r="AB33" s="1138">
        <f t="shared" si="0"/>
        <v>229000</v>
      </c>
    </row>
    <row r="34" spans="1:28" x14ac:dyDescent="0.25">
      <c r="A34" s="1159">
        <v>110845</v>
      </c>
      <c r="B34" s="1159" t="s">
        <v>658</v>
      </c>
      <c r="C34" s="1159" t="s">
        <v>679</v>
      </c>
      <c r="D34" s="1160">
        <v>43811</v>
      </c>
      <c r="E34" s="1161">
        <v>23750000</v>
      </c>
      <c r="F34" s="1159" t="s">
        <v>404</v>
      </c>
      <c r="G34" s="1162" t="s">
        <v>611</v>
      </c>
      <c r="H34" s="1163">
        <v>1999</v>
      </c>
      <c r="I34" s="1159" t="s">
        <v>612</v>
      </c>
      <c r="J34" s="1162" t="s">
        <v>14</v>
      </c>
      <c r="K34" s="1159" t="s">
        <v>76</v>
      </c>
      <c r="L34" s="1159" t="s">
        <v>660</v>
      </c>
      <c r="M34" s="1162" t="s">
        <v>14</v>
      </c>
      <c r="N34" s="1162" t="s">
        <v>631</v>
      </c>
      <c r="O34" s="1164">
        <v>72</v>
      </c>
      <c r="P34" s="1164">
        <v>0</v>
      </c>
      <c r="Q34" s="1164">
        <v>5</v>
      </c>
      <c r="R34" s="1159" t="s">
        <v>643</v>
      </c>
      <c r="S34" s="1159" t="s">
        <v>648</v>
      </c>
      <c r="T34" s="1159" t="s">
        <v>667</v>
      </c>
      <c r="U34" s="1166">
        <v>131000</v>
      </c>
      <c r="V34" s="1159" t="s">
        <v>667</v>
      </c>
      <c r="W34" s="1166">
        <v>131000</v>
      </c>
      <c r="X34" s="1159" t="s">
        <v>674</v>
      </c>
      <c r="Y34" s="1167">
        <v>43811.70520833333</v>
      </c>
      <c r="Z34" s="1159" t="s">
        <v>618</v>
      </c>
      <c r="AA34" s="1167">
        <v>43811.851018518515</v>
      </c>
      <c r="AB34" s="1138">
        <f t="shared" si="0"/>
        <v>262000</v>
      </c>
    </row>
    <row r="35" ht="24" customHeight="1" spans="1:28" x14ac:dyDescent="0.25">
      <c r="A35" s="1150">
        <v>111164</v>
      </c>
      <c r="B35" s="1150" t="s">
        <v>658</v>
      </c>
      <c r="C35" s="1150" t="s">
        <v>680</v>
      </c>
      <c r="D35" s="1151">
        <v>43891</v>
      </c>
      <c r="E35" s="1152">
        <v>31910000</v>
      </c>
      <c r="F35" s="1150" t="s">
        <v>681</v>
      </c>
      <c r="G35" s="1153" t="s">
        <v>611</v>
      </c>
      <c r="H35" s="1154">
        <v>1999</v>
      </c>
      <c r="I35" s="1150" t="s">
        <v>629</v>
      </c>
      <c r="J35" s="1153" t="s">
        <v>14</v>
      </c>
      <c r="K35" s="1150" t="s">
        <v>76</v>
      </c>
      <c r="L35" s="1150" t="s">
        <v>660</v>
      </c>
      <c r="M35" s="1153" t="s">
        <v>14</v>
      </c>
      <c r="N35" s="1153" t="s">
        <v>682</v>
      </c>
      <c r="O35" s="1155">
        <v>60</v>
      </c>
      <c r="P35" s="1155">
        <v>0</v>
      </c>
      <c r="Q35" s="1155">
        <v>5</v>
      </c>
      <c r="R35" s="1150" t="s">
        <v>662</v>
      </c>
      <c r="S35" s="1150" t="s">
        <v>648</v>
      </c>
      <c r="T35" s="1150" t="s">
        <v>667</v>
      </c>
      <c r="U35" s="1157">
        <v>131000</v>
      </c>
      <c r="V35" s="1150" t="s">
        <v>667</v>
      </c>
      <c r="W35" s="1157">
        <v>131000</v>
      </c>
      <c r="X35" s="1150" t="s">
        <v>618</v>
      </c>
      <c r="Y35" s="1158">
        <v>43921.443449074075</v>
      </c>
      <c r="Z35" s="1150" t="s">
        <v>618</v>
      </c>
      <c r="AA35" s="1158">
        <v>43921.443564814814</v>
      </c>
      <c r="AB35" s="1138">
        <f t="shared" si="0"/>
        <v>262000</v>
      </c>
    </row>
    <row r="36" ht="24" customHeight="1" spans="1:28" x14ac:dyDescent="0.25">
      <c r="A36" s="1159">
        <v>111165</v>
      </c>
      <c r="B36" s="1159" t="s">
        <v>658</v>
      </c>
      <c r="C36" s="1159" t="s">
        <v>683</v>
      </c>
      <c r="D36" s="1160">
        <v>43891</v>
      </c>
      <c r="E36" s="1161">
        <v>34000000</v>
      </c>
      <c r="F36" s="1159" t="s">
        <v>681</v>
      </c>
      <c r="G36" s="1162" t="s">
        <v>611</v>
      </c>
      <c r="H36" s="1163">
        <v>1999</v>
      </c>
      <c r="I36" s="1159" t="s">
        <v>629</v>
      </c>
      <c r="J36" s="1162" t="s">
        <v>14</v>
      </c>
      <c r="K36" s="1159" t="s">
        <v>76</v>
      </c>
      <c r="L36" s="1159" t="s">
        <v>660</v>
      </c>
      <c r="M36" s="1162" t="s">
        <v>14</v>
      </c>
      <c r="N36" s="1162" t="s">
        <v>682</v>
      </c>
      <c r="O36" s="1164">
        <v>60</v>
      </c>
      <c r="P36" s="1164">
        <v>0</v>
      </c>
      <c r="Q36" s="1164">
        <v>5</v>
      </c>
      <c r="R36" s="1159" t="s">
        <v>662</v>
      </c>
      <c r="S36" s="1159" t="s">
        <v>648</v>
      </c>
      <c r="T36" s="1159" t="s">
        <v>667</v>
      </c>
      <c r="U36" s="1166">
        <v>131000</v>
      </c>
      <c r="V36" s="1159" t="s">
        <v>667</v>
      </c>
      <c r="W36" s="1166">
        <v>131000</v>
      </c>
      <c r="X36" s="1159" t="s">
        <v>618</v>
      </c>
      <c r="Y36" s="1167">
        <v>43921.44400462963</v>
      </c>
      <c r="Z36" s="1159" t="s">
        <v>618</v>
      </c>
      <c r="AA36" s="1167">
        <v>43921.44410879629</v>
      </c>
      <c r="AB36" s="1138">
        <f t="shared" si="0"/>
        <v>262000</v>
      </c>
    </row>
    <row r="37" ht="24" customHeight="1" spans="1:28" x14ac:dyDescent="0.25">
      <c r="A37" s="1150">
        <v>111162</v>
      </c>
      <c r="B37" s="1150" t="s">
        <v>658</v>
      </c>
      <c r="C37" s="1150" t="s">
        <v>684</v>
      </c>
      <c r="D37" s="1151">
        <v>43891</v>
      </c>
      <c r="E37" s="1152">
        <v>28030000</v>
      </c>
      <c r="F37" s="1150" t="s">
        <v>681</v>
      </c>
      <c r="G37" s="1153" t="s">
        <v>611</v>
      </c>
      <c r="H37" s="1154">
        <v>1999</v>
      </c>
      <c r="I37" s="1150" t="s">
        <v>629</v>
      </c>
      <c r="J37" s="1153" t="s">
        <v>14</v>
      </c>
      <c r="K37" s="1150" t="s">
        <v>76</v>
      </c>
      <c r="L37" s="1150" t="s">
        <v>660</v>
      </c>
      <c r="M37" s="1153" t="s">
        <v>14</v>
      </c>
      <c r="N37" s="1153" t="s">
        <v>682</v>
      </c>
      <c r="O37" s="1155">
        <v>60</v>
      </c>
      <c r="P37" s="1155">
        <v>0</v>
      </c>
      <c r="Q37" s="1155">
        <v>5</v>
      </c>
      <c r="R37" s="1150" t="s">
        <v>662</v>
      </c>
      <c r="S37" s="1150" t="s">
        <v>648</v>
      </c>
      <c r="T37" s="1150" t="s">
        <v>678</v>
      </c>
      <c r="U37" s="1157">
        <v>114500</v>
      </c>
      <c r="V37" s="1150" t="s">
        <v>678</v>
      </c>
      <c r="W37" s="1157">
        <v>114500</v>
      </c>
      <c r="X37" s="1150" t="s">
        <v>618</v>
      </c>
      <c r="Y37" s="1158">
        <v>43921.43394675926</v>
      </c>
      <c r="Z37" s="1150" t="s">
        <v>618</v>
      </c>
      <c r="AA37" s="1158">
        <v>43921.43415509259</v>
      </c>
      <c r="AB37" s="1138">
        <f t="shared" si="0"/>
        <v>229000</v>
      </c>
    </row>
    <row r="38" ht="24" customHeight="1" spans="1:28" x14ac:dyDescent="0.25">
      <c r="A38" s="1159">
        <v>111163</v>
      </c>
      <c r="B38" s="1159" t="s">
        <v>658</v>
      </c>
      <c r="C38" s="1159" t="s">
        <v>685</v>
      </c>
      <c r="D38" s="1160">
        <v>43891</v>
      </c>
      <c r="E38" s="1161">
        <v>29940000</v>
      </c>
      <c r="F38" s="1159" t="s">
        <v>681</v>
      </c>
      <c r="G38" s="1162" t="s">
        <v>611</v>
      </c>
      <c r="H38" s="1163">
        <v>1999</v>
      </c>
      <c r="I38" s="1159" t="s">
        <v>629</v>
      </c>
      <c r="J38" s="1162" t="s">
        <v>14</v>
      </c>
      <c r="K38" s="1159" t="s">
        <v>76</v>
      </c>
      <c r="L38" s="1159" t="s">
        <v>660</v>
      </c>
      <c r="M38" s="1162" t="s">
        <v>14</v>
      </c>
      <c r="N38" s="1162" t="s">
        <v>682</v>
      </c>
      <c r="O38" s="1164">
        <v>60</v>
      </c>
      <c r="P38" s="1164">
        <v>0</v>
      </c>
      <c r="Q38" s="1164">
        <v>5</v>
      </c>
      <c r="R38" s="1159" t="s">
        <v>662</v>
      </c>
      <c r="S38" s="1159" t="s">
        <v>648</v>
      </c>
      <c r="T38" s="1159" t="s">
        <v>667</v>
      </c>
      <c r="U38" s="1166">
        <v>131000</v>
      </c>
      <c r="V38" s="1159" t="s">
        <v>667</v>
      </c>
      <c r="W38" s="1166">
        <v>131000</v>
      </c>
      <c r="X38" s="1159" t="s">
        <v>618</v>
      </c>
      <c r="Y38" s="1167">
        <v>43921.4422337963</v>
      </c>
      <c r="Z38" s="1159" t="s">
        <v>618</v>
      </c>
      <c r="AA38" s="1167">
        <v>43921.4422337963</v>
      </c>
      <c r="AB38" s="1138">
        <f t="shared" si="0"/>
        <v>262000</v>
      </c>
    </row>
    <row r="39" spans="1:28" x14ac:dyDescent="0.25">
      <c r="A39" s="1150">
        <v>110316</v>
      </c>
      <c r="B39" s="1150" t="s">
        <v>686</v>
      </c>
      <c r="C39" s="1150" t="s">
        <v>687</v>
      </c>
      <c r="D39" s="1151">
        <v>43640</v>
      </c>
      <c r="E39" s="1152">
        <v>36870000</v>
      </c>
      <c r="F39" s="1150" t="s">
        <v>610</v>
      </c>
      <c r="G39" s="1153" t="s">
        <v>611</v>
      </c>
      <c r="H39" s="1154">
        <v>2199</v>
      </c>
      <c r="I39" s="1150" t="s">
        <v>612</v>
      </c>
      <c r="J39" s="1153" t="s">
        <v>14</v>
      </c>
      <c r="K39" s="1150" t="s">
        <v>76</v>
      </c>
      <c r="L39" s="1150" t="s">
        <v>688</v>
      </c>
      <c r="M39" s="1153" t="s">
        <v>14</v>
      </c>
      <c r="N39" s="1153" t="s">
        <v>689</v>
      </c>
      <c r="O39" s="1155">
        <v>70</v>
      </c>
      <c r="P39" s="1156"/>
      <c r="Q39" s="1155">
        <v>5</v>
      </c>
      <c r="R39" s="1150" t="s">
        <v>690</v>
      </c>
      <c r="S39" s="1150" t="s">
        <v>648</v>
      </c>
      <c r="T39" s="1150" t="s">
        <v>691</v>
      </c>
      <c r="U39" s="1157">
        <v>173800</v>
      </c>
      <c r="V39" s="1150" t="s">
        <v>691</v>
      </c>
      <c r="W39" s="1157">
        <v>173800</v>
      </c>
      <c r="X39" s="1150" t="s">
        <v>618</v>
      </c>
      <c r="Y39" s="1158">
        <v>43640.78259259259</v>
      </c>
      <c r="Z39" s="1150" t="s">
        <v>618</v>
      </c>
      <c r="AA39" s="1158">
        <v>43894.826886574076</v>
      </c>
      <c r="AB39" s="1138">
        <f t="shared" si="0"/>
        <v>347600</v>
      </c>
    </row>
    <row r="40" spans="1:28" x14ac:dyDescent="0.25">
      <c r="A40" s="1159">
        <v>110317</v>
      </c>
      <c r="B40" s="1159" t="s">
        <v>686</v>
      </c>
      <c r="C40" s="1159" t="s">
        <v>692</v>
      </c>
      <c r="D40" s="1160">
        <v>43640</v>
      </c>
      <c r="E40" s="1161">
        <v>35070000</v>
      </c>
      <c r="F40" s="1159" t="s">
        <v>610</v>
      </c>
      <c r="G40" s="1162" t="s">
        <v>611</v>
      </c>
      <c r="H40" s="1163">
        <v>2199</v>
      </c>
      <c r="I40" s="1159" t="s">
        <v>612</v>
      </c>
      <c r="J40" s="1162" t="s">
        <v>14</v>
      </c>
      <c r="K40" s="1159" t="s">
        <v>76</v>
      </c>
      <c r="L40" s="1159" t="s">
        <v>688</v>
      </c>
      <c r="M40" s="1162" t="s">
        <v>14</v>
      </c>
      <c r="N40" s="1162" t="s">
        <v>693</v>
      </c>
      <c r="O40" s="1164">
        <v>70</v>
      </c>
      <c r="P40" s="1165"/>
      <c r="Q40" s="1164">
        <v>5</v>
      </c>
      <c r="R40" s="1159" t="s">
        <v>690</v>
      </c>
      <c r="S40" s="1159" t="s">
        <v>648</v>
      </c>
      <c r="T40" s="1159" t="s">
        <v>694</v>
      </c>
      <c r="U40" s="1166">
        <v>123300</v>
      </c>
      <c r="V40" s="1159" t="s">
        <v>694</v>
      </c>
      <c r="W40" s="1166">
        <v>123300</v>
      </c>
      <c r="X40" s="1159" t="s">
        <v>618</v>
      </c>
      <c r="Y40" s="1167">
        <v>43640.98261574074</v>
      </c>
      <c r="Z40" s="1159" t="s">
        <v>618</v>
      </c>
      <c r="AA40" s="1167">
        <v>43894.81680555556</v>
      </c>
      <c r="AB40" s="1138">
        <f t="shared" si="0"/>
        <v>246600</v>
      </c>
    </row>
    <row r="41" ht="24" customHeight="1" spans="1:28" x14ac:dyDescent="0.25">
      <c r="A41" s="1150">
        <v>110875</v>
      </c>
      <c r="B41" s="1150" t="s">
        <v>686</v>
      </c>
      <c r="C41" s="1150" t="s">
        <v>695</v>
      </c>
      <c r="D41" s="1151">
        <v>43831</v>
      </c>
      <c r="E41" s="1152">
        <v>35770000</v>
      </c>
      <c r="F41" s="1150" t="s">
        <v>610</v>
      </c>
      <c r="G41" s="1153" t="s">
        <v>611</v>
      </c>
      <c r="H41" s="1154">
        <v>2199</v>
      </c>
      <c r="I41" s="1150" t="s">
        <v>612</v>
      </c>
      <c r="J41" s="1153" t="s">
        <v>14</v>
      </c>
      <c r="K41" s="1150" t="s">
        <v>76</v>
      </c>
      <c r="L41" s="1150" t="s">
        <v>688</v>
      </c>
      <c r="M41" s="1153" t="s">
        <v>14</v>
      </c>
      <c r="N41" s="1153" t="s">
        <v>693</v>
      </c>
      <c r="O41" s="1155">
        <v>70</v>
      </c>
      <c r="P41" s="1156"/>
      <c r="Q41" s="1155">
        <v>5</v>
      </c>
      <c r="R41" s="1150" t="s">
        <v>690</v>
      </c>
      <c r="S41" s="1150" t="s">
        <v>648</v>
      </c>
      <c r="T41" s="1150" t="s">
        <v>696</v>
      </c>
      <c r="U41" s="1157">
        <v>197900</v>
      </c>
      <c r="V41" s="1150" t="s">
        <v>696</v>
      </c>
      <c r="W41" s="1157">
        <v>197900</v>
      </c>
      <c r="X41" s="1150" t="s">
        <v>618</v>
      </c>
      <c r="Y41" s="1158">
        <v>43833.361284722225</v>
      </c>
      <c r="Z41" s="1150" t="s">
        <v>618</v>
      </c>
      <c r="AA41" s="1158">
        <v>43894.81753472222</v>
      </c>
      <c r="AB41" s="1138">
        <f t="shared" si="0"/>
        <v>395800</v>
      </c>
    </row>
    <row r="42" spans="1:28" x14ac:dyDescent="0.25">
      <c r="A42" s="1159">
        <v>110874</v>
      </c>
      <c r="B42" s="1159" t="s">
        <v>686</v>
      </c>
      <c r="C42" s="1159" t="s">
        <v>697</v>
      </c>
      <c r="D42" s="1160">
        <v>43831</v>
      </c>
      <c r="E42" s="1161">
        <v>34270000</v>
      </c>
      <c r="F42" s="1159" t="s">
        <v>387</v>
      </c>
      <c r="G42" s="1162" t="s">
        <v>611</v>
      </c>
      <c r="H42" s="1163">
        <v>2497</v>
      </c>
      <c r="I42" s="1159" t="s">
        <v>612</v>
      </c>
      <c r="J42" s="1162" t="s">
        <v>14</v>
      </c>
      <c r="K42" s="1159" t="s">
        <v>76</v>
      </c>
      <c r="L42" s="1159" t="s">
        <v>688</v>
      </c>
      <c r="M42" s="1162" t="s">
        <v>14</v>
      </c>
      <c r="N42" s="1162" t="s">
        <v>689</v>
      </c>
      <c r="O42" s="1164">
        <v>65</v>
      </c>
      <c r="P42" s="1164">
        <v>0</v>
      </c>
      <c r="Q42" s="1164">
        <v>5</v>
      </c>
      <c r="R42" s="1159" t="s">
        <v>690</v>
      </c>
      <c r="S42" s="1159" t="s">
        <v>648</v>
      </c>
      <c r="T42" s="1159" t="s">
        <v>691</v>
      </c>
      <c r="U42" s="1166">
        <v>173800</v>
      </c>
      <c r="V42" s="1159" t="s">
        <v>691</v>
      </c>
      <c r="W42" s="1166">
        <v>173800</v>
      </c>
      <c r="X42" s="1159" t="s">
        <v>618</v>
      </c>
      <c r="Y42" s="1167">
        <v>43833.05979166667</v>
      </c>
      <c r="Z42" s="1159" t="s">
        <v>618</v>
      </c>
      <c r="AA42" s="1167">
        <v>43900.61349537037</v>
      </c>
      <c r="AB42" s="1138">
        <f t="shared" si="0"/>
        <v>347600</v>
      </c>
    </row>
    <row r="43" spans="1:28" x14ac:dyDescent="0.25">
      <c r="A43" s="1150">
        <v>110310</v>
      </c>
      <c r="B43" s="1150" t="s">
        <v>686</v>
      </c>
      <c r="C43" s="1150" t="s">
        <v>698</v>
      </c>
      <c r="D43" s="1151">
        <v>43640</v>
      </c>
      <c r="E43" s="1152">
        <v>32870000</v>
      </c>
      <c r="F43" s="1150" t="s">
        <v>387</v>
      </c>
      <c r="G43" s="1153" t="s">
        <v>611</v>
      </c>
      <c r="H43" s="1154">
        <v>2497</v>
      </c>
      <c r="I43" s="1150" t="s">
        <v>612</v>
      </c>
      <c r="J43" s="1153" t="s">
        <v>14</v>
      </c>
      <c r="K43" s="1150" t="s">
        <v>76</v>
      </c>
      <c r="L43" s="1150" t="s">
        <v>688</v>
      </c>
      <c r="M43" s="1153" t="s">
        <v>14</v>
      </c>
      <c r="N43" s="1153" t="s">
        <v>689</v>
      </c>
      <c r="O43" s="1155">
        <v>70</v>
      </c>
      <c r="P43" s="1156"/>
      <c r="Q43" s="1155">
        <v>5</v>
      </c>
      <c r="R43" s="1150" t="s">
        <v>690</v>
      </c>
      <c r="S43" s="1150" t="s">
        <v>648</v>
      </c>
      <c r="T43" s="1150" t="s">
        <v>691</v>
      </c>
      <c r="U43" s="1157">
        <v>173800</v>
      </c>
      <c r="V43" s="1150" t="s">
        <v>691</v>
      </c>
      <c r="W43" s="1157">
        <v>173800</v>
      </c>
      <c r="X43" s="1150" t="s">
        <v>618</v>
      </c>
      <c r="Y43" s="1158">
        <v>43640.76493055555</v>
      </c>
      <c r="Z43" s="1150" t="s">
        <v>618</v>
      </c>
      <c r="AA43" s="1158">
        <v>43894.83684027778</v>
      </c>
      <c r="AB43" s="1138">
        <f t="shared" si="0"/>
        <v>347600</v>
      </c>
    </row>
    <row r="44" spans="1:28" x14ac:dyDescent="0.25">
      <c r="A44" s="1159">
        <v>110311</v>
      </c>
      <c r="B44" s="1159" t="s">
        <v>686</v>
      </c>
      <c r="C44" s="1159" t="s">
        <v>699</v>
      </c>
      <c r="D44" s="1160">
        <v>43640</v>
      </c>
      <c r="E44" s="1161">
        <v>31110000</v>
      </c>
      <c r="F44" s="1159" t="s">
        <v>387</v>
      </c>
      <c r="G44" s="1162" t="s">
        <v>611</v>
      </c>
      <c r="H44" s="1163">
        <v>2497</v>
      </c>
      <c r="I44" s="1159" t="s">
        <v>612</v>
      </c>
      <c r="J44" s="1162" t="s">
        <v>14</v>
      </c>
      <c r="K44" s="1159" t="s">
        <v>76</v>
      </c>
      <c r="L44" s="1159" t="s">
        <v>688</v>
      </c>
      <c r="M44" s="1162" t="s">
        <v>14</v>
      </c>
      <c r="N44" s="1162" t="s">
        <v>689</v>
      </c>
      <c r="O44" s="1164">
        <v>70</v>
      </c>
      <c r="P44" s="1165"/>
      <c r="Q44" s="1164">
        <v>5</v>
      </c>
      <c r="R44" s="1159" t="s">
        <v>690</v>
      </c>
      <c r="S44" s="1159" t="s">
        <v>648</v>
      </c>
      <c r="T44" s="1159" t="s">
        <v>694</v>
      </c>
      <c r="U44" s="1166">
        <v>123300</v>
      </c>
      <c r="V44" s="1159" t="s">
        <v>694</v>
      </c>
      <c r="W44" s="1166">
        <v>123300</v>
      </c>
      <c r="X44" s="1159" t="s">
        <v>618</v>
      </c>
      <c r="Y44" s="1167">
        <v>43640.76804398149</v>
      </c>
      <c r="Z44" s="1159" t="s">
        <v>618</v>
      </c>
      <c r="AA44" s="1167">
        <v>43894.83651620371</v>
      </c>
      <c r="AB44" s="1138">
        <f t="shared" si="0"/>
        <v>246600</v>
      </c>
    </row>
    <row r="45" spans="1:28" x14ac:dyDescent="0.25">
      <c r="A45" s="1150">
        <v>110305</v>
      </c>
      <c r="B45" s="1150" t="s">
        <v>686</v>
      </c>
      <c r="C45" s="1150" t="s">
        <v>700</v>
      </c>
      <c r="D45" s="1151">
        <v>43640</v>
      </c>
      <c r="E45" s="1152">
        <v>35170000</v>
      </c>
      <c r="F45" s="1150" t="s">
        <v>387</v>
      </c>
      <c r="G45" s="1153" t="s">
        <v>611</v>
      </c>
      <c r="H45" s="1154">
        <v>2999</v>
      </c>
      <c r="I45" s="1150" t="s">
        <v>612</v>
      </c>
      <c r="J45" s="1153" t="s">
        <v>14</v>
      </c>
      <c r="K45" s="1150" t="s">
        <v>76</v>
      </c>
      <c r="L45" s="1150" t="s">
        <v>688</v>
      </c>
      <c r="M45" s="1153" t="s">
        <v>14</v>
      </c>
      <c r="N45" s="1153" t="s">
        <v>693</v>
      </c>
      <c r="O45" s="1155">
        <v>70</v>
      </c>
      <c r="P45" s="1156"/>
      <c r="Q45" s="1155">
        <v>5</v>
      </c>
      <c r="R45" s="1150" t="s">
        <v>662</v>
      </c>
      <c r="S45" s="1150" t="s">
        <v>648</v>
      </c>
      <c r="T45" s="1150" t="s">
        <v>691</v>
      </c>
      <c r="U45" s="1157">
        <v>173800</v>
      </c>
      <c r="V45" s="1150" t="s">
        <v>691</v>
      </c>
      <c r="W45" s="1157">
        <v>173800</v>
      </c>
      <c r="X45" s="1150" t="s">
        <v>618</v>
      </c>
      <c r="Y45" s="1158">
        <v>43640.64864583334</v>
      </c>
      <c r="Z45" s="1150" t="s">
        <v>618</v>
      </c>
      <c r="AA45" s="1158">
        <v>43894.83760416666</v>
      </c>
      <c r="AB45" s="1138">
        <f t="shared" si="0"/>
        <v>347600</v>
      </c>
    </row>
    <row r="46" spans="1:28" x14ac:dyDescent="0.25">
      <c r="A46" s="1159">
        <v>110306</v>
      </c>
      <c r="B46" s="1159" t="s">
        <v>686</v>
      </c>
      <c r="C46" s="1159" t="s">
        <v>701</v>
      </c>
      <c r="D46" s="1160">
        <v>43640</v>
      </c>
      <c r="E46" s="1161">
        <v>37270000</v>
      </c>
      <c r="F46" s="1159" t="s">
        <v>387</v>
      </c>
      <c r="G46" s="1162" t="s">
        <v>611</v>
      </c>
      <c r="H46" s="1163">
        <v>2999</v>
      </c>
      <c r="I46" s="1159" t="s">
        <v>612</v>
      </c>
      <c r="J46" s="1162" t="s">
        <v>14</v>
      </c>
      <c r="K46" s="1159" t="s">
        <v>76</v>
      </c>
      <c r="L46" s="1159" t="s">
        <v>688</v>
      </c>
      <c r="M46" s="1162" t="s">
        <v>14</v>
      </c>
      <c r="N46" s="1162" t="s">
        <v>693</v>
      </c>
      <c r="O46" s="1164">
        <v>70</v>
      </c>
      <c r="P46" s="1165"/>
      <c r="Q46" s="1164">
        <v>5</v>
      </c>
      <c r="R46" s="1159" t="s">
        <v>662</v>
      </c>
      <c r="S46" s="1159" t="s">
        <v>648</v>
      </c>
      <c r="T46" s="1159" t="s">
        <v>691</v>
      </c>
      <c r="U46" s="1166">
        <v>173800</v>
      </c>
      <c r="V46" s="1159" t="s">
        <v>691</v>
      </c>
      <c r="W46" s="1166">
        <v>173800</v>
      </c>
      <c r="X46" s="1159" t="s">
        <v>618</v>
      </c>
      <c r="Y46" s="1167">
        <v>43640.760347222225</v>
      </c>
      <c r="Z46" s="1159" t="s">
        <v>618</v>
      </c>
      <c r="AA46" s="1167">
        <v>43894.83782407407</v>
      </c>
      <c r="AB46" s="1138">
        <f t="shared" si="0"/>
        <v>347600</v>
      </c>
    </row>
    <row r="47" spans="1:28" x14ac:dyDescent="0.25">
      <c r="A47" s="1150">
        <v>110630</v>
      </c>
      <c r="B47" s="1150" t="s">
        <v>686</v>
      </c>
      <c r="C47" s="1150" t="s">
        <v>702</v>
      </c>
      <c r="D47" s="1151">
        <v>43748</v>
      </c>
      <c r="E47" s="1152">
        <v>36530000</v>
      </c>
      <c r="F47" s="1150" t="s">
        <v>404</v>
      </c>
      <c r="G47" s="1153" t="s">
        <v>611</v>
      </c>
      <c r="H47" s="1154">
        <v>2999</v>
      </c>
      <c r="I47" s="1150" t="s">
        <v>612</v>
      </c>
      <c r="J47" s="1153" t="s">
        <v>14</v>
      </c>
      <c r="K47" s="1150" t="s">
        <v>76</v>
      </c>
      <c r="L47" s="1150" t="s">
        <v>688</v>
      </c>
      <c r="M47" s="1153" t="s">
        <v>14</v>
      </c>
      <c r="N47" s="1153" t="s">
        <v>703</v>
      </c>
      <c r="O47" s="1155">
        <v>70</v>
      </c>
      <c r="P47" s="1155">
        <v>0</v>
      </c>
      <c r="Q47" s="1155">
        <v>5</v>
      </c>
      <c r="R47" s="1150" t="s">
        <v>624</v>
      </c>
      <c r="S47" s="1150" t="s">
        <v>648</v>
      </c>
      <c r="T47" s="1150" t="s">
        <v>691</v>
      </c>
      <c r="U47" s="1157">
        <v>173800</v>
      </c>
      <c r="V47" s="1150" t="s">
        <v>691</v>
      </c>
      <c r="W47" s="1157">
        <v>173800</v>
      </c>
      <c r="X47" s="1150" t="s">
        <v>618</v>
      </c>
      <c r="Y47" s="1158">
        <v>43748.751909722225</v>
      </c>
      <c r="Z47" s="1150" t="s">
        <v>618</v>
      </c>
      <c r="AA47" s="1158">
        <v>43833.36259259259</v>
      </c>
      <c r="AB47" s="1138">
        <f t="shared" si="0"/>
        <v>347600</v>
      </c>
    </row>
    <row r="48" spans="1:28" x14ac:dyDescent="0.25">
      <c r="A48" s="1159">
        <v>110629</v>
      </c>
      <c r="B48" s="1159" t="s">
        <v>686</v>
      </c>
      <c r="C48" s="1159" t="s">
        <v>704</v>
      </c>
      <c r="D48" s="1160">
        <v>43748</v>
      </c>
      <c r="E48" s="1161">
        <v>31520000</v>
      </c>
      <c r="F48" s="1159" t="s">
        <v>404</v>
      </c>
      <c r="G48" s="1162" t="s">
        <v>611</v>
      </c>
      <c r="H48" s="1163">
        <v>2999</v>
      </c>
      <c r="I48" s="1159" t="s">
        <v>612</v>
      </c>
      <c r="J48" s="1162" t="s">
        <v>14</v>
      </c>
      <c r="K48" s="1159" t="s">
        <v>76</v>
      </c>
      <c r="L48" s="1159" t="s">
        <v>688</v>
      </c>
      <c r="M48" s="1162" t="s">
        <v>14</v>
      </c>
      <c r="N48" s="1162" t="s">
        <v>703</v>
      </c>
      <c r="O48" s="1164">
        <v>70</v>
      </c>
      <c r="P48" s="1164">
        <v>0</v>
      </c>
      <c r="Q48" s="1164">
        <v>5</v>
      </c>
      <c r="R48" s="1159" t="s">
        <v>624</v>
      </c>
      <c r="S48" s="1159" t="s">
        <v>648</v>
      </c>
      <c r="T48" s="1159" t="s">
        <v>694</v>
      </c>
      <c r="U48" s="1166">
        <v>123300</v>
      </c>
      <c r="V48" s="1159" t="s">
        <v>694</v>
      </c>
      <c r="W48" s="1166">
        <v>123300</v>
      </c>
      <c r="X48" s="1159" t="s">
        <v>618</v>
      </c>
      <c r="Y48" s="1167">
        <v>43748.74518518518</v>
      </c>
      <c r="Z48" s="1159" t="s">
        <v>618</v>
      </c>
      <c r="AA48" s="1167">
        <v>43833.362442129626</v>
      </c>
      <c r="AB48" s="1138">
        <f t="shared" si="0"/>
        <v>246600</v>
      </c>
    </row>
    <row r="49" spans="1:28" x14ac:dyDescent="0.25">
      <c r="A49" s="1150">
        <v>110327</v>
      </c>
      <c r="B49" s="1150" t="s">
        <v>686</v>
      </c>
      <c r="C49" s="1150" t="s">
        <v>705</v>
      </c>
      <c r="D49" s="1151">
        <v>43641</v>
      </c>
      <c r="E49" s="1152">
        <v>26650000</v>
      </c>
      <c r="F49" s="1150" t="s">
        <v>404</v>
      </c>
      <c r="G49" s="1153" t="s">
        <v>611</v>
      </c>
      <c r="H49" s="1154">
        <v>2999</v>
      </c>
      <c r="I49" s="1150" t="s">
        <v>612</v>
      </c>
      <c r="J49" s="1153" t="s">
        <v>14</v>
      </c>
      <c r="K49" s="1150" t="s">
        <v>76</v>
      </c>
      <c r="L49" s="1150" t="s">
        <v>688</v>
      </c>
      <c r="M49" s="1153" t="s">
        <v>14</v>
      </c>
      <c r="N49" s="1153" t="s">
        <v>693</v>
      </c>
      <c r="O49" s="1155">
        <v>70</v>
      </c>
      <c r="P49" s="1156"/>
      <c r="Q49" s="1155">
        <v>5</v>
      </c>
      <c r="R49" s="1150" t="s">
        <v>624</v>
      </c>
      <c r="S49" s="1150" t="s">
        <v>648</v>
      </c>
      <c r="T49" s="1150" t="s">
        <v>694</v>
      </c>
      <c r="U49" s="1157">
        <v>123300</v>
      </c>
      <c r="V49" s="1150" t="s">
        <v>694</v>
      </c>
      <c r="W49" s="1157">
        <v>123300</v>
      </c>
      <c r="X49" s="1150" t="s">
        <v>618</v>
      </c>
      <c r="Y49" s="1158">
        <v>43641.420625</v>
      </c>
      <c r="Z49" s="1150" t="s">
        <v>618</v>
      </c>
      <c r="AA49" s="1158">
        <v>43641.42071759259</v>
      </c>
      <c r="AB49" s="1138">
        <f t="shared" si="0"/>
        <v>246600</v>
      </c>
    </row>
    <row r="50" spans="1:28" x14ac:dyDescent="0.25">
      <c r="A50" s="1159">
        <v>110328</v>
      </c>
      <c r="B50" s="1159" t="s">
        <v>686</v>
      </c>
      <c r="C50" s="1159" t="s">
        <v>706</v>
      </c>
      <c r="D50" s="1160">
        <v>43641</v>
      </c>
      <c r="E50" s="1161">
        <v>27900000</v>
      </c>
      <c r="F50" s="1159" t="s">
        <v>404</v>
      </c>
      <c r="G50" s="1162" t="s">
        <v>611</v>
      </c>
      <c r="H50" s="1163">
        <v>2999</v>
      </c>
      <c r="I50" s="1159" t="s">
        <v>612</v>
      </c>
      <c r="J50" s="1162" t="s">
        <v>14</v>
      </c>
      <c r="K50" s="1159" t="s">
        <v>76</v>
      </c>
      <c r="L50" s="1159" t="s">
        <v>688</v>
      </c>
      <c r="M50" s="1162" t="s">
        <v>14</v>
      </c>
      <c r="N50" s="1162" t="s">
        <v>693</v>
      </c>
      <c r="O50" s="1164">
        <v>70</v>
      </c>
      <c r="P50" s="1165"/>
      <c r="Q50" s="1164">
        <v>5</v>
      </c>
      <c r="R50" s="1159" t="s">
        <v>624</v>
      </c>
      <c r="S50" s="1159" t="s">
        <v>648</v>
      </c>
      <c r="T50" s="1159" t="s">
        <v>694</v>
      </c>
      <c r="U50" s="1166">
        <v>123300</v>
      </c>
      <c r="V50" s="1159" t="s">
        <v>694</v>
      </c>
      <c r="W50" s="1166">
        <v>123300</v>
      </c>
      <c r="X50" s="1159" t="s">
        <v>618</v>
      </c>
      <c r="Y50" s="1167">
        <v>43641.422673611116</v>
      </c>
      <c r="Z50" s="1159" t="s">
        <v>618</v>
      </c>
      <c r="AA50" s="1167">
        <v>43641.422673611116</v>
      </c>
      <c r="AB50" s="1138">
        <f t="shared" si="0"/>
        <v>246600</v>
      </c>
    </row>
    <row r="51" spans="1:28" x14ac:dyDescent="0.25">
      <c r="A51" s="1150">
        <v>110329</v>
      </c>
      <c r="B51" s="1150" t="s">
        <v>686</v>
      </c>
      <c r="C51" s="1150" t="s">
        <v>707</v>
      </c>
      <c r="D51" s="1151">
        <v>43641</v>
      </c>
      <c r="E51" s="1152">
        <v>33600000</v>
      </c>
      <c r="F51" s="1150" t="s">
        <v>404</v>
      </c>
      <c r="G51" s="1153" t="s">
        <v>611</v>
      </c>
      <c r="H51" s="1154">
        <v>2999</v>
      </c>
      <c r="I51" s="1150" t="s">
        <v>612</v>
      </c>
      <c r="J51" s="1153" t="s">
        <v>14</v>
      </c>
      <c r="K51" s="1150" t="s">
        <v>76</v>
      </c>
      <c r="L51" s="1150" t="s">
        <v>688</v>
      </c>
      <c r="M51" s="1153" t="s">
        <v>14</v>
      </c>
      <c r="N51" s="1153" t="s">
        <v>693</v>
      </c>
      <c r="O51" s="1155">
        <v>70</v>
      </c>
      <c r="P51" s="1156"/>
      <c r="Q51" s="1155">
        <v>5</v>
      </c>
      <c r="R51" s="1150" t="s">
        <v>624</v>
      </c>
      <c r="S51" s="1150" t="s">
        <v>648</v>
      </c>
      <c r="T51" s="1150" t="s">
        <v>691</v>
      </c>
      <c r="U51" s="1157">
        <v>173800</v>
      </c>
      <c r="V51" s="1150" t="s">
        <v>691</v>
      </c>
      <c r="W51" s="1157">
        <v>173800</v>
      </c>
      <c r="X51" s="1150" t="s">
        <v>618</v>
      </c>
      <c r="Y51" s="1158">
        <v>43641.42538194444</v>
      </c>
      <c r="Z51" s="1150" t="s">
        <v>618</v>
      </c>
      <c r="AA51" s="1158">
        <v>43641.42538194444</v>
      </c>
      <c r="AB51" s="1138">
        <f t="shared" si="0"/>
        <v>347600</v>
      </c>
    </row>
    <row r="52" ht="24" customHeight="1" spans="1:28" x14ac:dyDescent="0.25">
      <c r="A52" s="1159">
        <v>110322</v>
      </c>
      <c r="B52" s="1159" t="s">
        <v>686</v>
      </c>
      <c r="C52" s="1159" t="s">
        <v>708</v>
      </c>
      <c r="D52" s="1160">
        <v>43641</v>
      </c>
      <c r="E52" s="1161">
        <v>40130000</v>
      </c>
      <c r="F52" s="1159" t="s">
        <v>681</v>
      </c>
      <c r="G52" s="1162" t="s">
        <v>611</v>
      </c>
      <c r="H52" s="1163">
        <v>2359</v>
      </c>
      <c r="I52" s="1159" t="s">
        <v>612</v>
      </c>
      <c r="J52" s="1162" t="s">
        <v>14</v>
      </c>
      <c r="K52" s="1159" t="s">
        <v>76</v>
      </c>
      <c r="L52" s="1159" t="s">
        <v>688</v>
      </c>
      <c r="M52" s="1162" t="s">
        <v>14</v>
      </c>
      <c r="N52" s="1162" t="s">
        <v>709</v>
      </c>
      <c r="O52" s="1164">
        <v>65</v>
      </c>
      <c r="P52" s="1165"/>
      <c r="Q52" s="1164">
        <v>5</v>
      </c>
      <c r="R52" s="1159" t="s">
        <v>710</v>
      </c>
      <c r="S52" s="1159" t="s">
        <v>648</v>
      </c>
      <c r="T52" s="1159" t="s">
        <v>694</v>
      </c>
      <c r="U52" s="1166">
        <v>123300</v>
      </c>
      <c r="V52" s="1159" t="s">
        <v>694</v>
      </c>
      <c r="W52" s="1166">
        <v>123300</v>
      </c>
      <c r="X52" s="1159" t="s">
        <v>618</v>
      </c>
      <c r="Y52" s="1167">
        <v>43641.34758101852</v>
      </c>
      <c r="Z52" s="1159" t="s">
        <v>618</v>
      </c>
      <c r="AA52" s="1167">
        <v>43833.37599537037</v>
      </c>
      <c r="AB52" s="1138">
        <f t="shared" si="0"/>
        <v>246600</v>
      </c>
    </row>
    <row r="53" ht="24" customHeight="1" spans="1:28" x14ac:dyDescent="0.25">
      <c r="A53" s="1150">
        <v>110323</v>
      </c>
      <c r="B53" s="1150" t="s">
        <v>686</v>
      </c>
      <c r="C53" s="1150" t="s">
        <v>711</v>
      </c>
      <c r="D53" s="1151">
        <v>43641</v>
      </c>
      <c r="E53" s="1152">
        <v>42330000</v>
      </c>
      <c r="F53" s="1150" t="s">
        <v>681</v>
      </c>
      <c r="G53" s="1153" t="s">
        <v>611</v>
      </c>
      <c r="H53" s="1154">
        <v>2359</v>
      </c>
      <c r="I53" s="1150" t="s">
        <v>612</v>
      </c>
      <c r="J53" s="1153" t="s">
        <v>14</v>
      </c>
      <c r="K53" s="1150" t="s">
        <v>76</v>
      </c>
      <c r="L53" s="1150" t="s">
        <v>688</v>
      </c>
      <c r="M53" s="1153" t="s">
        <v>14</v>
      </c>
      <c r="N53" s="1153" t="s">
        <v>712</v>
      </c>
      <c r="O53" s="1155">
        <v>65</v>
      </c>
      <c r="P53" s="1156"/>
      <c r="Q53" s="1155">
        <v>5</v>
      </c>
      <c r="R53" s="1150" t="s">
        <v>710</v>
      </c>
      <c r="S53" s="1150" t="s">
        <v>648</v>
      </c>
      <c r="T53" s="1150" t="s">
        <v>694</v>
      </c>
      <c r="U53" s="1157">
        <v>123300</v>
      </c>
      <c r="V53" s="1150" t="s">
        <v>694</v>
      </c>
      <c r="W53" s="1157">
        <v>123300</v>
      </c>
      <c r="X53" s="1150" t="s">
        <v>618</v>
      </c>
      <c r="Y53" s="1158">
        <v>43641.36950231482</v>
      </c>
      <c r="Z53" s="1150" t="s">
        <v>618</v>
      </c>
      <c r="AA53" s="1158">
        <v>43833.37615740741</v>
      </c>
      <c r="AB53" s="1138">
        <f t="shared" si="0"/>
        <v>246600</v>
      </c>
    </row>
    <row r="54" ht="24" customHeight="1" spans="1:28" x14ac:dyDescent="0.25">
      <c r="A54" s="1159">
        <v>110321</v>
      </c>
      <c r="B54" s="1159" t="s">
        <v>686</v>
      </c>
      <c r="C54" s="1159" t="s">
        <v>713</v>
      </c>
      <c r="D54" s="1160">
        <v>43641</v>
      </c>
      <c r="E54" s="1161">
        <v>38330000</v>
      </c>
      <c r="F54" s="1159" t="s">
        <v>681</v>
      </c>
      <c r="G54" s="1162" t="s">
        <v>611</v>
      </c>
      <c r="H54" s="1163">
        <v>2359</v>
      </c>
      <c r="I54" s="1159" t="s">
        <v>612</v>
      </c>
      <c r="J54" s="1162" t="s">
        <v>14</v>
      </c>
      <c r="K54" s="1159" t="s">
        <v>76</v>
      </c>
      <c r="L54" s="1159" t="s">
        <v>688</v>
      </c>
      <c r="M54" s="1162" t="s">
        <v>14</v>
      </c>
      <c r="N54" s="1162" t="s">
        <v>709</v>
      </c>
      <c r="O54" s="1164">
        <v>65</v>
      </c>
      <c r="P54" s="1165"/>
      <c r="Q54" s="1164">
        <v>5</v>
      </c>
      <c r="R54" s="1159" t="s">
        <v>710</v>
      </c>
      <c r="S54" s="1159" t="s">
        <v>648</v>
      </c>
      <c r="T54" s="1159" t="s">
        <v>694</v>
      </c>
      <c r="U54" s="1166">
        <v>123300</v>
      </c>
      <c r="V54" s="1159" t="s">
        <v>694</v>
      </c>
      <c r="W54" s="1166">
        <v>123300</v>
      </c>
      <c r="X54" s="1159" t="s">
        <v>618</v>
      </c>
      <c r="Y54" s="1167">
        <v>43641.00818287037</v>
      </c>
      <c r="Z54" s="1159" t="s">
        <v>618</v>
      </c>
      <c r="AA54" s="1167">
        <v>43833.375868055555</v>
      </c>
      <c r="AB54" s="1138">
        <f t="shared" si="0"/>
        <v>246600</v>
      </c>
    </row>
    <row r="55" spans="1:28" x14ac:dyDescent="0.25">
      <c r="A55" s="1150">
        <v>110271</v>
      </c>
      <c r="B55" s="1150" t="s">
        <v>714</v>
      </c>
      <c r="C55" s="1150" t="s">
        <v>715</v>
      </c>
      <c r="D55" s="1151">
        <v>43574</v>
      </c>
      <c r="E55" s="1152">
        <v>63350000</v>
      </c>
      <c r="F55" s="1150" t="s">
        <v>387</v>
      </c>
      <c r="G55" s="1153" t="s">
        <v>611</v>
      </c>
      <c r="H55" s="1154">
        <v>3342</v>
      </c>
      <c r="I55" s="1150" t="s">
        <v>629</v>
      </c>
      <c r="J55" s="1153" t="s">
        <v>14</v>
      </c>
      <c r="K55" s="1150" t="s">
        <v>76</v>
      </c>
      <c r="L55" s="1150" t="s">
        <v>716</v>
      </c>
      <c r="M55" s="1153" t="s">
        <v>14</v>
      </c>
      <c r="N55" s="1153" t="s">
        <v>717</v>
      </c>
      <c r="O55" s="1155">
        <v>77</v>
      </c>
      <c r="P55" s="1156"/>
      <c r="Q55" s="1155">
        <v>5</v>
      </c>
      <c r="R55" s="1150" t="s">
        <v>624</v>
      </c>
      <c r="S55" s="1150" t="s">
        <v>718</v>
      </c>
      <c r="T55" s="1150" t="s">
        <v>719</v>
      </c>
      <c r="U55" s="1157">
        <v>188500</v>
      </c>
      <c r="V55" s="1150" t="s">
        <v>720</v>
      </c>
      <c r="W55" s="1157">
        <v>229600</v>
      </c>
      <c r="X55" s="1150" t="s">
        <v>721</v>
      </c>
      <c r="Y55" s="1158">
        <v>43574.39334490741</v>
      </c>
      <c r="Z55" s="1150" t="s">
        <v>674</v>
      </c>
      <c r="AA55" s="1158">
        <v>43843.58446759259</v>
      </c>
      <c r="AB55" s="1138">
        <f t="shared" si="0"/>
        <v>459200</v>
      </c>
    </row>
    <row r="56" spans="1:28" x14ac:dyDescent="0.25">
      <c r="A56" s="1159">
        <v>109416</v>
      </c>
      <c r="B56" s="1159" t="s">
        <v>714</v>
      </c>
      <c r="C56" s="1159" t="s">
        <v>722</v>
      </c>
      <c r="D56" s="1160">
        <v>43234</v>
      </c>
      <c r="E56" s="1161">
        <v>55200000</v>
      </c>
      <c r="F56" s="1159" t="s">
        <v>387</v>
      </c>
      <c r="G56" s="1162" t="s">
        <v>611</v>
      </c>
      <c r="H56" s="1163">
        <v>3342</v>
      </c>
      <c r="I56" s="1159" t="s">
        <v>629</v>
      </c>
      <c r="J56" s="1162" t="s">
        <v>14</v>
      </c>
      <c r="K56" s="1159" t="s">
        <v>76</v>
      </c>
      <c r="L56" s="1159" t="s">
        <v>716</v>
      </c>
      <c r="M56" s="1162" t="s">
        <v>14</v>
      </c>
      <c r="N56" s="1162" t="s">
        <v>717</v>
      </c>
      <c r="O56" s="1164">
        <v>77</v>
      </c>
      <c r="P56" s="1165"/>
      <c r="Q56" s="1164">
        <v>5</v>
      </c>
      <c r="R56" s="1159" t="s">
        <v>624</v>
      </c>
      <c r="S56" s="1159" t="s">
        <v>718</v>
      </c>
      <c r="T56" s="1159" t="s">
        <v>723</v>
      </c>
      <c r="U56" s="1166">
        <v>165500</v>
      </c>
      <c r="V56" s="1159" t="s">
        <v>723</v>
      </c>
      <c r="W56" s="1166">
        <v>165500</v>
      </c>
      <c r="X56" s="1159" t="s">
        <v>721</v>
      </c>
      <c r="Y56" s="1167">
        <v>43234.37390046296</v>
      </c>
      <c r="Z56" s="1159" t="s">
        <v>674</v>
      </c>
      <c r="AA56" s="1167">
        <v>43843.57875</v>
      </c>
      <c r="AB56" s="1138">
        <f t="shared" si="0"/>
        <v>331000</v>
      </c>
    </row>
    <row r="57" spans="1:28" x14ac:dyDescent="0.25">
      <c r="A57" s="1150">
        <v>111002</v>
      </c>
      <c r="B57" s="1150" t="s">
        <v>714</v>
      </c>
      <c r="C57" s="1150" t="s">
        <v>724</v>
      </c>
      <c r="D57" s="1151">
        <v>43831</v>
      </c>
      <c r="E57" s="1152">
        <v>81070000</v>
      </c>
      <c r="F57" s="1150" t="s">
        <v>387</v>
      </c>
      <c r="G57" s="1153" t="s">
        <v>611</v>
      </c>
      <c r="H57" s="1154">
        <v>3342</v>
      </c>
      <c r="I57" s="1150" t="s">
        <v>629</v>
      </c>
      <c r="J57" s="1153" t="s">
        <v>14</v>
      </c>
      <c r="K57" s="1150" t="s">
        <v>76</v>
      </c>
      <c r="L57" s="1150" t="s">
        <v>716</v>
      </c>
      <c r="M57" s="1153" t="s">
        <v>14</v>
      </c>
      <c r="N57" s="1153" t="s">
        <v>717</v>
      </c>
      <c r="O57" s="1155">
        <v>77</v>
      </c>
      <c r="P57" s="1156"/>
      <c r="Q57" s="1155">
        <v>5</v>
      </c>
      <c r="R57" s="1150" t="s">
        <v>624</v>
      </c>
      <c r="S57" s="1150" t="s">
        <v>718</v>
      </c>
      <c r="T57" s="1150" t="s">
        <v>719</v>
      </c>
      <c r="U57" s="1157">
        <v>188500</v>
      </c>
      <c r="V57" s="1150" t="s">
        <v>720</v>
      </c>
      <c r="W57" s="1157">
        <v>229600</v>
      </c>
      <c r="X57" s="1150" t="s">
        <v>618</v>
      </c>
      <c r="Y57" s="1158">
        <v>43841.40530092592</v>
      </c>
      <c r="Z57" s="1150" t="s">
        <v>618</v>
      </c>
      <c r="AA57" s="1158">
        <v>43894.85261574074</v>
      </c>
      <c r="AB57" s="1138">
        <f t="shared" si="0"/>
        <v>459200</v>
      </c>
    </row>
    <row r="58" ht="24" customHeight="1" spans="1:28" x14ac:dyDescent="0.25">
      <c r="A58" s="1159">
        <v>110999</v>
      </c>
      <c r="B58" s="1159" t="s">
        <v>714</v>
      </c>
      <c r="C58" s="1159" t="s">
        <v>725</v>
      </c>
      <c r="D58" s="1160">
        <v>43831</v>
      </c>
      <c r="E58" s="1161">
        <v>65370000</v>
      </c>
      <c r="F58" s="1159" t="s">
        <v>387</v>
      </c>
      <c r="G58" s="1162" t="s">
        <v>611</v>
      </c>
      <c r="H58" s="1163">
        <v>3342</v>
      </c>
      <c r="I58" s="1159" t="s">
        <v>629</v>
      </c>
      <c r="J58" s="1162" t="s">
        <v>14</v>
      </c>
      <c r="K58" s="1159" t="s">
        <v>76</v>
      </c>
      <c r="L58" s="1159" t="s">
        <v>716</v>
      </c>
      <c r="M58" s="1162" t="s">
        <v>14</v>
      </c>
      <c r="N58" s="1162" t="s">
        <v>717</v>
      </c>
      <c r="O58" s="1164">
        <v>77</v>
      </c>
      <c r="P58" s="1165"/>
      <c r="Q58" s="1164">
        <v>5</v>
      </c>
      <c r="R58" s="1159" t="s">
        <v>624</v>
      </c>
      <c r="S58" s="1159" t="s">
        <v>718</v>
      </c>
      <c r="T58" s="1159" t="s">
        <v>719</v>
      </c>
      <c r="U58" s="1166">
        <v>188500</v>
      </c>
      <c r="V58" s="1159" t="s">
        <v>720</v>
      </c>
      <c r="W58" s="1166">
        <v>229600</v>
      </c>
      <c r="X58" s="1159" t="s">
        <v>618</v>
      </c>
      <c r="Y58" s="1167">
        <v>43841.39785879629</v>
      </c>
      <c r="Z58" s="1159" t="s">
        <v>618</v>
      </c>
      <c r="AA58" s="1167">
        <v>43894.84614583333</v>
      </c>
      <c r="AB58" s="1138">
        <f t="shared" si="0"/>
        <v>459200</v>
      </c>
    </row>
    <row r="59" ht="24" customHeight="1" spans="1:28" x14ac:dyDescent="0.25">
      <c r="A59" s="1150">
        <v>111000</v>
      </c>
      <c r="B59" s="1150" t="s">
        <v>714</v>
      </c>
      <c r="C59" s="1150" t="s">
        <v>726</v>
      </c>
      <c r="D59" s="1151">
        <v>43831</v>
      </c>
      <c r="E59" s="1152">
        <v>67870000</v>
      </c>
      <c r="F59" s="1150" t="s">
        <v>387</v>
      </c>
      <c r="G59" s="1153" t="s">
        <v>611</v>
      </c>
      <c r="H59" s="1154">
        <v>3342</v>
      </c>
      <c r="I59" s="1150" t="s">
        <v>629</v>
      </c>
      <c r="J59" s="1153" t="s">
        <v>14</v>
      </c>
      <c r="K59" s="1150" t="s">
        <v>76</v>
      </c>
      <c r="L59" s="1150" t="s">
        <v>716</v>
      </c>
      <c r="M59" s="1153" t="s">
        <v>14</v>
      </c>
      <c r="N59" s="1153" t="s">
        <v>717</v>
      </c>
      <c r="O59" s="1155">
        <v>77</v>
      </c>
      <c r="P59" s="1156"/>
      <c r="Q59" s="1155">
        <v>5</v>
      </c>
      <c r="R59" s="1150" t="s">
        <v>624</v>
      </c>
      <c r="S59" s="1150" t="s">
        <v>718</v>
      </c>
      <c r="T59" s="1150" t="s">
        <v>719</v>
      </c>
      <c r="U59" s="1157">
        <v>188500</v>
      </c>
      <c r="V59" s="1150" t="s">
        <v>720</v>
      </c>
      <c r="W59" s="1157">
        <v>229600</v>
      </c>
      <c r="X59" s="1150" t="s">
        <v>618</v>
      </c>
      <c r="Y59" s="1158">
        <v>43841.40314814815</v>
      </c>
      <c r="Z59" s="1150" t="s">
        <v>618</v>
      </c>
      <c r="AA59" s="1158">
        <v>43894.84715277777</v>
      </c>
      <c r="AB59" s="1138">
        <f t="shared" si="0"/>
        <v>459200</v>
      </c>
    </row>
    <row r="60" ht="24" customHeight="1" spans="1:28" x14ac:dyDescent="0.25">
      <c r="A60" s="1159">
        <v>111001</v>
      </c>
      <c r="B60" s="1159" t="s">
        <v>714</v>
      </c>
      <c r="C60" s="1159" t="s">
        <v>727</v>
      </c>
      <c r="D60" s="1160">
        <v>43831</v>
      </c>
      <c r="E60" s="1161">
        <v>72820000</v>
      </c>
      <c r="F60" s="1159" t="s">
        <v>387</v>
      </c>
      <c r="G60" s="1162" t="s">
        <v>611</v>
      </c>
      <c r="H60" s="1163">
        <v>3342</v>
      </c>
      <c r="I60" s="1159" t="s">
        <v>629</v>
      </c>
      <c r="J60" s="1162" t="s">
        <v>14</v>
      </c>
      <c r="K60" s="1159" t="s">
        <v>76</v>
      </c>
      <c r="L60" s="1159" t="s">
        <v>716</v>
      </c>
      <c r="M60" s="1162" t="s">
        <v>14</v>
      </c>
      <c r="N60" s="1162" t="s">
        <v>717</v>
      </c>
      <c r="O60" s="1164">
        <v>77</v>
      </c>
      <c r="P60" s="1165"/>
      <c r="Q60" s="1164">
        <v>5</v>
      </c>
      <c r="R60" s="1159" t="s">
        <v>624</v>
      </c>
      <c r="S60" s="1159" t="s">
        <v>718</v>
      </c>
      <c r="T60" s="1159" t="s">
        <v>719</v>
      </c>
      <c r="U60" s="1166">
        <v>188500</v>
      </c>
      <c r="V60" s="1159" t="s">
        <v>720</v>
      </c>
      <c r="W60" s="1166">
        <v>229600</v>
      </c>
      <c r="X60" s="1159" t="s">
        <v>618</v>
      </c>
      <c r="Y60" s="1167">
        <v>43841.40497685185</v>
      </c>
      <c r="Z60" s="1159" t="s">
        <v>618</v>
      </c>
      <c r="AA60" s="1167">
        <v>43894.85223379629</v>
      </c>
      <c r="AB60" s="1138">
        <f t="shared" si="0"/>
        <v>459200</v>
      </c>
    </row>
    <row r="61" spans="1:28" x14ac:dyDescent="0.25">
      <c r="A61" s="1150">
        <v>110996</v>
      </c>
      <c r="B61" s="1150" t="s">
        <v>714</v>
      </c>
      <c r="C61" s="1150" t="s">
        <v>728</v>
      </c>
      <c r="D61" s="1151">
        <v>43831</v>
      </c>
      <c r="E61" s="1152">
        <v>76270000</v>
      </c>
      <c r="F61" s="1150" t="s">
        <v>387</v>
      </c>
      <c r="G61" s="1153" t="s">
        <v>611</v>
      </c>
      <c r="H61" s="1154">
        <v>3778</v>
      </c>
      <c r="I61" s="1150" t="s">
        <v>629</v>
      </c>
      <c r="J61" s="1153" t="s">
        <v>14</v>
      </c>
      <c r="K61" s="1150" t="s">
        <v>76</v>
      </c>
      <c r="L61" s="1150" t="s">
        <v>716</v>
      </c>
      <c r="M61" s="1153" t="s">
        <v>14</v>
      </c>
      <c r="N61" s="1153" t="s">
        <v>717</v>
      </c>
      <c r="O61" s="1155">
        <v>77</v>
      </c>
      <c r="P61" s="1156"/>
      <c r="Q61" s="1155">
        <v>5</v>
      </c>
      <c r="R61" s="1150" t="s">
        <v>643</v>
      </c>
      <c r="S61" s="1150" t="s">
        <v>718</v>
      </c>
      <c r="T61" s="1150" t="s">
        <v>719</v>
      </c>
      <c r="U61" s="1157">
        <v>188500</v>
      </c>
      <c r="V61" s="1150" t="s">
        <v>720</v>
      </c>
      <c r="W61" s="1157">
        <v>229600</v>
      </c>
      <c r="X61" s="1150" t="s">
        <v>618</v>
      </c>
      <c r="Y61" s="1158">
        <v>43841.3954050926</v>
      </c>
      <c r="Z61" s="1150" t="s">
        <v>618</v>
      </c>
      <c r="AA61" s="1158">
        <v>43894.91385416666</v>
      </c>
      <c r="AB61" s="1138">
        <f t="shared" si="0"/>
        <v>459200</v>
      </c>
    </row>
    <row r="62" spans="1:28" x14ac:dyDescent="0.25">
      <c r="A62" s="1159">
        <v>110991</v>
      </c>
      <c r="B62" s="1159" t="s">
        <v>714</v>
      </c>
      <c r="C62" s="1159" t="s">
        <v>729</v>
      </c>
      <c r="D62" s="1160">
        <v>43831</v>
      </c>
      <c r="E62" s="1161">
        <v>53770000</v>
      </c>
      <c r="F62" s="1159" t="s">
        <v>387</v>
      </c>
      <c r="G62" s="1162" t="s">
        <v>611</v>
      </c>
      <c r="H62" s="1163">
        <v>3778</v>
      </c>
      <c r="I62" s="1159" t="s">
        <v>629</v>
      </c>
      <c r="J62" s="1162" t="s">
        <v>14</v>
      </c>
      <c r="K62" s="1159" t="s">
        <v>76</v>
      </c>
      <c r="L62" s="1159" t="s">
        <v>716</v>
      </c>
      <c r="M62" s="1162" t="s">
        <v>14</v>
      </c>
      <c r="N62" s="1162" t="s">
        <v>717</v>
      </c>
      <c r="O62" s="1164">
        <v>77</v>
      </c>
      <c r="P62" s="1165"/>
      <c r="Q62" s="1164">
        <v>5</v>
      </c>
      <c r="R62" s="1159" t="s">
        <v>643</v>
      </c>
      <c r="S62" s="1159" t="s">
        <v>718</v>
      </c>
      <c r="T62" s="1159" t="s">
        <v>723</v>
      </c>
      <c r="U62" s="1166">
        <v>165500</v>
      </c>
      <c r="V62" s="1159" t="s">
        <v>723</v>
      </c>
      <c r="W62" s="1166">
        <v>165500</v>
      </c>
      <c r="X62" s="1159" t="s">
        <v>618</v>
      </c>
      <c r="Y62" s="1167">
        <v>43841.392916666664</v>
      </c>
      <c r="Z62" s="1159" t="s">
        <v>618</v>
      </c>
      <c r="AA62" s="1167">
        <v>43894.911990740744</v>
      </c>
      <c r="AB62" s="1138">
        <f t="shared" si="0"/>
        <v>331000</v>
      </c>
    </row>
    <row r="63" spans="1:28" x14ac:dyDescent="0.25">
      <c r="A63" s="1150">
        <v>110992</v>
      </c>
      <c r="B63" s="1150" t="s">
        <v>714</v>
      </c>
      <c r="C63" s="1150" t="s">
        <v>730</v>
      </c>
      <c r="D63" s="1151">
        <v>43831</v>
      </c>
      <c r="E63" s="1152">
        <v>56270000</v>
      </c>
      <c r="F63" s="1150" t="s">
        <v>387</v>
      </c>
      <c r="G63" s="1153" t="s">
        <v>611</v>
      </c>
      <c r="H63" s="1154">
        <v>3778</v>
      </c>
      <c r="I63" s="1150" t="s">
        <v>629</v>
      </c>
      <c r="J63" s="1153" t="s">
        <v>14</v>
      </c>
      <c r="K63" s="1150" t="s">
        <v>76</v>
      </c>
      <c r="L63" s="1150" t="s">
        <v>716</v>
      </c>
      <c r="M63" s="1153" t="s">
        <v>14</v>
      </c>
      <c r="N63" s="1153" t="s">
        <v>717</v>
      </c>
      <c r="O63" s="1155">
        <v>77</v>
      </c>
      <c r="P63" s="1156"/>
      <c r="Q63" s="1155">
        <v>5</v>
      </c>
      <c r="R63" s="1150" t="s">
        <v>643</v>
      </c>
      <c r="S63" s="1150" t="s">
        <v>718</v>
      </c>
      <c r="T63" s="1150" t="s">
        <v>723</v>
      </c>
      <c r="U63" s="1157">
        <v>165500</v>
      </c>
      <c r="V63" s="1150" t="s">
        <v>723</v>
      </c>
      <c r="W63" s="1157">
        <v>165500</v>
      </c>
      <c r="X63" s="1150" t="s">
        <v>618</v>
      </c>
      <c r="Y63" s="1158">
        <v>43841.39408564815</v>
      </c>
      <c r="Z63" s="1150" t="s">
        <v>618</v>
      </c>
      <c r="AA63" s="1158">
        <v>43894.91243055556</v>
      </c>
      <c r="AB63" s="1138">
        <f t="shared" si="0"/>
        <v>331000</v>
      </c>
    </row>
    <row r="64" spans="1:28" x14ac:dyDescent="0.25">
      <c r="A64" s="1159">
        <v>110993</v>
      </c>
      <c r="B64" s="1159" t="s">
        <v>714</v>
      </c>
      <c r="C64" s="1159" t="s">
        <v>731</v>
      </c>
      <c r="D64" s="1160">
        <v>43831</v>
      </c>
      <c r="E64" s="1161">
        <v>58370000</v>
      </c>
      <c r="F64" s="1159" t="s">
        <v>387</v>
      </c>
      <c r="G64" s="1162" t="s">
        <v>611</v>
      </c>
      <c r="H64" s="1163">
        <v>3778</v>
      </c>
      <c r="I64" s="1159" t="s">
        <v>629</v>
      </c>
      <c r="J64" s="1162" t="s">
        <v>14</v>
      </c>
      <c r="K64" s="1159" t="s">
        <v>76</v>
      </c>
      <c r="L64" s="1159" t="s">
        <v>716</v>
      </c>
      <c r="M64" s="1162" t="s">
        <v>14</v>
      </c>
      <c r="N64" s="1162" t="s">
        <v>717</v>
      </c>
      <c r="O64" s="1164">
        <v>77</v>
      </c>
      <c r="P64" s="1165"/>
      <c r="Q64" s="1164">
        <v>5</v>
      </c>
      <c r="R64" s="1159" t="s">
        <v>643</v>
      </c>
      <c r="S64" s="1159" t="s">
        <v>718</v>
      </c>
      <c r="T64" s="1159" t="s">
        <v>719</v>
      </c>
      <c r="U64" s="1166">
        <v>188500</v>
      </c>
      <c r="V64" s="1159" t="s">
        <v>720</v>
      </c>
      <c r="W64" s="1166">
        <v>229600</v>
      </c>
      <c r="X64" s="1159" t="s">
        <v>618</v>
      </c>
      <c r="Y64" s="1167">
        <v>43841.394375</v>
      </c>
      <c r="Z64" s="1159" t="s">
        <v>618</v>
      </c>
      <c r="AA64" s="1167">
        <v>43894.91285879629</v>
      </c>
      <c r="AB64" s="1138">
        <f t="shared" si="0"/>
        <v>459200</v>
      </c>
    </row>
    <row r="65" spans="1:28" x14ac:dyDescent="0.25">
      <c r="A65" s="1150">
        <v>110994</v>
      </c>
      <c r="B65" s="1150" t="s">
        <v>714</v>
      </c>
      <c r="C65" s="1150" t="s">
        <v>732</v>
      </c>
      <c r="D65" s="1151">
        <v>43831</v>
      </c>
      <c r="E65" s="1152">
        <v>60870000</v>
      </c>
      <c r="F65" s="1150" t="s">
        <v>387</v>
      </c>
      <c r="G65" s="1153" t="s">
        <v>611</v>
      </c>
      <c r="H65" s="1154">
        <v>3778</v>
      </c>
      <c r="I65" s="1150" t="s">
        <v>629</v>
      </c>
      <c r="J65" s="1153" t="s">
        <v>14</v>
      </c>
      <c r="K65" s="1150" t="s">
        <v>76</v>
      </c>
      <c r="L65" s="1150" t="s">
        <v>716</v>
      </c>
      <c r="M65" s="1153" t="s">
        <v>14</v>
      </c>
      <c r="N65" s="1153" t="s">
        <v>717</v>
      </c>
      <c r="O65" s="1155">
        <v>77</v>
      </c>
      <c r="P65" s="1156"/>
      <c r="Q65" s="1155">
        <v>5</v>
      </c>
      <c r="R65" s="1150" t="s">
        <v>643</v>
      </c>
      <c r="S65" s="1150" t="s">
        <v>718</v>
      </c>
      <c r="T65" s="1150" t="s">
        <v>719</v>
      </c>
      <c r="U65" s="1157">
        <v>188500</v>
      </c>
      <c r="V65" s="1150" t="s">
        <v>720</v>
      </c>
      <c r="W65" s="1157">
        <v>229600</v>
      </c>
      <c r="X65" s="1150" t="s">
        <v>618</v>
      </c>
      <c r="Y65" s="1158">
        <v>43841.39465277777</v>
      </c>
      <c r="Z65" s="1150" t="s">
        <v>618</v>
      </c>
      <c r="AA65" s="1158">
        <v>43894.9131712963</v>
      </c>
      <c r="AB65" s="1138">
        <f t="shared" si="0"/>
        <v>459200</v>
      </c>
    </row>
    <row r="66" spans="1:28" x14ac:dyDescent="0.25">
      <c r="A66" s="1159">
        <v>110995</v>
      </c>
      <c r="B66" s="1159" t="s">
        <v>714</v>
      </c>
      <c r="C66" s="1159" t="s">
        <v>733</v>
      </c>
      <c r="D66" s="1160">
        <v>43831</v>
      </c>
      <c r="E66" s="1161">
        <v>68020000</v>
      </c>
      <c r="F66" s="1159" t="s">
        <v>387</v>
      </c>
      <c r="G66" s="1162" t="s">
        <v>611</v>
      </c>
      <c r="H66" s="1163">
        <v>3778</v>
      </c>
      <c r="I66" s="1159" t="s">
        <v>629</v>
      </c>
      <c r="J66" s="1162" t="s">
        <v>14</v>
      </c>
      <c r="K66" s="1159" t="s">
        <v>76</v>
      </c>
      <c r="L66" s="1159" t="s">
        <v>716</v>
      </c>
      <c r="M66" s="1162" t="s">
        <v>14</v>
      </c>
      <c r="N66" s="1162" t="s">
        <v>717</v>
      </c>
      <c r="O66" s="1164">
        <v>77</v>
      </c>
      <c r="P66" s="1165"/>
      <c r="Q66" s="1164">
        <v>5</v>
      </c>
      <c r="R66" s="1159" t="s">
        <v>643</v>
      </c>
      <c r="S66" s="1159" t="s">
        <v>718</v>
      </c>
      <c r="T66" s="1159" t="s">
        <v>719</v>
      </c>
      <c r="U66" s="1166">
        <v>188500</v>
      </c>
      <c r="V66" s="1159" t="s">
        <v>720</v>
      </c>
      <c r="W66" s="1166">
        <v>229600</v>
      </c>
      <c r="X66" s="1159" t="s">
        <v>618</v>
      </c>
      <c r="Y66" s="1167">
        <v>43841.39503472223</v>
      </c>
      <c r="Z66" s="1159" t="s">
        <v>618</v>
      </c>
      <c r="AA66" s="1167">
        <v>43894.91349537037</v>
      </c>
      <c r="AB66" s="1138">
        <f t="shared" si="0"/>
        <v>459200</v>
      </c>
    </row>
    <row r="67" spans="1:28" x14ac:dyDescent="0.25">
      <c r="A67" s="1150">
        <v>111005</v>
      </c>
      <c r="B67" s="1150" t="s">
        <v>714</v>
      </c>
      <c r="C67" s="1150" t="s">
        <v>734</v>
      </c>
      <c r="D67" s="1151">
        <v>43831</v>
      </c>
      <c r="E67" s="1152">
        <v>92070000</v>
      </c>
      <c r="F67" s="1150" t="s">
        <v>387</v>
      </c>
      <c r="G67" s="1153" t="s">
        <v>611</v>
      </c>
      <c r="H67" s="1154">
        <v>5038</v>
      </c>
      <c r="I67" s="1150" t="s">
        <v>629</v>
      </c>
      <c r="J67" s="1153" t="s">
        <v>14</v>
      </c>
      <c r="K67" s="1150" t="s">
        <v>76</v>
      </c>
      <c r="L67" s="1150" t="s">
        <v>716</v>
      </c>
      <c r="M67" s="1153" t="s">
        <v>14</v>
      </c>
      <c r="N67" s="1153" t="s">
        <v>717</v>
      </c>
      <c r="O67" s="1155">
        <v>77</v>
      </c>
      <c r="P67" s="1156"/>
      <c r="Q67" s="1155">
        <v>5</v>
      </c>
      <c r="R67" s="1150" t="s">
        <v>615</v>
      </c>
      <c r="S67" s="1150" t="s">
        <v>718</v>
      </c>
      <c r="T67" s="1150" t="s">
        <v>719</v>
      </c>
      <c r="U67" s="1157">
        <v>188500</v>
      </c>
      <c r="V67" s="1150" t="s">
        <v>720</v>
      </c>
      <c r="W67" s="1157">
        <v>229600</v>
      </c>
      <c r="X67" s="1150" t="s">
        <v>618</v>
      </c>
      <c r="Y67" s="1158">
        <v>43841.4624537037</v>
      </c>
      <c r="Z67" s="1150" t="s">
        <v>618</v>
      </c>
      <c r="AA67" s="1158">
        <v>43894.910787037035</v>
      </c>
      <c r="AB67" s="1138">
        <f t="shared" ref="AB67:AB130" si="1">W67*2</f>
        <v>459200</v>
      </c>
    </row>
    <row r="68" spans="1:28" x14ac:dyDescent="0.25">
      <c r="A68" s="1159">
        <v>110721</v>
      </c>
      <c r="B68" s="1159" t="s">
        <v>735</v>
      </c>
      <c r="C68" s="1159" t="s">
        <v>736</v>
      </c>
      <c r="D68" s="1160">
        <v>43760</v>
      </c>
      <c r="E68" s="1161">
        <v>29440000</v>
      </c>
      <c r="F68" s="1159" t="s">
        <v>610</v>
      </c>
      <c r="G68" s="1162" t="s">
        <v>611</v>
      </c>
      <c r="H68" s="1163">
        <v>1749</v>
      </c>
      <c r="I68" s="1159" t="s">
        <v>612</v>
      </c>
      <c r="J68" s="1162" t="s">
        <v>14</v>
      </c>
      <c r="K68" s="1159" t="s">
        <v>613</v>
      </c>
      <c r="L68" s="1159" t="s">
        <v>737</v>
      </c>
      <c r="M68" s="1162" t="s">
        <v>14</v>
      </c>
      <c r="N68" s="1162" t="s">
        <v>738</v>
      </c>
      <c r="O68" s="1164">
        <v>65</v>
      </c>
      <c r="P68" s="1165"/>
      <c r="Q68" s="1164">
        <v>5</v>
      </c>
      <c r="R68" s="1159" t="s">
        <v>662</v>
      </c>
      <c r="S68" s="1159" t="s">
        <v>739</v>
      </c>
      <c r="T68" s="1159" t="s">
        <v>740</v>
      </c>
      <c r="U68" s="1166">
        <v>169200</v>
      </c>
      <c r="V68" s="1159" t="s">
        <v>740</v>
      </c>
      <c r="W68" s="1166">
        <v>169200</v>
      </c>
      <c r="X68" s="1159" t="s">
        <v>618</v>
      </c>
      <c r="Y68" s="1167">
        <v>43760.03134259259</v>
      </c>
      <c r="Z68" s="1159" t="s">
        <v>618</v>
      </c>
      <c r="AA68" s="1167">
        <v>43900.52774305556</v>
      </c>
      <c r="AB68" s="1138">
        <f t="shared" si="1"/>
        <v>338400</v>
      </c>
    </row>
    <row r="69" ht="24" customHeight="1" spans="1:28" x14ac:dyDescent="0.25">
      <c r="A69" s="1150">
        <v>110722</v>
      </c>
      <c r="B69" s="1150" t="s">
        <v>735</v>
      </c>
      <c r="C69" s="1150" t="s">
        <v>741</v>
      </c>
      <c r="D69" s="1151">
        <v>43760</v>
      </c>
      <c r="E69" s="1152">
        <v>32370000</v>
      </c>
      <c r="F69" s="1150" t="s">
        <v>610</v>
      </c>
      <c r="G69" s="1153" t="s">
        <v>611</v>
      </c>
      <c r="H69" s="1154">
        <v>1749</v>
      </c>
      <c r="I69" s="1150" t="s">
        <v>612</v>
      </c>
      <c r="J69" s="1153" t="s">
        <v>14</v>
      </c>
      <c r="K69" s="1150" t="s">
        <v>613</v>
      </c>
      <c r="L69" s="1150" t="s">
        <v>737</v>
      </c>
      <c r="M69" s="1153" t="s">
        <v>14</v>
      </c>
      <c r="N69" s="1153" t="s">
        <v>738</v>
      </c>
      <c r="O69" s="1155">
        <v>65</v>
      </c>
      <c r="P69" s="1156"/>
      <c r="Q69" s="1155">
        <v>5</v>
      </c>
      <c r="R69" s="1150" t="s">
        <v>662</v>
      </c>
      <c r="S69" s="1150" t="s">
        <v>739</v>
      </c>
      <c r="T69" s="1150" t="s">
        <v>740</v>
      </c>
      <c r="U69" s="1157">
        <v>169200</v>
      </c>
      <c r="V69" s="1150" t="s">
        <v>740</v>
      </c>
      <c r="W69" s="1157">
        <v>169200</v>
      </c>
      <c r="X69" s="1150" t="s">
        <v>618</v>
      </c>
      <c r="Y69" s="1158">
        <v>43760.04498842593</v>
      </c>
      <c r="Z69" s="1150" t="s">
        <v>618</v>
      </c>
      <c r="AA69" s="1158">
        <v>43900.5278587963</v>
      </c>
      <c r="AB69" s="1138">
        <f t="shared" si="1"/>
        <v>338400</v>
      </c>
    </row>
    <row r="70" spans="1:28" x14ac:dyDescent="0.25">
      <c r="A70" s="1159">
        <v>110723</v>
      </c>
      <c r="B70" s="1159" t="s">
        <v>735</v>
      </c>
      <c r="C70" s="1159" t="s">
        <v>742</v>
      </c>
      <c r="D70" s="1160">
        <v>43760</v>
      </c>
      <c r="E70" s="1161">
        <v>26570000</v>
      </c>
      <c r="F70" s="1159" t="s">
        <v>610</v>
      </c>
      <c r="G70" s="1162" t="s">
        <v>611</v>
      </c>
      <c r="H70" s="1163">
        <v>1749</v>
      </c>
      <c r="I70" s="1159" t="s">
        <v>612</v>
      </c>
      <c r="J70" s="1162" t="s">
        <v>14</v>
      </c>
      <c r="K70" s="1159" t="s">
        <v>613</v>
      </c>
      <c r="L70" s="1159" t="s">
        <v>737</v>
      </c>
      <c r="M70" s="1162" t="s">
        <v>14</v>
      </c>
      <c r="N70" s="1162" t="s">
        <v>738</v>
      </c>
      <c r="O70" s="1164">
        <v>65</v>
      </c>
      <c r="P70" s="1165"/>
      <c r="Q70" s="1164">
        <v>5</v>
      </c>
      <c r="R70" s="1159" t="s">
        <v>662</v>
      </c>
      <c r="S70" s="1159" t="s">
        <v>739</v>
      </c>
      <c r="T70" s="1159" t="s">
        <v>743</v>
      </c>
      <c r="U70" s="1166">
        <v>141000</v>
      </c>
      <c r="V70" s="1159" t="s">
        <v>743</v>
      </c>
      <c r="W70" s="1166">
        <v>141000</v>
      </c>
      <c r="X70" s="1159" t="s">
        <v>618</v>
      </c>
      <c r="Y70" s="1167">
        <v>43760.054814814815</v>
      </c>
      <c r="Z70" s="1159" t="s">
        <v>618</v>
      </c>
      <c r="AA70" s="1167">
        <v>43900.52758101852</v>
      </c>
      <c r="AB70" s="1138">
        <f t="shared" si="1"/>
        <v>282000</v>
      </c>
    </row>
    <row r="71" spans="1:28" x14ac:dyDescent="0.25">
      <c r="A71" s="1150">
        <v>110726</v>
      </c>
      <c r="B71" s="1150" t="s">
        <v>735</v>
      </c>
      <c r="C71" s="1150" t="s">
        <v>744</v>
      </c>
      <c r="D71" s="1151">
        <v>43760</v>
      </c>
      <c r="E71" s="1152">
        <v>37870000</v>
      </c>
      <c r="F71" s="1150" t="s">
        <v>610</v>
      </c>
      <c r="G71" s="1153" t="s">
        <v>611</v>
      </c>
      <c r="H71" s="1154">
        <v>1997</v>
      </c>
      <c r="I71" s="1150" t="s">
        <v>612</v>
      </c>
      <c r="J71" s="1153" t="s">
        <v>14</v>
      </c>
      <c r="K71" s="1150" t="s">
        <v>613</v>
      </c>
      <c r="L71" s="1150" t="s">
        <v>737</v>
      </c>
      <c r="M71" s="1153" t="s">
        <v>14</v>
      </c>
      <c r="N71" s="1153" t="s">
        <v>738</v>
      </c>
      <c r="O71" s="1155">
        <v>65</v>
      </c>
      <c r="P71" s="1156"/>
      <c r="Q71" s="1155">
        <v>5</v>
      </c>
      <c r="R71" s="1150" t="s">
        <v>662</v>
      </c>
      <c r="S71" s="1150" t="s">
        <v>739</v>
      </c>
      <c r="T71" s="1150" t="s">
        <v>745</v>
      </c>
      <c r="U71" s="1157">
        <v>170000</v>
      </c>
      <c r="V71" s="1150" t="s">
        <v>745</v>
      </c>
      <c r="W71" s="1157">
        <v>170000</v>
      </c>
      <c r="X71" s="1150" t="s">
        <v>618</v>
      </c>
      <c r="Y71" s="1158">
        <v>43760.062256944446</v>
      </c>
      <c r="Z71" s="1150" t="s">
        <v>618</v>
      </c>
      <c r="AA71" s="1158">
        <v>43900.52596064815</v>
      </c>
      <c r="AB71" s="1138">
        <f t="shared" si="1"/>
        <v>340000</v>
      </c>
    </row>
    <row r="72" spans="1:28" x14ac:dyDescent="0.25">
      <c r="A72" s="1159">
        <v>110705</v>
      </c>
      <c r="B72" s="1159" t="s">
        <v>735</v>
      </c>
      <c r="C72" s="1159" t="s">
        <v>746</v>
      </c>
      <c r="D72" s="1160">
        <v>43759</v>
      </c>
      <c r="E72" s="1161">
        <v>31880000</v>
      </c>
      <c r="F72" s="1159" t="s">
        <v>610</v>
      </c>
      <c r="G72" s="1162" t="s">
        <v>611</v>
      </c>
      <c r="H72" s="1163">
        <v>1997</v>
      </c>
      <c r="I72" s="1159" t="s">
        <v>612</v>
      </c>
      <c r="J72" s="1162" t="s">
        <v>14</v>
      </c>
      <c r="K72" s="1159" t="s">
        <v>613</v>
      </c>
      <c r="L72" s="1159" t="s">
        <v>737</v>
      </c>
      <c r="M72" s="1162" t="s">
        <v>14</v>
      </c>
      <c r="N72" s="1162" t="s">
        <v>738</v>
      </c>
      <c r="O72" s="1164">
        <v>65</v>
      </c>
      <c r="P72" s="1165"/>
      <c r="Q72" s="1164">
        <v>5</v>
      </c>
      <c r="R72" s="1159" t="s">
        <v>662</v>
      </c>
      <c r="S72" s="1159" t="s">
        <v>739</v>
      </c>
      <c r="T72" s="1159" t="s">
        <v>740</v>
      </c>
      <c r="U72" s="1166">
        <v>169200</v>
      </c>
      <c r="V72" s="1159" t="s">
        <v>740</v>
      </c>
      <c r="W72" s="1166">
        <v>169200</v>
      </c>
      <c r="X72" s="1159" t="s">
        <v>618</v>
      </c>
      <c r="Y72" s="1167">
        <v>43759.685381944444</v>
      </c>
      <c r="Z72" s="1159" t="s">
        <v>618</v>
      </c>
      <c r="AA72" s="1167">
        <v>43900.52564814815</v>
      </c>
      <c r="AB72" s="1138">
        <f t="shared" si="1"/>
        <v>338400</v>
      </c>
    </row>
    <row r="73" ht="24" customHeight="1" spans="1:28" x14ac:dyDescent="0.25">
      <c r="A73" s="1150">
        <v>110706</v>
      </c>
      <c r="B73" s="1150" t="s">
        <v>735</v>
      </c>
      <c r="C73" s="1150" t="s">
        <v>747</v>
      </c>
      <c r="D73" s="1151">
        <v>43759</v>
      </c>
      <c r="E73" s="1152">
        <v>35070000</v>
      </c>
      <c r="F73" s="1150" t="s">
        <v>610</v>
      </c>
      <c r="G73" s="1153" t="s">
        <v>611</v>
      </c>
      <c r="H73" s="1154">
        <v>1997</v>
      </c>
      <c r="I73" s="1150" t="s">
        <v>612</v>
      </c>
      <c r="J73" s="1153" t="s">
        <v>14</v>
      </c>
      <c r="K73" s="1150" t="s">
        <v>613</v>
      </c>
      <c r="L73" s="1150" t="s">
        <v>737</v>
      </c>
      <c r="M73" s="1153" t="s">
        <v>14</v>
      </c>
      <c r="N73" s="1153" t="s">
        <v>738</v>
      </c>
      <c r="O73" s="1155">
        <v>65</v>
      </c>
      <c r="P73" s="1156"/>
      <c r="Q73" s="1155">
        <v>5</v>
      </c>
      <c r="R73" s="1150" t="s">
        <v>662</v>
      </c>
      <c r="S73" s="1150" t="s">
        <v>739</v>
      </c>
      <c r="T73" s="1150" t="s">
        <v>745</v>
      </c>
      <c r="U73" s="1157">
        <v>170000</v>
      </c>
      <c r="V73" s="1150" t="s">
        <v>745</v>
      </c>
      <c r="W73" s="1157">
        <v>170000</v>
      </c>
      <c r="X73" s="1150" t="s">
        <v>618</v>
      </c>
      <c r="Y73" s="1158">
        <v>43759.70990740741</v>
      </c>
      <c r="Z73" s="1150" t="s">
        <v>618</v>
      </c>
      <c r="AA73" s="1158">
        <v>43900.52578703704</v>
      </c>
      <c r="AB73" s="1138">
        <f t="shared" si="1"/>
        <v>340000</v>
      </c>
    </row>
    <row r="74" spans="1:28" x14ac:dyDescent="0.25">
      <c r="A74" s="1159">
        <v>110709</v>
      </c>
      <c r="B74" s="1159" t="s">
        <v>735</v>
      </c>
      <c r="C74" s="1159" t="s">
        <v>748</v>
      </c>
      <c r="D74" s="1160">
        <v>43759</v>
      </c>
      <c r="E74" s="1161">
        <v>25370000</v>
      </c>
      <c r="F74" s="1159" t="s">
        <v>387</v>
      </c>
      <c r="G74" s="1162" t="s">
        <v>611</v>
      </c>
      <c r="H74" s="1163">
        <v>1997</v>
      </c>
      <c r="I74" s="1159" t="s">
        <v>612</v>
      </c>
      <c r="J74" s="1162" t="s">
        <v>14</v>
      </c>
      <c r="K74" s="1159" t="s">
        <v>613</v>
      </c>
      <c r="L74" s="1159" t="s">
        <v>737</v>
      </c>
      <c r="M74" s="1162" t="s">
        <v>14</v>
      </c>
      <c r="N74" s="1162" t="s">
        <v>738</v>
      </c>
      <c r="O74" s="1164">
        <v>65</v>
      </c>
      <c r="P74" s="1165"/>
      <c r="Q74" s="1164">
        <v>5</v>
      </c>
      <c r="R74" s="1159" t="s">
        <v>662</v>
      </c>
      <c r="S74" s="1159" t="s">
        <v>739</v>
      </c>
      <c r="T74" s="1159" t="s">
        <v>740</v>
      </c>
      <c r="U74" s="1166">
        <v>169200</v>
      </c>
      <c r="V74" s="1159" t="s">
        <v>740</v>
      </c>
      <c r="W74" s="1166">
        <v>169200</v>
      </c>
      <c r="X74" s="1159" t="s">
        <v>618</v>
      </c>
      <c r="Y74" s="1167">
        <v>43759.94185185185</v>
      </c>
      <c r="Z74" s="1159" t="s">
        <v>618</v>
      </c>
      <c r="AA74" s="1167">
        <v>43900.52364583334</v>
      </c>
      <c r="AB74" s="1138">
        <f t="shared" si="1"/>
        <v>338400</v>
      </c>
    </row>
    <row r="75" spans="1:28" x14ac:dyDescent="0.25">
      <c r="A75" s="1150">
        <v>110727</v>
      </c>
      <c r="B75" s="1150" t="s">
        <v>735</v>
      </c>
      <c r="C75" s="1150" t="s">
        <v>749</v>
      </c>
      <c r="D75" s="1151">
        <v>43760</v>
      </c>
      <c r="E75" s="1152">
        <v>32070000</v>
      </c>
      <c r="F75" s="1150" t="s">
        <v>387</v>
      </c>
      <c r="G75" s="1153" t="s">
        <v>611</v>
      </c>
      <c r="H75" s="1154">
        <v>1997</v>
      </c>
      <c r="I75" s="1150" t="s">
        <v>612</v>
      </c>
      <c r="J75" s="1153" t="s">
        <v>14</v>
      </c>
      <c r="K75" s="1150" t="s">
        <v>613</v>
      </c>
      <c r="L75" s="1150" t="s">
        <v>737</v>
      </c>
      <c r="M75" s="1153" t="s">
        <v>14</v>
      </c>
      <c r="N75" s="1153" t="s">
        <v>738</v>
      </c>
      <c r="O75" s="1155">
        <v>65</v>
      </c>
      <c r="P75" s="1156"/>
      <c r="Q75" s="1155">
        <v>5</v>
      </c>
      <c r="R75" s="1150" t="s">
        <v>662</v>
      </c>
      <c r="S75" s="1150" t="s">
        <v>739</v>
      </c>
      <c r="T75" s="1150" t="s">
        <v>745</v>
      </c>
      <c r="U75" s="1157">
        <v>170000</v>
      </c>
      <c r="V75" s="1150" t="s">
        <v>745</v>
      </c>
      <c r="W75" s="1157">
        <v>170000</v>
      </c>
      <c r="X75" s="1150" t="s">
        <v>618</v>
      </c>
      <c r="Y75" s="1158">
        <v>43760.07853009259</v>
      </c>
      <c r="Z75" s="1150" t="s">
        <v>618</v>
      </c>
      <c r="AA75" s="1158">
        <v>43900.5244212963</v>
      </c>
      <c r="AB75" s="1138">
        <f t="shared" si="1"/>
        <v>340000</v>
      </c>
    </row>
    <row r="76" spans="1:28" x14ac:dyDescent="0.25">
      <c r="A76" s="1159">
        <v>110711</v>
      </c>
      <c r="B76" s="1159" t="s">
        <v>735</v>
      </c>
      <c r="C76" s="1159" t="s">
        <v>750</v>
      </c>
      <c r="D76" s="1160">
        <v>43759</v>
      </c>
      <c r="E76" s="1161">
        <v>27670000</v>
      </c>
      <c r="F76" s="1159" t="s">
        <v>387</v>
      </c>
      <c r="G76" s="1162" t="s">
        <v>611</v>
      </c>
      <c r="H76" s="1163">
        <v>1997</v>
      </c>
      <c r="I76" s="1159" t="s">
        <v>612</v>
      </c>
      <c r="J76" s="1162" t="s">
        <v>14</v>
      </c>
      <c r="K76" s="1159" t="s">
        <v>613</v>
      </c>
      <c r="L76" s="1159" t="s">
        <v>737</v>
      </c>
      <c r="M76" s="1162" t="s">
        <v>14</v>
      </c>
      <c r="N76" s="1162" t="s">
        <v>738</v>
      </c>
      <c r="O76" s="1164">
        <v>65</v>
      </c>
      <c r="P76" s="1165"/>
      <c r="Q76" s="1164">
        <v>5</v>
      </c>
      <c r="R76" s="1159" t="s">
        <v>662</v>
      </c>
      <c r="S76" s="1159" t="s">
        <v>739</v>
      </c>
      <c r="T76" s="1159" t="s">
        <v>740</v>
      </c>
      <c r="U76" s="1166">
        <v>169200</v>
      </c>
      <c r="V76" s="1159" t="s">
        <v>740</v>
      </c>
      <c r="W76" s="1166">
        <v>169200</v>
      </c>
      <c r="X76" s="1159" t="s">
        <v>618</v>
      </c>
      <c r="Y76" s="1167">
        <v>43759.964004629626</v>
      </c>
      <c r="Z76" s="1159" t="s">
        <v>618</v>
      </c>
      <c r="AA76" s="1167">
        <v>43900.52381944444</v>
      </c>
      <c r="AB76" s="1138">
        <f t="shared" si="1"/>
        <v>338400</v>
      </c>
    </row>
    <row r="77" ht="24" customHeight="1" spans="1:28" x14ac:dyDescent="0.25">
      <c r="A77" s="1150">
        <v>110712</v>
      </c>
      <c r="B77" s="1150" t="s">
        <v>735</v>
      </c>
      <c r="C77" s="1150" t="s">
        <v>751</v>
      </c>
      <c r="D77" s="1151">
        <v>43759</v>
      </c>
      <c r="E77" s="1152">
        <v>29390000</v>
      </c>
      <c r="F77" s="1150" t="s">
        <v>387</v>
      </c>
      <c r="G77" s="1153" t="s">
        <v>611</v>
      </c>
      <c r="H77" s="1154">
        <v>1997</v>
      </c>
      <c r="I77" s="1150" t="s">
        <v>612</v>
      </c>
      <c r="J77" s="1153" t="s">
        <v>14</v>
      </c>
      <c r="K77" s="1150" t="s">
        <v>613</v>
      </c>
      <c r="L77" s="1150" t="s">
        <v>737</v>
      </c>
      <c r="M77" s="1153" t="s">
        <v>14</v>
      </c>
      <c r="N77" s="1153" t="s">
        <v>738</v>
      </c>
      <c r="O77" s="1155">
        <v>65</v>
      </c>
      <c r="P77" s="1156"/>
      <c r="Q77" s="1155">
        <v>5</v>
      </c>
      <c r="R77" s="1150" t="s">
        <v>662</v>
      </c>
      <c r="S77" s="1150" t="s">
        <v>739</v>
      </c>
      <c r="T77" s="1150" t="s">
        <v>745</v>
      </c>
      <c r="U77" s="1157">
        <v>170000</v>
      </c>
      <c r="V77" s="1150" t="s">
        <v>745</v>
      </c>
      <c r="W77" s="1157">
        <v>170000</v>
      </c>
      <c r="X77" s="1150" t="s">
        <v>618</v>
      </c>
      <c r="Y77" s="1158">
        <v>43759.97336805555</v>
      </c>
      <c r="Z77" s="1150" t="s">
        <v>618</v>
      </c>
      <c r="AA77" s="1158">
        <v>43900.52402777778</v>
      </c>
      <c r="AB77" s="1138">
        <f t="shared" si="1"/>
        <v>340000</v>
      </c>
    </row>
    <row r="78" spans="1:28" x14ac:dyDescent="0.25">
      <c r="A78" s="1159">
        <v>110710</v>
      </c>
      <c r="B78" s="1159" t="s">
        <v>735</v>
      </c>
      <c r="C78" s="1159" t="s">
        <v>752</v>
      </c>
      <c r="D78" s="1160">
        <v>43759</v>
      </c>
      <c r="E78" s="1161">
        <v>23840000</v>
      </c>
      <c r="F78" s="1159" t="s">
        <v>387</v>
      </c>
      <c r="G78" s="1162" t="s">
        <v>611</v>
      </c>
      <c r="H78" s="1163">
        <v>1997</v>
      </c>
      <c r="I78" s="1159" t="s">
        <v>612</v>
      </c>
      <c r="J78" s="1162" t="s">
        <v>14</v>
      </c>
      <c r="K78" s="1159" t="s">
        <v>613</v>
      </c>
      <c r="L78" s="1159" t="s">
        <v>737</v>
      </c>
      <c r="M78" s="1162" t="s">
        <v>14</v>
      </c>
      <c r="N78" s="1162" t="s">
        <v>738</v>
      </c>
      <c r="O78" s="1164">
        <v>65</v>
      </c>
      <c r="P78" s="1165"/>
      <c r="Q78" s="1164">
        <v>5</v>
      </c>
      <c r="R78" s="1159" t="s">
        <v>662</v>
      </c>
      <c r="S78" s="1159" t="s">
        <v>739</v>
      </c>
      <c r="T78" s="1159" t="s">
        <v>743</v>
      </c>
      <c r="U78" s="1166">
        <v>141000</v>
      </c>
      <c r="V78" s="1159" t="s">
        <v>743</v>
      </c>
      <c r="W78" s="1166">
        <v>141000</v>
      </c>
      <c r="X78" s="1159" t="s">
        <v>618</v>
      </c>
      <c r="Y78" s="1167">
        <v>43759.961180555554</v>
      </c>
      <c r="Z78" s="1159" t="s">
        <v>618</v>
      </c>
      <c r="AA78" s="1167">
        <v>43900.52346064815</v>
      </c>
      <c r="AB78" s="1138">
        <f t="shared" si="1"/>
        <v>282000</v>
      </c>
    </row>
    <row r="79" spans="1:28" x14ac:dyDescent="0.25">
      <c r="A79" s="1150">
        <v>110716</v>
      </c>
      <c r="B79" s="1150" t="s">
        <v>735</v>
      </c>
      <c r="C79" s="1150" t="s">
        <v>753</v>
      </c>
      <c r="D79" s="1151">
        <v>43759</v>
      </c>
      <c r="E79" s="1152">
        <v>24700000</v>
      </c>
      <c r="F79" s="1150" t="s">
        <v>404</v>
      </c>
      <c r="G79" s="1153" t="s">
        <v>611</v>
      </c>
      <c r="H79" s="1154">
        <v>1998</v>
      </c>
      <c r="I79" s="1150" t="s">
        <v>612</v>
      </c>
      <c r="J79" s="1153" t="s">
        <v>14</v>
      </c>
      <c r="K79" s="1150" t="s">
        <v>613</v>
      </c>
      <c r="L79" s="1150" t="s">
        <v>737</v>
      </c>
      <c r="M79" s="1153" t="s">
        <v>14</v>
      </c>
      <c r="N79" s="1153" t="s">
        <v>738</v>
      </c>
      <c r="O79" s="1155">
        <v>0</v>
      </c>
      <c r="P79" s="1156"/>
      <c r="Q79" s="1155">
        <v>5</v>
      </c>
      <c r="R79" s="1150" t="s">
        <v>662</v>
      </c>
      <c r="S79" s="1150" t="s">
        <v>739</v>
      </c>
      <c r="T79" s="1150" t="s">
        <v>740</v>
      </c>
      <c r="U79" s="1157">
        <v>169200</v>
      </c>
      <c r="V79" s="1150" t="s">
        <v>740</v>
      </c>
      <c r="W79" s="1157">
        <v>169200</v>
      </c>
      <c r="X79" s="1150" t="s">
        <v>618</v>
      </c>
      <c r="Y79" s="1158">
        <v>43759.99842592592</v>
      </c>
      <c r="Z79" s="1150" t="s">
        <v>618</v>
      </c>
      <c r="AA79" s="1158">
        <v>43900.526979166665</v>
      </c>
      <c r="AB79" s="1138">
        <f t="shared" si="1"/>
        <v>338400</v>
      </c>
    </row>
    <row r="80" spans="1:28" x14ac:dyDescent="0.25">
      <c r="A80" s="1159">
        <v>110717</v>
      </c>
      <c r="B80" s="1159" t="s">
        <v>735</v>
      </c>
      <c r="C80" s="1159" t="s">
        <v>754</v>
      </c>
      <c r="D80" s="1160">
        <v>43760</v>
      </c>
      <c r="E80" s="1161">
        <v>27000000</v>
      </c>
      <c r="F80" s="1159" t="s">
        <v>404</v>
      </c>
      <c r="G80" s="1162" t="s">
        <v>611</v>
      </c>
      <c r="H80" s="1163">
        <v>1998</v>
      </c>
      <c r="I80" s="1159" t="s">
        <v>612</v>
      </c>
      <c r="J80" s="1162" t="s">
        <v>14</v>
      </c>
      <c r="K80" s="1159" t="s">
        <v>613</v>
      </c>
      <c r="L80" s="1159" t="s">
        <v>737</v>
      </c>
      <c r="M80" s="1162" t="s">
        <v>14</v>
      </c>
      <c r="N80" s="1162" t="s">
        <v>738</v>
      </c>
      <c r="O80" s="1164">
        <v>0</v>
      </c>
      <c r="P80" s="1165"/>
      <c r="Q80" s="1164">
        <v>5</v>
      </c>
      <c r="R80" s="1159" t="s">
        <v>662</v>
      </c>
      <c r="S80" s="1159" t="s">
        <v>739</v>
      </c>
      <c r="T80" s="1159" t="s">
        <v>740</v>
      </c>
      <c r="U80" s="1166">
        <v>169200</v>
      </c>
      <c r="V80" s="1159" t="s">
        <v>740</v>
      </c>
      <c r="W80" s="1166">
        <v>169200</v>
      </c>
      <c r="X80" s="1159" t="s">
        <v>618</v>
      </c>
      <c r="Y80" s="1167">
        <v>43760.00377314815</v>
      </c>
      <c r="Z80" s="1159" t="s">
        <v>618</v>
      </c>
      <c r="AA80" s="1167">
        <v>43900.52711805556</v>
      </c>
      <c r="AB80" s="1138">
        <f t="shared" si="1"/>
        <v>338400</v>
      </c>
    </row>
    <row r="81" ht="24" customHeight="1" spans="1:28" x14ac:dyDescent="0.25">
      <c r="A81" s="1150">
        <v>110718</v>
      </c>
      <c r="B81" s="1150" t="s">
        <v>735</v>
      </c>
      <c r="C81" s="1150" t="s">
        <v>755</v>
      </c>
      <c r="D81" s="1151">
        <v>43760</v>
      </c>
      <c r="E81" s="1152">
        <v>28720000</v>
      </c>
      <c r="F81" s="1150" t="s">
        <v>404</v>
      </c>
      <c r="G81" s="1153" t="s">
        <v>611</v>
      </c>
      <c r="H81" s="1154">
        <v>1998</v>
      </c>
      <c r="I81" s="1150" t="s">
        <v>612</v>
      </c>
      <c r="J81" s="1153" t="s">
        <v>14</v>
      </c>
      <c r="K81" s="1150" t="s">
        <v>613</v>
      </c>
      <c r="L81" s="1150" t="s">
        <v>737</v>
      </c>
      <c r="M81" s="1153" t="s">
        <v>14</v>
      </c>
      <c r="N81" s="1153" t="s">
        <v>738</v>
      </c>
      <c r="O81" s="1155">
        <v>0</v>
      </c>
      <c r="P81" s="1156"/>
      <c r="Q81" s="1155">
        <v>5</v>
      </c>
      <c r="R81" s="1150" t="s">
        <v>662</v>
      </c>
      <c r="S81" s="1150" t="s">
        <v>739</v>
      </c>
      <c r="T81" s="1150" t="s">
        <v>745</v>
      </c>
      <c r="U81" s="1157">
        <v>170000</v>
      </c>
      <c r="V81" s="1150" t="s">
        <v>745</v>
      </c>
      <c r="W81" s="1157">
        <v>170000</v>
      </c>
      <c r="X81" s="1150" t="s">
        <v>618</v>
      </c>
      <c r="Y81" s="1158">
        <v>43760.00915509259</v>
      </c>
      <c r="Z81" s="1150" t="s">
        <v>618</v>
      </c>
      <c r="AA81" s="1158">
        <v>43900.527245370366</v>
      </c>
      <c r="AB81" s="1138">
        <f t="shared" si="1"/>
        <v>340000</v>
      </c>
    </row>
    <row r="82" spans="1:28" x14ac:dyDescent="0.25">
      <c r="A82" s="1159">
        <v>110715</v>
      </c>
      <c r="B82" s="1159" t="s">
        <v>735</v>
      </c>
      <c r="C82" s="1159" t="s">
        <v>756</v>
      </c>
      <c r="D82" s="1160">
        <v>43759</v>
      </c>
      <c r="E82" s="1161">
        <v>23170000</v>
      </c>
      <c r="F82" s="1159" t="s">
        <v>404</v>
      </c>
      <c r="G82" s="1162" t="s">
        <v>611</v>
      </c>
      <c r="H82" s="1163">
        <v>1998</v>
      </c>
      <c r="I82" s="1159" t="s">
        <v>612</v>
      </c>
      <c r="J82" s="1162" t="s">
        <v>14</v>
      </c>
      <c r="K82" s="1159" t="s">
        <v>613</v>
      </c>
      <c r="L82" s="1159" t="s">
        <v>737</v>
      </c>
      <c r="M82" s="1162" t="s">
        <v>14</v>
      </c>
      <c r="N82" s="1162" t="s">
        <v>738</v>
      </c>
      <c r="O82" s="1164">
        <v>0</v>
      </c>
      <c r="P82" s="1165"/>
      <c r="Q82" s="1164">
        <v>5</v>
      </c>
      <c r="R82" s="1159" t="s">
        <v>662</v>
      </c>
      <c r="S82" s="1159" t="s">
        <v>739</v>
      </c>
      <c r="T82" s="1159" t="s">
        <v>743</v>
      </c>
      <c r="U82" s="1166">
        <v>141000</v>
      </c>
      <c r="V82" s="1159" t="s">
        <v>743</v>
      </c>
      <c r="W82" s="1166">
        <v>141000</v>
      </c>
      <c r="X82" s="1159" t="s">
        <v>618</v>
      </c>
      <c r="Y82" s="1167">
        <v>43759.99518518518</v>
      </c>
      <c r="Z82" s="1159" t="s">
        <v>618</v>
      </c>
      <c r="AA82" s="1167">
        <v>43900.5268287037</v>
      </c>
      <c r="AB82" s="1138">
        <f t="shared" si="1"/>
        <v>282000</v>
      </c>
    </row>
    <row r="83" spans="1:28" x14ac:dyDescent="0.25">
      <c r="A83" s="1150">
        <v>111011</v>
      </c>
      <c r="B83" s="1150" t="s">
        <v>757</v>
      </c>
      <c r="C83" s="1150" t="s">
        <v>758</v>
      </c>
      <c r="D83" s="1151">
        <v>43831</v>
      </c>
      <c r="E83" s="1152">
        <v>40105000</v>
      </c>
      <c r="F83" s="1150" t="s">
        <v>759</v>
      </c>
      <c r="G83" s="1153" t="s">
        <v>611</v>
      </c>
      <c r="H83" s="1153">
        <v>0</v>
      </c>
      <c r="I83" s="1150" t="s">
        <v>612</v>
      </c>
      <c r="J83" s="1153" t="s">
        <v>14</v>
      </c>
      <c r="K83" s="1150" t="s">
        <v>613</v>
      </c>
      <c r="L83" s="1150" t="s">
        <v>757</v>
      </c>
      <c r="M83" s="1153" t="s">
        <v>14</v>
      </c>
      <c r="N83" s="1153" t="s">
        <v>614</v>
      </c>
      <c r="O83" s="1155">
        <v>0</v>
      </c>
      <c r="P83" s="1156"/>
      <c r="Q83" s="1155">
        <v>5</v>
      </c>
      <c r="R83" s="1150" t="s">
        <v>632</v>
      </c>
      <c r="S83" s="1150" t="s">
        <v>739</v>
      </c>
      <c r="T83" s="1150" t="s">
        <v>649</v>
      </c>
      <c r="U83" s="1157">
        <v>100800</v>
      </c>
      <c r="V83" s="1150" t="s">
        <v>649</v>
      </c>
      <c r="W83" s="1157">
        <v>100800</v>
      </c>
      <c r="X83" s="1150" t="s">
        <v>618</v>
      </c>
      <c r="Y83" s="1158">
        <v>43843.041342592594</v>
      </c>
      <c r="Z83" s="1150" t="s">
        <v>618</v>
      </c>
      <c r="AA83" s="1158">
        <v>43900.44005787037</v>
      </c>
      <c r="AB83" s="1138">
        <f t="shared" si="1"/>
        <v>201600</v>
      </c>
    </row>
    <row r="84" spans="1:28" x14ac:dyDescent="0.25">
      <c r="A84" s="1159">
        <v>111010</v>
      </c>
      <c r="B84" s="1159" t="s">
        <v>757</v>
      </c>
      <c r="C84" s="1159" t="s">
        <v>760</v>
      </c>
      <c r="D84" s="1160">
        <v>43831</v>
      </c>
      <c r="E84" s="1161">
        <v>37975000</v>
      </c>
      <c r="F84" s="1159" t="s">
        <v>759</v>
      </c>
      <c r="G84" s="1162" t="s">
        <v>611</v>
      </c>
      <c r="H84" s="1162">
        <v>0</v>
      </c>
      <c r="I84" s="1159" t="s">
        <v>612</v>
      </c>
      <c r="J84" s="1162" t="s">
        <v>14</v>
      </c>
      <c r="K84" s="1159" t="s">
        <v>613</v>
      </c>
      <c r="L84" s="1159" t="s">
        <v>757</v>
      </c>
      <c r="M84" s="1162" t="s">
        <v>14</v>
      </c>
      <c r="N84" s="1162" t="s">
        <v>614</v>
      </c>
      <c r="O84" s="1164">
        <v>0</v>
      </c>
      <c r="P84" s="1165"/>
      <c r="Q84" s="1164">
        <v>5</v>
      </c>
      <c r="R84" s="1159" t="s">
        <v>632</v>
      </c>
      <c r="S84" s="1159" t="s">
        <v>739</v>
      </c>
      <c r="T84" s="1159" t="s">
        <v>649</v>
      </c>
      <c r="U84" s="1166">
        <v>100800</v>
      </c>
      <c r="V84" s="1159" t="s">
        <v>649</v>
      </c>
      <c r="W84" s="1166">
        <v>100800</v>
      </c>
      <c r="X84" s="1159" t="s">
        <v>618</v>
      </c>
      <c r="Y84" s="1167">
        <v>43843.03584490741</v>
      </c>
      <c r="Z84" s="1159" t="s">
        <v>618</v>
      </c>
      <c r="AA84" s="1167">
        <v>43900.43962962963</v>
      </c>
      <c r="AB84" s="1138">
        <f t="shared" si="1"/>
        <v>201600</v>
      </c>
    </row>
    <row r="85" spans="1:28" x14ac:dyDescent="0.25">
      <c r="A85" s="1150">
        <v>108885</v>
      </c>
      <c r="B85" s="1150" t="s">
        <v>761</v>
      </c>
      <c r="C85" s="1150" t="s">
        <v>762</v>
      </c>
      <c r="D85" s="1151">
        <v>43027</v>
      </c>
      <c r="E85" s="1152">
        <v>18350000</v>
      </c>
      <c r="F85" s="1150" t="s">
        <v>404</v>
      </c>
      <c r="G85" s="1153" t="s">
        <v>611</v>
      </c>
      <c r="H85" s="1154">
        <v>1998</v>
      </c>
      <c r="I85" s="1150" t="s">
        <v>612</v>
      </c>
      <c r="J85" s="1153" t="s">
        <v>14</v>
      </c>
      <c r="K85" s="1150" t="s">
        <v>613</v>
      </c>
      <c r="L85" s="1150" t="s">
        <v>761</v>
      </c>
      <c r="M85" s="1153" t="s">
        <v>14</v>
      </c>
      <c r="N85" s="1153" t="s">
        <v>661</v>
      </c>
      <c r="O85" s="1155">
        <v>65</v>
      </c>
      <c r="P85" s="1155">
        <v>0</v>
      </c>
      <c r="Q85" s="1155">
        <v>5</v>
      </c>
      <c r="R85" s="1150" t="s">
        <v>662</v>
      </c>
      <c r="S85" s="1150" t="s">
        <v>739</v>
      </c>
      <c r="T85" s="1150" t="s">
        <v>763</v>
      </c>
      <c r="U85" s="1157">
        <v>109400</v>
      </c>
      <c r="V85" s="1150" t="s">
        <v>763</v>
      </c>
      <c r="W85" s="1157">
        <v>109400</v>
      </c>
      <c r="X85" s="1150" t="s">
        <v>721</v>
      </c>
      <c r="Y85" s="1158">
        <v>43027.484814814816</v>
      </c>
      <c r="Z85" s="1150" t="s">
        <v>721</v>
      </c>
      <c r="AA85" s="1158">
        <v>43027.485567129625</v>
      </c>
      <c r="AB85" s="1138">
        <f t="shared" si="1"/>
        <v>218800</v>
      </c>
    </row>
    <row r="86" spans="1:28" x14ac:dyDescent="0.25">
      <c r="A86" s="1159">
        <v>108886</v>
      </c>
      <c r="B86" s="1159" t="s">
        <v>761</v>
      </c>
      <c r="C86" s="1159" t="s">
        <v>764</v>
      </c>
      <c r="D86" s="1160">
        <v>43027</v>
      </c>
      <c r="E86" s="1161">
        <v>20200000</v>
      </c>
      <c r="F86" s="1159" t="s">
        <v>404</v>
      </c>
      <c r="G86" s="1162" t="s">
        <v>611</v>
      </c>
      <c r="H86" s="1163">
        <v>1998</v>
      </c>
      <c r="I86" s="1159" t="s">
        <v>612</v>
      </c>
      <c r="J86" s="1162" t="s">
        <v>14</v>
      </c>
      <c r="K86" s="1159" t="s">
        <v>613</v>
      </c>
      <c r="L86" s="1159" t="s">
        <v>761</v>
      </c>
      <c r="M86" s="1162" t="s">
        <v>14</v>
      </c>
      <c r="N86" s="1162" t="s">
        <v>661</v>
      </c>
      <c r="O86" s="1164">
        <v>65</v>
      </c>
      <c r="P86" s="1164">
        <v>0</v>
      </c>
      <c r="Q86" s="1164">
        <v>5</v>
      </c>
      <c r="R86" s="1159" t="s">
        <v>662</v>
      </c>
      <c r="S86" s="1159" t="s">
        <v>739</v>
      </c>
      <c r="T86" s="1159" t="s">
        <v>763</v>
      </c>
      <c r="U86" s="1166">
        <v>109400</v>
      </c>
      <c r="V86" s="1159" t="s">
        <v>763</v>
      </c>
      <c r="W86" s="1166">
        <v>109400</v>
      </c>
      <c r="X86" s="1159" t="s">
        <v>721</v>
      </c>
      <c r="Y86" s="1167">
        <v>43027.48594907408</v>
      </c>
      <c r="Z86" s="1159" t="s">
        <v>721</v>
      </c>
      <c r="AA86" s="1167">
        <v>43027.486446759256</v>
      </c>
      <c r="AB86" s="1138">
        <f t="shared" si="1"/>
        <v>218800</v>
      </c>
    </row>
    <row r="87" spans="1:28" x14ac:dyDescent="0.25">
      <c r="A87" s="1150" t="s">
        <v>765</v>
      </c>
      <c r="B87" s="1150" t="s">
        <v>761</v>
      </c>
      <c r="C87" s="1150" t="s">
        <v>766</v>
      </c>
      <c r="D87" s="1151">
        <v>37751</v>
      </c>
      <c r="E87" s="1152">
        <v>20000000</v>
      </c>
      <c r="F87" s="1150" t="s">
        <v>387</v>
      </c>
      <c r="G87" s="1153" t="s">
        <v>611</v>
      </c>
      <c r="H87" s="1154">
        <v>1998</v>
      </c>
      <c r="I87" s="1150" t="s">
        <v>612</v>
      </c>
      <c r="J87" s="1153" t="s">
        <v>14</v>
      </c>
      <c r="K87" s="1150" t="s">
        <v>613</v>
      </c>
      <c r="L87" s="1150" t="s">
        <v>761</v>
      </c>
      <c r="M87" s="1153" t="s">
        <v>14</v>
      </c>
      <c r="N87" s="1153" t="s">
        <v>661</v>
      </c>
      <c r="O87" s="1155">
        <v>65</v>
      </c>
      <c r="P87" s="1155">
        <v>0</v>
      </c>
      <c r="Q87" s="1155">
        <v>5</v>
      </c>
      <c r="R87" s="1150" t="s">
        <v>662</v>
      </c>
      <c r="S87" s="1150" t="s">
        <v>739</v>
      </c>
      <c r="T87" s="1150" t="s">
        <v>763</v>
      </c>
      <c r="U87" s="1157">
        <v>109400</v>
      </c>
      <c r="V87" s="1150" t="s">
        <v>763</v>
      </c>
      <c r="W87" s="1157">
        <v>109400</v>
      </c>
      <c r="X87" s="1150"/>
      <c r="Y87" s="1150"/>
      <c r="Z87" s="1150" t="s">
        <v>767</v>
      </c>
      <c r="AA87" s="1158">
        <v>43619.75895833333</v>
      </c>
      <c r="AB87" s="1138">
        <f t="shared" si="1"/>
        <v>218800</v>
      </c>
    </row>
    <row r="88" spans="1:28" x14ac:dyDescent="0.25">
      <c r="A88" s="1159">
        <v>108106</v>
      </c>
      <c r="B88" s="1159" t="s">
        <v>761</v>
      </c>
      <c r="C88" s="1159" t="s">
        <v>768</v>
      </c>
      <c r="D88" s="1160">
        <v>42557</v>
      </c>
      <c r="E88" s="1161">
        <v>21950000</v>
      </c>
      <c r="F88" s="1159" t="s">
        <v>387</v>
      </c>
      <c r="G88" s="1162" t="s">
        <v>611</v>
      </c>
      <c r="H88" s="1163">
        <v>1998</v>
      </c>
      <c r="I88" s="1159" t="s">
        <v>629</v>
      </c>
      <c r="J88" s="1162" t="s">
        <v>14</v>
      </c>
      <c r="K88" s="1159" t="s">
        <v>613</v>
      </c>
      <c r="L88" s="1159" t="s">
        <v>769</v>
      </c>
      <c r="M88" s="1162" t="s">
        <v>14</v>
      </c>
      <c r="N88" s="1162" t="s">
        <v>661</v>
      </c>
      <c r="O88" s="1164">
        <v>65</v>
      </c>
      <c r="P88" s="1164">
        <v>0</v>
      </c>
      <c r="Q88" s="1164">
        <v>5</v>
      </c>
      <c r="R88" s="1159" t="s">
        <v>662</v>
      </c>
      <c r="S88" s="1159" t="s">
        <v>739</v>
      </c>
      <c r="T88" s="1159" t="s">
        <v>633</v>
      </c>
      <c r="U88" s="1165"/>
      <c r="V88" s="1159" t="s">
        <v>633</v>
      </c>
      <c r="W88" s="1165"/>
      <c r="X88" s="1159" t="s">
        <v>635</v>
      </c>
      <c r="Y88" s="1167">
        <v>42557.4653587963</v>
      </c>
      <c r="Z88" s="1159" t="s">
        <v>635</v>
      </c>
      <c r="AA88" s="1167">
        <v>42767.63924768519</v>
      </c>
      <c r="AB88" s="1138">
        <f t="shared" si="1"/>
        <v>0</v>
      </c>
    </row>
    <row r="89" ht="24" customHeight="1" spans="1:28" x14ac:dyDescent="0.25">
      <c r="A89" s="1150">
        <v>100756</v>
      </c>
      <c r="B89" s="1150" t="s">
        <v>761</v>
      </c>
      <c r="C89" s="1150" t="s">
        <v>770</v>
      </c>
      <c r="D89" s="1151">
        <v>41477</v>
      </c>
      <c r="E89" s="1152">
        <v>27640000</v>
      </c>
      <c r="F89" s="1150" t="s">
        <v>387</v>
      </c>
      <c r="G89" s="1153" t="s">
        <v>611</v>
      </c>
      <c r="H89" s="1154">
        <v>1618</v>
      </c>
      <c r="I89" s="1150" t="s">
        <v>612</v>
      </c>
      <c r="J89" s="1153" t="s">
        <v>14</v>
      </c>
      <c r="K89" s="1150" t="s">
        <v>613</v>
      </c>
      <c r="L89" s="1150" t="s">
        <v>769</v>
      </c>
      <c r="M89" s="1153" t="s">
        <v>14</v>
      </c>
      <c r="N89" s="1153" t="s">
        <v>661</v>
      </c>
      <c r="O89" s="1155">
        <v>70</v>
      </c>
      <c r="P89" s="1155">
        <v>0</v>
      </c>
      <c r="Q89" s="1155">
        <v>5</v>
      </c>
      <c r="R89" s="1150" t="s">
        <v>662</v>
      </c>
      <c r="S89" s="1150" t="s">
        <v>739</v>
      </c>
      <c r="T89" s="1150" t="s">
        <v>771</v>
      </c>
      <c r="U89" s="1157">
        <v>142800</v>
      </c>
      <c r="V89" s="1150" t="s">
        <v>771</v>
      </c>
      <c r="W89" s="1157">
        <v>142800</v>
      </c>
      <c r="X89" s="1150" t="s">
        <v>634</v>
      </c>
      <c r="Y89" s="1158">
        <v>41477.417129629626</v>
      </c>
      <c r="Z89" s="1150" t="s">
        <v>618</v>
      </c>
      <c r="AA89" s="1158">
        <v>42475.75578703704</v>
      </c>
      <c r="AB89" s="1138">
        <f t="shared" si="1"/>
        <v>285600</v>
      </c>
    </row>
    <row r="90" spans="1:28" x14ac:dyDescent="0.25">
      <c r="A90" s="1159">
        <v>100800</v>
      </c>
      <c r="B90" s="1159" t="s">
        <v>761</v>
      </c>
      <c r="C90" s="1159" t="s">
        <v>772</v>
      </c>
      <c r="D90" s="1160">
        <v>41584</v>
      </c>
      <c r="E90" s="1161">
        <v>23000000</v>
      </c>
      <c r="F90" s="1159" t="s">
        <v>404</v>
      </c>
      <c r="G90" s="1162" t="s">
        <v>611</v>
      </c>
      <c r="H90" s="1163">
        <v>1998</v>
      </c>
      <c r="I90" s="1159" t="s">
        <v>612</v>
      </c>
      <c r="J90" s="1162" t="s">
        <v>14</v>
      </c>
      <c r="K90" s="1159" t="s">
        <v>613</v>
      </c>
      <c r="L90" s="1159" t="s">
        <v>761</v>
      </c>
      <c r="M90" s="1162" t="s">
        <v>14</v>
      </c>
      <c r="N90" s="1162" t="s">
        <v>490</v>
      </c>
      <c r="O90" s="1164">
        <v>70</v>
      </c>
      <c r="P90" s="1164">
        <v>0</v>
      </c>
      <c r="Q90" s="1164">
        <v>5</v>
      </c>
      <c r="R90" s="1159" t="s">
        <v>773</v>
      </c>
      <c r="S90" s="1159" t="s">
        <v>739</v>
      </c>
      <c r="T90" s="1159" t="s">
        <v>771</v>
      </c>
      <c r="U90" s="1166">
        <v>142800</v>
      </c>
      <c r="V90" s="1159" t="s">
        <v>771</v>
      </c>
      <c r="W90" s="1166">
        <v>142800</v>
      </c>
      <c r="X90" s="1159" t="s">
        <v>634</v>
      </c>
      <c r="Y90" s="1167">
        <v>41584.72841435185</v>
      </c>
      <c r="Z90" s="1159" t="s">
        <v>774</v>
      </c>
      <c r="AA90" s="1167">
        <v>42507.712800925925</v>
      </c>
      <c r="AB90" s="1138">
        <f t="shared" si="1"/>
        <v>285600</v>
      </c>
    </row>
    <row r="91" spans="1:28" x14ac:dyDescent="0.25">
      <c r="A91" s="1150">
        <v>106560</v>
      </c>
      <c r="B91" s="1150" t="s">
        <v>761</v>
      </c>
      <c r="C91" s="1150" t="s">
        <v>775</v>
      </c>
      <c r="D91" s="1151">
        <v>41873</v>
      </c>
      <c r="E91" s="1152">
        <v>23400000</v>
      </c>
      <c r="F91" s="1150" t="s">
        <v>404</v>
      </c>
      <c r="G91" s="1153" t="s">
        <v>611</v>
      </c>
      <c r="H91" s="1154">
        <v>1998</v>
      </c>
      <c r="I91" s="1150" t="s">
        <v>612</v>
      </c>
      <c r="J91" s="1153" t="s">
        <v>14</v>
      </c>
      <c r="K91" s="1150" t="s">
        <v>613</v>
      </c>
      <c r="L91" s="1150" t="s">
        <v>761</v>
      </c>
      <c r="M91" s="1153" t="s">
        <v>14</v>
      </c>
      <c r="N91" s="1153" t="s">
        <v>490</v>
      </c>
      <c r="O91" s="1155">
        <v>70</v>
      </c>
      <c r="P91" s="1155">
        <v>0</v>
      </c>
      <c r="Q91" s="1155">
        <v>5</v>
      </c>
      <c r="R91" s="1150" t="s">
        <v>773</v>
      </c>
      <c r="S91" s="1150" t="s">
        <v>739</v>
      </c>
      <c r="T91" s="1150" t="s">
        <v>771</v>
      </c>
      <c r="U91" s="1157">
        <v>142800</v>
      </c>
      <c r="V91" s="1150" t="s">
        <v>771</v>
      </c>
      <c r="W91" s="1157">
        <v>142800</v>
      </c>
      <c r="X91" s="1150" t="s">
        <v>776</v>
      </c>
      <c r="Y91" s="1158">
        <v>41873.45313657408</v>
      </c>
      <c r="Z91" s="1150" t="s">
        <v>774</v>
      </c>
      <c r="AA91" s="1158">
        <v>42507.71291666667</v>
      </c>
      <c r="AB91" s="1138">
        <f t="shared" si="1"/>
        <v>285600</v>
      </c>
    </row>
    <row r="92" spans="1:28" x14ac:dyDescent="0.25">
      <c r="A92" s="1159">
        <v>100801</v>
      </c>
      <c r="B92" s="1159" t="s">
        <v>761</v>
      </c>
      <c r="C92" s="1159" t="s">
        <v>777</v>
      </c>
      <c r="D92" s="1160">
        <v>41584</v>
      </c>
      <c r="E92" s="1161">
        <v>24500000</v>
      </c>
      <c r="F92" s="1159" t="s">
        <v>404</v>
      </c>
      <c r="G92" s="1162" t="s">
        <v>611</v>
      </c>
      <c r="H92" s="1163">
        <v>1998</v>
      </c>
      <c r="I92" s="1159" t="s">
        <v>612</v>
      </c>
      <c r="J92" s="1162" t="s">
        <v>14</v>
      </c>
      <c r="K92" s="1159" t="s">
        <v>613</v>
      </c>
      <c r="L92" s="1159" t="s">
        <v>761</v>
      </c>
      <c r="M92" s="1162" t="s">
        <v>14</v>
      </c>
      <c r="N92" s="1162" t="s">
        <v>490</v>
      </c>
      <c r="O92" s="1164">
        <v>70</v>
      </c>
      <c r="P92" s="1164">
        <v>0</v>
      </c>
      <c r="Q92" s="1164">
        <v>5</v>
      </c>
      <c r="R92" s="1159" t="s">
        <v>773</v>
      </c>
      <c r="S92" s="1159" t="s">
        <v>739</v>
      </c>
      <c r="T92" s="1159" t="s">
        <v>771</v>
      </c>
      <c r="U92" s="1166">
        <v>142800</v>
      </c>
      <c r="V92" s="1159" t="s">
        <v>771</v>
      </c>
      <c r="W92" s="1166">
        <v>142800</v>
      </c>
      <c r="X92" s="1159" t="s">
        <v>634</v>
      </c>
      <c r="Y92" s="1167">
        <v>41584.7287037037</v>
      </c>
      <c r="Z92" s="1159" t="s">
        <v>774</v>
      </c>
      <c r="AA92" s="1167">
        <v>42507.71253472222</v>
      </c>
      <c r="AB92" s="1138">
        <f t="shared" si="1"/>
        <v>285600</v>
      </c>
    </row>
    <row r="93" spans="1:28" x14ac:dyDescent="0.25">
      <c r="A93" s="1150">
        <v>106561</v>
      </c>
      <c r="B93" s="1150" t="s">
        <v>761</v>
      </c>
      <c r="C93" s="1150" t="s">
        <v>778</v>
      </c>
      <c r="D93" s="1151">
        <v>41873</v>
      </c>
      <c r="E93" s="1152">
        <v>25200000</v>
      </c>
      <c r="F93" s="1150" t="s">
        <v>404</v>
      </c>
      <c r="G93" s="1153" t="s">
        <v>611</v>
      </c>
      <c r="H93" s="1154">
        <v>1998</v>
      </c>
      <c r="I93" s="1150" t="s">
        <v>612</v>
      </c>
      <c r="J93" s="1153" t="s">
        <v>14</v>
      </c>
      <c r="K93" s="1150" t="s">
        <v>613</v>
      </c>
      <c r="L93" s="1150" t="s">
        <v>761</v>
      </c>
      <c r="M93" s="1153" t="s">
        <v>14</v>
      </c>
      <c r="N93" s="1153" t="s">
        <v>490</v>
      </c>
      <c r="O93" s="1155">
        <v>70</v>
      </c>
      <c r="P93" s="1155">
        <v>0</v>
      </c>
      <c r="Q93" s="1155">
        <v>5</v>
      </c>
      <c r="R93" s="1150" t="s">
        <v>773</v>
      </c>
      <c r="S93" s="1150" t="s">
        <v>739</v>
      </c>
      <c r="T93" s="1150" t="s">
        <v>771</v>
      </c>
      <c r="U93" s="1157">
        <v>142800</v>
      </c>
      <c r="V93" s="1150" t="s">
        <v>771</v>
      </c>
      <c r="W93" s="1157">
        <v>142800</v>
      </c>
      <c r="X93" s="1150" t="s">
        <v>776</v>
      </c>
      <c r="Y93" s="1158">
        <v>41873.453668981485</v>
      </c>
      <c r="Z93" s="1150" t="s">
        <v>774</v>
      </c>
      <c r="AA93" s="1158">
        <v>42507.71263888889</v>
      </c>
      <c r="AB93" s="1138">
        <f t="shared" si="1"/>
        <v>285600</v>
      </c>
    </row>
    <row r="94" spans="1:28" x14ac:dyDescent="0.25">
      <c r="A94" s="1159">
        <v>100799</v>
      </c>
      <c r="B94" s="1159" t="s">
        <v>761</v>
      </c>
      <c r="C94" s="1159" t="s">
        <v>779</v>
      </c>
      <c r="D94" s="1160">
        <v>41584</v>
      </c>
      <c r="E94" s="1161">
        <v>21500000</v>
      </c>
      <c r="F94" s="1159" t="s">
        <v>404</v>
      </c>
      <c r="G94" s="1162" t="s">
        <v>611</v>
      </c>
      <c r="H94" s="1163">
        <v>1998</v>
      </c>
      <c r="I94" s="1159" t="s">
        <v>612</v>
      </c>
      <c r="J94" s="1162" t="s">
        <v>14</v>
      </c>
      <c r="K94" s="1159" t="s">
        <v>613</v>
      </c>
      <c r="L94" s="1159" t="s">
        <v>761</v>
      </c>
      <c r="M94" s="1162" t="s">
        <v>14</v>
      </c>
      <c r="N94" s="1162" t="s">
        <v>490</v>
      </c>
      <c r="O94" s="1164">
        <v>70</v>
      </c>
      <c r="P94" s="1164">
        <v>0</v>
      </c>
      <c r="Q94" s="1164">
        <v>5</v>
      </c>
      <c r="R94" s="1159" t="s">
        <v>773</v>
      </c>
      <c r="S94" s="1159" t="s">
        <v>739</v>
      </c>
      <c r="T94" s="1159" t="s">
        <v>771</v>
      </c>
      <c r="U94" s="1166">
        <v>142800</v>
      </c>
      <c r="V94" s="1159" t="s">
        <v>771</v>
      </c>
      <c r="W94" s="1166">
        <v>142800</v>
      </c>
      <c r="X94" s="1159" t="s">
        <v>634</v>
      </c>
      <c r="Y94" s="1167">
        <v>41584.72795138889</v>
      </c>
      <c r="Z94" s="1159" t="s">
        <v>774</v>
      </c>
      <c r="AA94" s="1167">
        <v>42507.71239583333</v>
      </c>
      <c r="AB94" s="1138">
        <f t="shared" si="1"/>
        <v>285600</v>
      </c>
    </row>
    <row r="95" spans="1:28" x14ac:dyDescent="0.25">
      <c r="A95" s="1150" t="s">
        <v>780</v>
      </c>
      <c r="B95" s="1150" t="s">
        <v>761</v>
      </c>
      <c r="C95" s="1150" t="s">
        <v>781</v>
      </c>
      <c r="D95" s="1151">
        <v>40638</v>
      </c>
      <c r="E95" s="1152">
        <v>25150000</v>
      </c>
      <c r="F95" s="1150" t="s">
        <v>404</v>
      </c>
      <c r="G95" s="1153" t="s">
        <v>611</v>
      </c>
      <c r="H95" s="1154">
        <v>1998</v>
      </c>
      <c r="I95" s="1150" t="s">
        <v>612</v>
      </c>
      <c r="J95" s="1153" t="s">
        <v>14</v>
      </c>
      <c r="K95" s="1150" t="s">
        <v>613</v>
      </c>
      <c r="L95" s="1150" t="s">
        <v>761</v>
      </c>
      <c r="M95" s="1153" t="s">
        <v>14</v>
      </c>
      <c r="N95" s="1153" t="s">
        <v>631</v>
      </c>
      <c r="O95" s="1155">
        <v>75</v>
      </c>
      <c r="P95" s="1155">
        <v>0</v>
      </c>
      <c r="Q95" s="1155">
        <v>5</v>
      </c>
      <c r="R95" s="1150" t="s">
        <v>773</v>
      </c>
      <c r="S95" s="1150" t="s">
        <v>739</v>
      </c>
      <c r="T95" s="1150" t="s">
        <v>633</v>
      </c>
      <c r="U95" s="1156"/>
      <c r="V95" s="1150" t="s">
        <v>633</v>
      </c>
      <c r="W95" s="1156"/>
      <c r="X95" s="1150" t="s">
        <v>782</v>
      </c>
      <c r="Y95" s="1158">
        <v>40638.46608796297</v>
      </c>
      <c r="Z95" s="1150" t="s">
        <v>774</v>
      </c>
      <c r="AA95" s="1158">
        <v>42506.69605324074</v>
      </c>
      <c r="AB95" s="1138">
        <f t="shared" si="1"/>
        <v>0</v>
      </c>
    </row>
    <row r="96" spans="1:28" x14ac:dyDescent="0.25">
      <c r="A96" s="1159">
        <v>100239</v>
      </c>
      <c r="B96" s="1159" t="s">
        <v>761</v>
      </c>
      <c r="C96" s="1159" t="s">
        <v>783</v>
      </c>
      <c r="D96" s="1160">
        <v>40949</v>
      </c>
      <c r="E96" s="1161">
        <v>23150000</v>
      </c>
      <c r="F96" s="1159" t="s">
        <v>404</v>
      </c>
      <c r="G96" s="1162" t="s">
        <v>611</v>
      </c>
      <c r="H96" s="1163">
        <v>1998</v>
      </c>
      <c r="I96" s="1159" t="s">
        <v>612</v>
      </c>
      <c r="J96" s="1162" t="s">
        <v>14</v>
      </c>
      <c r="K96" s="1159" t="s">
        <v>613</v>
      </c>
      <c r="L96" s="1159" t="s">
        <v>761</v>
      </c>
      <c r="M96" s="1162" t="s">
        <v>14</v>
      </c>
      <c r="N96" s="1162" t="s">
        <v>631</v>
      </c>
      <c r="O96" s="1164">
        <v>75</v>
      </c>
      <c r="P96" s="1164">
        <v>0</v>
      </c>
      <c r="Q96" s="1164">
        <v>5</v>
      </c>
      <c r="R96" s="1159" t="s">
        <v>773</v>
      </c>
      <c r="S96" s="1159" t="s">
        <v>739</v>
      </c>
      <c r="T96" s="1159" t="s">
        <v>633</v>
      </c>
      <c r="U96" s="1165"/>
      <c r="V96" s="1159" t="s">
        <v>633</v>
      </c>
      <c r="W96" s="1165"/>
      <c r="X96" s="1159" t="s">
        <v>634</v>
      </c>
      <c r="Y96" s="1167">
        <v>40949.358298611114</v>
      </c>
      <c r="Z96" s="1159" t="s">
        <v>774</v>
      </c>
      <c r="AA96" s="1167">
        <v>42506.696180555555</v>
      </c>
      <c r="AB96" s="1138">
        <f t="shared" si="1"/>
        <v>0</v>
      </c>
    </row>
    <row r="97" spans="1:28" x14ac:dyDescent="0.25">
      <c r="A97" s="1150">
        <v>100228</v>
      </c>
      <c r="B97" s="1150" t="s">
        <v>761</v>
      </c>
      <c r="C97" s="1150" t="s">
        <v>784</v>
      </c>
      <c r="D97" s="1151">
        <v>40948</v>
      </c>
      <c r="E97" s="1152">
        <v>18350000</v>
      </c>
      <c r="F97" s="1150" t="s">
        <v>404</v>
      </c>
      <c r="G97" s="1153" t="s">
        <v>611</v>
      </c>
      <c r="H97" s="1154">
        <v>1998</v>
      </c>
      <c r="I97" s="1150" t="s">
        <v>612</v>
      </c>
      <c r="J97" s="1153" t="s">
        <v>14</v>
      </c>
      <c r="K97" s="1150" t="s">
        <v>613</v>
      </c>
      <c r="L97" s="1150" t="s">
        <v>761</v>
      </c>
      <c r="M97" s="1153" t="s">
        <v>14</v>
      </c>
      <c r="N97" s="1153" t="s">
        <v>631</v>
      </c>
      <c r="O97" s="1155">
        <v>75</v>
      </c>
      <c r="P97" s="1155">
        <v>0</v>
      </c>
      <c r="Q97" s="1155">
        <v>5</v>
      </c>
      <c r="R97" s="1150" t="s">
        <v>773</v>
      </c>
      <c r="S97" s="1150" t="s">
        <v>739</v>
      </c>
      <c r="T97" s="1150" t="s">
        <v>633</v>
      </c>
      <c r="U97" s="1156"/>
      <c r="V97" s="1150" t="s">
        <v>633</v>
      </c>
      <c r="W97" s="1156"/>
      <c r="X97" s="1150" t="s">
        <v>634</v>
      </c>
      <c r="Y97" s="1158">
        <v>40948.754583333335</v>
      </c>
      <c r="Z97" s="1150" t="s">
        <v>635</v>
      </c>
      <c r="AA97" s="1158">
        <v>42767.63974537037</v>
      </c>
      <c r="AB97" s="1138">
        <f t="shared" si="1"/>
        <v>0</v>
      </c>
    </row>
    <row r="98" spans="1:28" x14ac:dyDescent="0.25">
      <c r="A98" s="1159">
        <v>100029</v>
      </c>
      <c r="B98" s="1159" t="s">
        <v>761</v>
      </c>
      <c r="C98" s="1159" t="s">
        <v>785</v>
      </c>
      <c r="D98" s="1160">
        <v>40921</v>
      </c>
      <c r="E98" s="1161">
        <v>20200000</v>
      </c>
      <c r="F98" s="1159" t="s">
        <v>404</v>
      </c>
      <c r="G98" s="1162" t="s">
        <v>611</v>
      </c>
      <c r="H98" s="1163">
        <v>1998</v>
      </c>
      <c r="I98" s="1159" t="s">
        <v>612</v>
      </c>
      <c r="J98" s="1162" t="s">
        <v>14</v>
      </c>
      <c r="K98" s="1159" t="s">
        <v>613</v>
      </c>
      <c r="L98" s="1159" t="s">
        <v>761</v>
      </c>
      <c r="M98" s="1162" t="s">
        <v>14</v>
      </c>
      <c r="N98" s="1162" t="s">
        <v>631</v>
      </c>
      <c r="O98" s="1164">
        <v>75</v>
      </c>
      <c r="P98" s="1164">
        <v>0</v>
      </c>
      <c r="Q98" s="1164">
        <v>5</v>
      </c>
      <c r="R98" s="1159" t="s">
        <v>773</v>
      </c>
      <c r="S98" s="1159" t="s">
        <v>739</v>
      </c>
      <c r="T98" s="1159" t="s">
        <v>771</v>
      </c>
      <c r="U98" s="1166">
        <v>142800</v>
      </c>
      <c r="V98" s="1159" t="s">
        <v>771</v>
      </c>
      <c r="W98" s="1166">
        <v>142800</v>
      </c>
      <c r="X98" s="1159" t="s">
        <v>786</v>
      </c>
      <c r="Y98" s="1167">
        <v>40921.49909722222</v>
      </c>
      <c r="Z98" s="1159" t="s">
        <v>635</v>
      </c>
      <c r="AA98" s="1167">
        <v>42767.639560185184</v>
      </c>
      <c r="AB98" s="1138">
        <f t="shared" si="1"/>
        <v>285600</v>
      </c>
    </row>
    <row r="99" spans="1:28" x14ac:dyDescent="0.25">
      <c r="A99" s="1150">
        <v>107910</v>
      </c>
      <c r="B99" s="1150" t="s">
        <v>787</v>
      </c>
      <c r="C99" s="1150" t="s">
        <v>788</v>
      </c>
      <c r="D99" s="1151">
        <v>42416</v>
      </c>
      <c r="E99" s="1152">
        <v>27380000</v>
      </c>
      <c r="F99" s="1150" t="s">
        <v>387</v>
      </c>
      <c r="G99" s="1153" t="s">
        <v>611</v>
      </c>
      <c r="H99" s="1154">
        <v>1997</v>
      </c>
      <c r="I99" s="1150" t="s">
        <v>612</v>
      </c>
      <c r="J99" s="1153" t="s">
        <v>14</v>
      </c>
      <c r="K99" s="1150" t="s">
        <v>613</v>
      </c>
      <c r="L99" s="1150" t="s">
        <v>787</v>
      </c>
      <c r="M99" s="1153" t="s">
        <v>14</v>
      </c>
      <c r="N99" s="1153" t="s">
        <v>614</v>
      </c>
      <c r="O99" s="1155">
        <v>65</v>
      </c>
      <c r="P99" s="1156"/>
      <c r="Q99" s="1155">
        <v>5</v>
      </c>
      <c r="R99" s="1150" t="s">
        <v>624</v>
      </c>
      <c r="S99" s="1150" t="s">
        <v>739</v>
      </c>
      <c r="T99" s="1150" t="s">
        <v>691</v>
      </c>
      <c r="U99" s="1157">
        <v>173800</v>
      </c>
      <c r="V99" s="1150" t="s">
        <v>691</v>
      </c>
      <c r="W99" s="1157">
        <v>173800</v>
      </c>
      <c r="X99" s="1150" t="s">
        <v>635</v>
      </c>
      <c r="Y99" s="1158">
        <v>42416.788935185185</v>
      </c>
      <c r="Z99" s="1150" t="s">
        <v>618</v>
      </c>
      <c r="AA99" s="1158">
        <v>43894.719375</v>
      </c>
      <c r="AB99" s="1138">
        <f t="shared" si="1"/>
        <v>347600</v>
      </c>
    </row>
    <row r="100" spans="1:28" x14ac:dyDescent="0.25">
      <c r="A100" s="1159">
        <v>111064</v>
      </c>
      <c r="B100" s="1159" t="s">
        <v>787</v>
      </c>
      <c r="C100" s="1159" t="s">
        <v>789</v>
      </c>
      <c r="D100" s="1160">
        <v>43891</v>
      </c>
      <c r="E100" s="1161">
        <v>26330000</v>
      </c>
      <c r="F100" s="1159" t="s">
        <v>387</v>
      </c>
      <c r="G100" s="1162" t="s">
        <v>611</v>
      </c>
      <c r="H100" s="1163">
        <v>1997</v>
      </c>
      <c r="I100" s="1159" t="s">
        <v>612</v>
      </c>
      <c r="J100" s="1162" t="s">
        <v>14</v>
      </c>
      <c r="K100" s="1159" t="s">
        <v>613</v>
      </c>
      <c r="L100" s="1159" t="s">
        <v>787</v>
      </c>
      <c r="M100" s="1162" t="s">
        <v>14</v>
      </c>
      <c r="N100" s="1162" t="s">
        <v>614</v>
      </c>
      <c r="O100" s="1164">
        <v>65</v>
      </c>
      <c r="P100" s="1165"/>
      <c r="Q100" s="1164">
        <v>5</v>
      </c>
      <c r="R100" s="1159" t="s">
        <v>624</v>
      </c>
      <c r="S100" s="1159" t="s">
        <v>739</v>
      </c>
      <c r="T100" s="1159" t="s">
        <v>691</v>
      </c>
      <c r="U100" s="1166">
        <v>173800</v>
      </c>
      <c r="V100" s="1159" t="s">
        <v>691</v>
      </c>
      <c r="W100" s="1166">
        <v>173800</v>
      </c>
      <c r="X100" s="1159" t="s">
        <v>618</v>
      </c>
      <c r="Y100" s="1167">
        <v>43894.73113425926</v>
      </c>
      <c r="Z100" s="1159" t="s">
        <v>618</v>
      </c>
      <c r="AA100" s="1167">
        <v>43894.73113425926</v>
      </c>
      <c r="AB100" s="1138">
        <f t="shared" si="1"/>
        <v>347600</v>
      </c>
    </row>
    <row r="101" spans="1:28" x14ac:dyDescent="0.25">
      <c r="A101" s="1150">
        <v>107908</v>
      </c>
      <c r="B101" s="1150" t="s">
        <v>787</v>
      </c>
      <c r="C101" s="1150" t="s">
        <v>790</v>
      </c>
      <c r="D101" s="1151">
        <v>42416</v>
      </c>
      <c r="E101" s="1152">
        <v>23460000</v>
      </c>
      <c r="F101" s="1150" t="s">
        <v>387</v>
      </c>
      <c r="G101" s="1153" t="s">
        <v>611</v>
      </c>
      <c r="H101" s="1154">
        <v>1997</v>
      </c>
      <c r="I101" s="1150" t="s">
        <v>612</v>
      </c>
      <c r="J101" s="1153" t="s">
        <v>14</v>
      </c>
      <c r="K101" s="1150" t="s">
        <v>613</v>
      </c>
      <c r="L101" s="1150" t="s">
        <v>787</v>
      </c>
      <c r="M101" s="1153" t="s">
        <v>14</v>
      </c>
      <c r="N101" s="1153" t="s">
        <v>614</v>
      </c>
      <c r="O101" s="1155">
        <v>65</v>
      </c>
      <c r="P101" s="1156"/>
      <c r="Q101" s="1155">
        <v>5</v>
      </c>
      <c r="R101" s="1150" t="s">
        <v>624</v>
      </c>
      <c r="S101" s="1150" t="s">
        <v>739</v>
      </c>
      <c r="T101" s="1150" t="s">
        <v>678</v>
      </c>
      <c r="U101" s="1157">
        <v>114500</v>
      </c>
      <c r="V101" s="1150" t="s">
        <v>678</v>
      </c>
      <c r="W101" s="1157">
        <v>114500</v>
      </c>
      <c r="X101" s="1150" t="s">
        <v>635</v>
      </c>
      <c r="Y101" s="1158">
        <v>42416.77689814815</v>
      </c>
      <c r="Z101" s="1150" t="s">
        <v>618</v>
      </c>
      <c r="AA101" s="1158">
        <v>43894.71871527778</v>
      </c>
      <c r="AB101" s="1138">
        <f t="shared" si="1"/>
        <v>229000</v>
      </c>
    </row>
    <row r="102" spans="1:28" x14ac:dyDescent="0.25">
      <c r="A102" s="1159">
        <v>107911</v>
      </c>
      <c r="B102" s="1159" t="s">
        <v>787</v>
      </c>
      <c r="C102" s="1159" t="s">
        <v>791</v>
      </c>
      <c r="D102" s="1160">
        <v>42416</v>
      </c>
      <c r="E102" s="1161">
        <v>29680000</v>
      </c>
      <c r="F102" s="1159" t="s">
        <v>387</v>
      </c>
      <c r="G102" s="1162" t="s">
        <v>611</v>
      </c>
      <c r="H102" s="1163">
        <v>1997</v>
      </c>
      <c r="I102" s="1159" t="s">
        <v>612</v>
      </c>
      <c r="J102" s="1162" t="s">
        <v>14</v>
      </c>
      <c r="K102" s="1159" t="s">
        <v>613</v>
      </c>
      <c r="L102" s="1159" t="s">
        <v>787</v>
      </c>
      <c r="M102" s="1162" t="s">
        <v>14</v>
      </c>
      <c r="N102" s="1162" t="s">
        <v>614</v>
      </c>
      <c r="O102" s="1164">
        <v>65</v>
      </c>
      <c r="P102" s="1165"/>
      <c r="Q102" s="1164">
        <v>5</v>
      </c>
      <c r="R102" s="1159" t="s">
        <v>624</v>
      </c>
      <c r="S102" s="1159" t="s">
        <v>739</v>
      </c>
      <c r="T102" s="1159" t="s">
        <v>691</v>
      </c>
      <c r="U102" s="1166">
        <v>173800</v>
      </c>
      <c r="V102" s="1159" t="s">
        <v>691</v>
      </c>
      <c r="W102" s="1166">
        <v>173800</v>
      </c>
      <c r="X102" s="1159" t="s">
        <v>635</v>
      </c>
      <c r="Y102" s="1167">
        <v>42416.79019675926</v>
      </c>
      <c r="Z102" s="1159" t="s">
        <v>618</v>
      </c>
      <c r="AA102" s="1167">
        <v>43894.73224537037</v>
      </c>
      <c r="AB102" s="1138">
        <f t="shared" si="1"/>
        <v>347600</v>
      </c>
    </row>
    <row r="103" spans="1:28" x14ac:dyDescent="0.25">
      <c r="A103" s="1150">
        <v>107909</v>
      </c>
      <c r="B103" s="1150" t="s">
        <v>787</v>
      </c>
      <c r="C103" s="1150" t="s">
        <v>792</v>
      </c>
      <c r="D103" s="1151">
        <v>42416</v>
      </c>
      <c r="E103" s="1152">
        <v>25710000</v>
      </c>
      <c r="F103" s="1150" t="s">
        <v>387</v>
      </c>
      <c r="G103" s="1153" t="s">
        <v>611</v>
      </c>
      <c r="H103" s="1154">
        <v>1997</v>
      </c>
      <c r="I103" s="1150" t="s">
        <v>612</v>
      </c>
      <c r="J103" s="1153" t="s">
        <v>14</v>
      </c>
      <c r="K103" s="1150" t="s">
        <v>613</v>
      </c>
      <c r="L103" s="1150" t="s">
        <v>787</v>
      </c>
      <c r="M103" s="1153" t="s">
        <v>14</v>
      </c>
      <c r="N103" s="1153" t="s">
        <v>614</v>
      </c>
      <c r="O103" s="1155">
        <v>65</v>
      </c>
      <c r="P103" s="1156"/>
      <c r="Q103" s="1155">
        <v>5</v>
      </c>
      <c r="R103" s="1150" t="s">
        <v>624</v>
      </c>
      <c r="S103" s="1150" t="s">
        <v>739</v>
      </c>
      <c r="T103" s="1150" t="s">
        <v>694</v>
      </c>
      <c r="U103" s="1157">
        <v>123300</v>
      </c>
      <c r="V103" s="1150" t="s">
        <v>694</v>
      </c>
      <c r="W103" s="1157">
        <v>123300</v>
      </c>
      <c r="X103" s="1150" t="s">
        <v>635</v>
      </c>
      <c r="Y103" s="1158">
        <v>42416.78675925926</v>
      </c>
      <c r="Z103" s="1150" t="s">
        <v>618</v>
      </c>
      <c r="AA103" s="1158">
        <v>43894.73289351852</v>
      </c>
      <c r="AB103" s="1138">
        <f t="shared" si="1"/>
        <v>246600</v>
      </c>
    </row>
    <row r="104" spans="1:28" x14ac:dyDescent="0.25">
      <c r="A104" s="1159">
        <v>107915</v>
      </c>
      <c r="B104" s="1159" t="s">
        <v>787</v>
      </c>
      <c r="C104" s="1159" t="s">
        <v>793</v>
      </c>
      <c r="D104" s="1160">
        <v>42416</v>
      </c>
      <c r="E104" s="1161">
        <v>25453652</v>
      </c>
      <c r="F104" s="1159" t="s">
        <v>404</v>
      </c>
      <c r="G104" s="1162" t="s">
        <v>611</v>
      </c>
      <c r="H104" s="1163">
        <v>1998</v>
      </c>
      <c r="I104" s="1159" t="s">
        <v>612</v>
      </c>
      <c r="J104" s="1162" t="s">
        <v>14</v>
      </c>
      <c r="K104" s="1159" t="s">
        <v>613</v>
      </c>
      <c r="L104" s="1159" t="s">
        <v>787</v>
      </c>
      <c r="M104" s="1162" t="s">
        <v>14</v>
      </c>
      <c r="N104" s="1162" t="s">
        <v>614</v>
      </c>
      <c r="O104" s="1164">
        <v>65</v>
      </c>
      <c r="P104" s="1165"/>
      <c r="Q104" s="1164">
        <v>5</v>
      </c>
      <c r="R104" s="1159" t="s">
        <v>615</v>
      </c>
      <c r="S104" s="1159" t="s">
        <v>739</v>
      </c>
      <c r="T104" s="1159" t="s">
        <v>691</v>
      </c>
      <c r="U104" s="1166">
        <v>173800</v>
      </c>
      <c r="V104" s="1159" t="s">
        <v>691</v>
      </c>
      <c r="W104" s="1166">
        <v>173800</v>
      </c>
      <c r="X104" s="1159" t="s">
        <v>635</v>
      </c>
      <c r="Y104" s="1167">
        <v>42416.80122685185</v>
      </c>
      <c r="Z104" s="1159" t="s">
        <v>618</v>
      </c>
      <c r="AA104" s="1167">
        <v>43923.36572916667</v>
      </c>
      <c r="AB104" s="1138">
        <f t="shared" si="1"/>
        <v>347600</v>
      </c>
    </row>
    <row r="105" spans="1:28" x14ac:dyDescent="0.25">
      <c r="A105" s="1150">
        <v>107916</v>
      </c>
      <c r="B105" s="1150" t="s">
        <v>787</v>
      </c>
      <c r="C105" s="1150" t="s">
        <v>794</v>
      </c>
      <c r="D105" s="1151">
        <v>42416</v>
      </c>
      <c r="E105" s="1152">
        <v>27856792</v>
      </c>
      <c r="F105" s="1150" t="s">
        <v>404</v>
      </c>
      <c r="G105" s="1153" t="s">
        <v>611</v>
      </c>
      <c r="H105" s="1154">
        <v>1998</v>
      </c>
      <c r="I105" s="1150" t="s">
        <v>612</v>
      </c>
      <c r="J105" s="1153" t="s">
        <v>14</v>
      </c>
      <c r="K105" s="1150" t="s">
        <v>613</v>
      </c>
      <c r="L105" s="1150" t="s">
        <v>787</v>
      </c>
      <c r="M105" s="1153" t="s">
        <v>14</v>
      </c>
      <c r="N105" s="1153" t="s">
        <v>614</v>
      </c>
      <c r="O105" s="1155">
        <v>65</v>
      </c>
      <c r="P105" s="1156"/>
      <c r="Q105" s="1155">
        <v>5</v>
      </c>
      <c r="R105" s="1150" t="s">
        <v>615</v>
      </c>
      <c r="S105" s="1150" t="s">
        <v>739</v>
      </c>
      <c r="T105" s="1150" t="s">
        <v>691</v>
      </c>
      <c r="U105" s="1157">
        <v>173800</v>
      </c>
      <c r="V105" s="1150" t="s">
        <v>691</v>
      </c>
      <c r="W105" s="1157">
        <v>173800</v>
      </c>
      <c r="X105" s="1150" t="s">
        <v>635</v>
      </c>
      <c r="Y105" s="1158">
        <v>42416.801875000005</v>
      </c>
      <c r="Z105" s="1150" t="s">
        <v>618</v>
      </c>
      <c r="AA105" s="1158">
        <v>43923.36603009259</v>
      </c>
      <c r="AB105" s="1138">
        <f t="shared" si="1"/>
        <v>347600</v>
      </c>
    </row>
    <row r="106" spans="1:28" x14ac:dyDescent="0.25">
      <c r="A106" s="1159">
        <v>107914</v>
      </c>
      <c r="B106" s="1159" t="s">
        <v>787</v>
      </c>
      <c r="C106" s="1159" t="s">
        <v>795</v>
      </c>
      <c r="D106" s="1160">
        <v>42416</v>
      </c>
      <c r="E106" s="1161">
        <v>23070700</v>
      </c>
      <c r="F106" s="1159" t="s">
        <v>404</v>
      </c>
      <c r="G106" s="1162" t="s">
        <v>611</v>
      </c>
      <c r="H106" s="1163">
        <v>1998</v>
      </c>
      <c r="I106" s="1159" t="s">
        <v>612</v>
      </c>
      <c r="J106" s="1162" t="s">
        <v>14</v>
      </c>
      <c r="K106" s="1159" t="s">
        <v>613</v>
      </c>
      <c r="L106" s="1159" t="s">
        <v>787</v>
      </c>
      <c r="M106" s="1162" t="s">
        <v>14</v>
      </c>
      <c r="N106" s="1162" t="s">
        <v>614</v>
      </c>
      <c r="O106" s="1164">
        <v>65</v>
      </c>
      <c r="P106" s="1165"/>
      <c r="Q106" s="1164">
        <v>5</v>
      </c>
      <c r="R106" s="1159" t="s">
        <v>615</v>
      </c>
      <c r="S106" s="1159" t="s">
        <v>739</v>
      </c>
      <c r="T106" s="1159" t="s">
        <v>694</v>
      </c>
      <c r="U106" s="1166">
        <v>123300</v>
      </c>
      <c r="V106" s="1159" t="s">
        <v>694</v>
      </c>
      <c r="W106" s="1166">
        <v>123300</v>
      </c>
      <c r="X106" s="1159" t="s">
        <v>635</v>
      </c>
      <c r="Y106" s="1167">
        <v>42416.79844907408</v>
      </c>
      <c r="Z106" s="1159" t="s">
        <v>618</v>
      </c>
      <c r="AA106" s="1167">
        <v>43923.36547453704</v>
      </c>
      <c r="AB106" s="1138">
        <f t="shared" si="1"/>
        <v>246600</v>
      </c>
    </row>
    <row r="107" spans="1:28" x14ac:dyDescent="0.25">
      <c r="A107" s="1150">
        <v>110451</v>
      </c>
      <c r="B107" s="1150" t="s">
        <v>787</v>
      </c>
      <c r="C107" s="1150" t="s">
        <v>796</v>
      </c>
      <c r="D107" s="1151">
        <v>43677</v>
      </c>
      <c r="E107" s="1152">
        <v>20608140</v>
      </c>
      <c r="F107" s="1150" t="s">
        <v>404</v>
      </c>
      <c r="G107" s="1153" t="s">
        <v>611</v>
      </c>
      <c r="H107" s="1154">
        <v>1998</v>
      </c>
      <c r="I107" s="1150" t="s">
        <v>612</v>
      </c>
      <c r="J107" s="1153" t="s">
        <v>14</v>
      </c>
      <c r="K107" s="1150" t="s">
        <v>613</v>
      </c>
      <c r="L107" s="1150" t="s">
        <v>787</v>
      </c>
      <c r="M107" s="1153" t="s">
        <v>14</v>
      </c>
      <c r="N107" s="1153" t="s">
        <v>614</v>
      </c>
      <c r="O107" s="1155">
        <v>65</v>
      </c>
      <c r="P107" s="1156"/>
      <c r="Q107" s="1155">
        <v>5</v>
      </c>
      <c r="R107" s="1150" t="s">
        <v>615</v>
      </c>
      <c r="S107" s="1150" t="s">
        <v>739</v>
      </c>
      <c r="T107" s="1150" t="s">
        <v>678</v>
      </c>
      <c r="U107" s="1157">
        <v>114500</v>
      </c>
      <c r="V107" s="1150" t="s">
        <v>678</v>
      </c>
      <c r="W107" s="1157">
        <v>114500</v>
      </c>
      <c r="X107" s="1150" t="s">
        <v>618</v>
      </c>
      <c r="Y107" s="1158">
        <v>43677.07376157407</v>
      </c>
      <c r="Z107" s="1150" t="s">
        <v>618</v>
      </c>
      <c r="AA107" s="1158">
        <v>43923.379004629634</v>
      </c>
      <c r="AB107" s="1138">
        <f t="shared" si="1"/>
        <v>229000</v>
      </c>
    </row>
    <row r="108" spans="1:28" x14ac:dyDescent="0.25">
      <c r="A108" s="1159">
        <v>110452</v>
      </c>
      <c r="B108" s="1159" t="s">
        <v>787</v>
      </c>
      <c r="C108" s="1159" t="s">
        <v>797</v>
      </c>
      <c r="D108" s="1160">
        <v>43677</v>
      </c>
      <c r="E108" s="1161">
        <v>23050514</v>
      </c>
      <c r="F108" s="1159" t="s">
        <v>404</v>
      </c>
      <c r="G108" s="1162" t="s">
        <v>611</v>
      </c>
      <c r="H108" s="1163">
        <v>1998</v>
      </c>
      <c r="I108" s="1159" t="s">
        <v>612</v>
      </c>
      <c r="J108" s="1162" t="s">
        <v>14</v>
      </c>
      <c r="K108" s="1159" t="s">
        <v>613</v>
      </c>
      <c r="L108" s="1159" t="s">
        <v>787</v>
      </c>
      <c r="M108" s="1162" t="s">
        <v>14</v>
      </c>
      <c r="N108" s="1162" t="s">
        <v>614</v>
      </c>
      <c r="O108" s="1164">
        <v>65</v>
      </c>
      <c r="P108" s="1165"/>
      <c r="Q108" s="1164">
        <v>5</v>
      </c>
      <c r="R108" s="1159" t="s">
        <v>615</v>
      </c>
      <c r="S108" s="1159" t="s">
        <v>739</v>
      </c>
      <c r="T108" s="1159" t="s">
        <v>694</v>
      </c>
      <c r="U108" s="1166">
        <v>123300</v>
      </c>
      <c r="V108" s="1159" t="s">
        <v>694</v>
      </c>
      <c r="W108" s="1166">
        <v>123300</v>
      </c>
      <c r="X108" s="1159" t="s">
        <v>618</v>
      </c>
      <c r="Y108" s="1167">
        <v>43677.08789351852</v>
      </c>
      <c r="Z108" s="1159" t="s">
        <v>618</v>
      </c>
      <c r="AA108" s="1167">
        <v>43920.64162037037</v>
      </c>
      <c r="AB108" s="1138">
        <f t="shared" si="1"/>
        <v>246600</v>
      </c>
    </row>
    <row r="109" spans="1:28" x14ac:dyDescent="0.25">
      <c r="A109" s="1150">
        <v>110456</v>
      </c>
      <c r="B109" s="1150" t="s">
        <v>787</v>
      </c>
      <c r="C109" s="1150" t="s">
        <v>798</v>
      </c>
      <c r="D109" s="1151">
        <v>43677</v>
      </c>
      <c r="E109" s="1152">
        <v>32120000</v>
      </c>
      <c r="F109" s="1150" t="s">
        <v>387</v>
      </c>
      <c r="G109" s="1153" t="s">
        <v>611</v>
      </c>
      <c r="H109" s="1154">
        <v>1997</v>
      </c>
      <c r="I109" s="1150" t="s">
        <v>612</v>
      </c>
      <c r="J109" s="1153" t="s">
        <v>14</v>
      </c>
      <c r="K109" s="1150" t="s">
        <v>613</v>
      </c>
      <c r="L109" s="1150" t="s">
        <v>787</v>
      </c>
      <c r="M109" s="1153" t="s">
        <v>14</v>
      </c>
      <c r="N109" s="1153" t="s">
        <v>799</v>
      </c>
      <c r="O109" s="1155">
        <v>65</v>
      </c>
      <c r="P109" s="1156"/>
      <c r="Q109" s="1155">
        <v>5</v>
      </c>
      <c r="R109" s="1150" t="s">
        <v>624</v>
      </c>
      <c r="S109" s="1150" t="s">
        <v>739</v>
      </c>
      <c r="T109" s="1150" t="s">
        <v>696</v>
      </c>
      <c r="U109" s="1157">
        <v>197900</v>
      </c>
      <c r="V109" s="1150" t="s">
        <v>696</v>
      </c>
      <c r="W109" s="1157">
        <v>197900</v>
      </c>
      <c r="X109" s="1150" t="s">
        <v>618</v>
      </c>
      <c r="Y109" s="1158">
        <v>43677.10233796296</v>
      </c>
      <c r="Z109" s="1150" t="s">
        <v>618</v>
      </c>
      <c r="AA109" s="1158">
        <v>43894.80194444444</v>
      </c>
      <c r="AB109" s="1138">
        <f t="shared" si="1"/>
        <v>395800</v>
      </c>
    </row>
    <row r="110" spans="1:28" x14ac:dyDescent="0.25">
      <c r="A110" s="1159">
        <v>108107</v>
      </c>
      <c r="B110" s="1159" t="s">
        <v>800</v>
      </c>
      <c r="C110" s="1159" t="s">
        <v>801</v>
      </c>
      <c r="D110" s="1160">
        <v>42557</v>
      </c>
      <c r="E110" s="1161">
        <v>33020000</v>
      </c>
      <c r="F110" s="1159" t="s">
        <v>387</v>
      </c>
      <c r="G110" s="1162" t="s">
        <v>611</v>
      </c>
      <c r="H110" s="1163">
        <v>2495</v>
      </c>
      <c r="I110" s="1159" t="s">
        <v>629</v>
      </c>
      <c r="J110" s="1162" t="s">
        <v>14</v>
      </c>
      <c r="K110" s="1159" t="s">
        <v>613</v>
      </c>
      <c r="L110" s="1159" t="s">
        <v>802</v>
      </c>
      <c r="M110" s="1162" t="s">
        <v>14</v>
      </c>
      <c r="N110" s="1162" t="s">
        <v>703</v>
      </c>
      <c r="O110" s="1164">
        <v>70</v>
      </c>
      <c r="P110" s="1164">
        <v>0</v>
      </c>
      <c r="Q110" s="1164">
        <v>5</v>
      </c>
      <c r="R110" s="1159" t="s">
        <v>710</v>
      </c>
      <c r="S110" s="1159" t="s">
        <v>739</v>
      </c>
      <c r="T110" s="1159" t="s">
        <v>803</v>
      </c>
      <c r="U110" s="1166">
        <v>124000</v>
      </c>
      <c r="V110" s="1159" t="s">
        <v>803</v>
      </c>
      <c r="W110" s="1166">
        <v>124000</v>
      </c>
      <c r="X110" s="1159" t="s">
        <v>635</v>
      </c>
      <c r="Y110" s="1167">
        <v>42557.47331018519</v>
      </c>
      <c r="Z110" s="1159" t="s">
        <v>721</v>
      </c>
      <c r="AA110" s="1167">
        <v>43361.677766203706</v>
      </c>
      <c r="AB110" s="1138">
        <f t="shared" si="1"/>
        <v>248000</v>
      </c>
    </row>
    <row r="111" spans="1:28" x14ac:dyDescent="0.25">
      <c r="A111" s="1150">
        <v>108108</v>
      </c>
      <c r="B111" s="1150" t="s">
        <v>800</v>
      </c>
      <c r="C111" s="1150" t="s">
        <v>804</v>
      </c>
      <c r="D111" s="1151">
        <v>42557</v>
      </c>
      <c r="E111" s="1152">
        <v>38600000</v>
      </c>
      <c r="F111" s="1150" t="s">
        <v>387</v>
      </c>
      <c r="G111" s="1153" t="s">
        <v>611</v>
      </c>
      <c r="H111" s="1154">
        <v>3498</v>
      </c>
      <c r="I111" s="1150" t="s">
        <v>629</v>
      </c>
      <c r="J111" s="1153" t="s">
        <v>14</v>
      </c>
      <c r="K111" s="1150" t="s">
        <v>613</v>
      </c>
      <c r="L111" s="1150" t="s">
        <v>802</v>
      </c>
      <c r="M111" s="1153" t="s">
        <v>14</v>
      </c>
      <c r="N111" s="1153" t="s">
        <v>693</v>
      </c>
      <c r="O111" s="1155">
        <v>70</v>
      </c>
      <c r="P111" s="1155">
        <v>0</v>
      </c>
      <c r="Q111" s="1155">
        <v>5</v>
      </c>
      <c r="R111" s="1150" t="s">
        <v>632</v>
      </c>
      <c r="S111" s="1150" t="s">
        <v>739</v>
      </c>
      <c r="T111" s="1150" t="s">
        <v>803</v>
      </c>
      <c r="U111" s="1157">
        <v>124000</v>
      </c>
      <c r="V111" s="1150" t="s">
        <v>803</v>
      </c>
      <c r="W111" s="1157">
        <v>124000</v>
      </c>
      <c r="X111" s="1150" t="s">
        <v>635</v>
      </c>
      <c r="Y111" s="1158">
        <v>42557.47666666667</v>
      </c>
      <c r="Z111" s="1150" t="s">
        <v>635</v>
      </c>
      <c r="AA111" s="1158">
        <v>42767.63652777778</v>
      </c>
      <c r="AB111" s="1138">
        <f t="shared" si="1"/>
        <v>248000</v>
      </c>
    </row>
    <row r="112" spans="1:28" x14ac:dyDescent="0.25">
      <c r="A112" s="1159">
        <v>107639</v>
      </c>
      <c r="B112" s="1159" t="s">
        <v>800</v>
      </c>
      <c r="C112" s="1159" t="s">
        <v>805</v>
      </c>
      <c r="D112" s="1160">
        <v>42247</v>
      </c>
      <c r="E112" s="1161">
        <v>25850000</v>
      </c>
      <c r="F112" s="1159" t="s">
        <v>404</v>
      </c>
      <c r="G112" s="1162" t="s">
        <v>611</v>
      </c>
      <c r="H112" s="1163">
        <v>1998</v>
      </c>
      <c r="I112" s="1159" t="s">
        <v>612</v>
      </c>
      <c r="J112" s="1162" t="s">
        <v>14</v>
      </c>
      <c r="K112" s="1159" t="s">
        <v>613</v>
      </c>
      <c r="L112" s="1159" t="s">
        <v>802</v>
      </c>
      <c r="M112" s="1162" t="s">
        <v>14</v>
      </c>
      <c r="N112" s="1162" t="s">
        <v>693</v>
      </c>
      <c r="O112" s="1164">
        <v>0</v>
      </c>
      <c r="P112" s="1164">
        <v>0</v>
      </c>
      <c r="Q112" s="1164">
        <v>5</v>
      </c>
      <c r="R112" s="1159" t="s">
        <v>643</v>
      </c>
      <c r="S112" s="1159" t="s">
        <v>739</v>
      </c>
      <c r="T112" s="1159" t="s">
        <v>803</v>
      </c>
      <c r="U112" s="1166">
        <v>124000</v>
      </c>
      <c r="V112" s="1159" t="s">
        <v>803</v>
      </c>
      <c r="W112" s="1166">
        <v>124000</v>
      </c>
      <c r="X112" s="1159" t="s">
        <v>618</v>
      </c>
      <c r="Y112" s="1167">
        <v>42247.77736111111</v>
      </c>
      <c r="Z112" s="1159" t="s">
        <v>618</v>
      </c>
      <c r="AA112" s="1167">
        <v>42891.191516203704</v>
      </c>
      <c r="AB112" s="1138">
        <f t="shared" si="1"/>
        <v>248000</v>
      </c>
    </row>
    <row r="113" ht="24" customHeight="1" spans="1:28" x14ac:dyDescent="0.25">
      <c r="A113" s="1150">
        <v>108265</v>
      </c>
      <c r="B113" s="1150" t="s">
        <v>800</v>
      </c>
      <c r="C113" s="1150" t="s">
        <v>806</v>
      </c>
      <c r="D113" s="1151">
        <v>42681</v>
      </c>
      <c r="E113" s="1152">
        <v>23750000</v>
      </c>
      <c r="F113" s="1150" t="s">
        <v>404</v>
      </c>
      <c r="G113" s="1153" t="s">
        <v>611</v>
      </c>
      <c r="H113" s="1154">
        <v>1998</v>
      </c>
      <c r="I113" s="1150" t="s">
        <v>612</v>
      </c>
      <c r="J113" s="1153" t="s">
        <v>14</v>
      </c>
      <c r="K113" s="1150" t="s">
        <v>613</v>
      </c>
      <c r="L113" s="1150" t="s">
        <v>802</v>
      </c>
      <c r="M113" s="1153" t="s">
        <v>14</v>
      </c>
      <c r="N113" s="1153" t="s">
        <v>693</v>
      </c>
      <c r="O113" s="1155">
        <v>0</v>
      </c>
      <c r="P113" s="1155">
        <v>0</v>
      </c>
      <c r="Q113" s="1155">
        <v>5</v>
      </c>
      <c r="R113" s="1150" t="s">
        <v>643</v>
      </c>
      <c r="S113" s="1150" t="s">
        <v>739</v>
      </c>
      <c r="T113" s="1150" t="s">
        <v>803</v>
      </c>
      <c r="U113" s="1157">
        <v>124000</v>
      </c>
      <c r="V113" s="1150" t="s">
        <v>803</v>
      </c>
      <c r="W113" s="1157">
        <v>124000</v>
      </c>
      <c r="X113" s="1150" t="s">
        <v>635</v>
      </c>
      <c r="Y113" s="1158">
        <v>42681.428715277776</v>
      </c>
      <c r="Z113" s="1150" t="s">
        <v>618</v>
      </c>
      <c r="AA113" s="1158">
        <v>42891.19164351852</v>
      </c>
      <c r="AB113" s="1138">
        <f t="shared" si="1"/>
        <v>248000</v>
      </c>
    </row>
    <row r="114" spans="1:28" x14ac:dyDescent="0.25">
      <c r="A114" s="1159">
        <v>111079</v>
      </c>
      <c r="B114" s="1159" t="s">
        <v>807</v>
      </c>
      <c r="C114" s="1159" t="s">
        <v>808</v>
      </c>
      <c r="D114" s="1160">
        <v>43891</v>
      </c>
      <c r="E114" s="1161">
        <v>19390000</v>
      </c>
      <c r="F114" s="1159" t="s">
        <v>387</v>
      </c>
      <c r="G114" s="1162" t="s">
        <v>611</v>
      </c>
      <c r="H114" s="1163">
        <v>1598</v>
      </c>
      <c r="I114" s="1159" t="s">
        <v>612</v>
      </c>
      <c r="J114" s="1162" t="s">
        <v>14</v>
      </c>
      <c r="K114" s="1159" t="s">
        <v>613</v>
      </c>
      <c r="L114" s="1159" t="s">
        <v>807</v>
      </c>
      <c r="M114" s="1162" t="s">
        <v>14</v>
      </c>
      <c r="N114" s="1162" t="s">
        <v>647</v>
      </c>
      <c r="O114" s="1164">
        <v>0</v>
      </c>
      <c r="P114" s="1165"/>
      <c r="Q114" s="1164">
        <v>5</v>
      </c>
      <c r="R114" s="1159" t="s">
        <v>662</v>
      </c>
      <c r="S114" s="1159" t="s">
        <v>739</v>
      </c>
      <c r="T114" s="1159" t="s">
        <v>809</v>
      </c>
      <c r="U114" s="1166">
        <v>115500</v>
      </c>
      <c r="V114" s="1159" t="s">
        <v>809</v>
      </c>
      <c r="W114" s="1166">
        <v>115500</v>
      </c>
      <c r="X114" s="1159" t="s">
        <v>618</v>
      </c>
      <c r="Y114" s="1167">
        <v>43900.51697916667</v>
      </c>
      <c r="Z114" s="1159" t="s">
        <v>618</v>
      </c>
      <c r="AA114" s="1167">
        <v>43900.51697916667</v>
      </c>
      <c r="AB114" s="1138">
        <f t="shared" si="1"/>
        <v>231000</v>
      </c>
    </row>
    <row r="115" spans="1:28" x14ac:dyDescent="0.25">
      <c r="A115" s="1150">
        <v>111080</v>
      </c>
      <c r="B115" s="1150" t="s">
        <v>807</v>
      </c>
      <c r="C115" s="1150" t="s">
        <v>810</v>
      </c>
      <c r="D115" s="1151">
        <v>43891</v>
      </c>
      <c r="E115" s="1152">
        <v>21400000</v>
      </c>
      <c r="F115" s="1150" t="s">
        <v>387</v>
      </c>
      <c r="G115" s="1153" t="s">
        <v>611</v>
      </c>
      <c r="H115" s="1154">
        <v>1598</v>
      </c>
      <c r="I115" s="1150" t="s">
        <v>612</v>
      </c>
      <c r="J115" s="1153" t="s">
        <v>14</v>
      </c>
      <c r="K115" s="1150" t="s">
        <v>613</v>
      </c>
      <c r="L115" s="1150" t="s">
        <v>807</v>
      </c>
      <c r="M115" s="1153" t="s">
        <v>14</v>
      </c>
      <c r="N115" s="1153" t="s">
        <v>647</v>
      </c>
      <c r="O115" s="1155">
        <v>0</v>
      </c>
      <c r="P115" s="1156"/>
      <c r="Q115" s="1155">
        <v>5</v>
      </c>
      <c r="R115" s="1150" t="s">
        <v>662</v>
      </c>
      <c r="S115" s="1150" t="s">
        <v>739</v>
      </c>
      <c r="T115" s="1150" t="s">
        <v>809</v>
      </c>
      <c r="U115" s="1157">
        <v>115500</v>
      </c>
      <c r="V115" s="1150" t="s">
        <v>809</v>
      </c>
      <c r="W115" s="1157">
        <v>115500</v>
      </c>
      <c r="X115" s="1150" t="s">
        <v>618</v>
      </c>
      <c r="Y115" s="1158">
        <v>43900.51961805555</v>
      </c>
      <c r="Z115" s="1150" t="s">
        <v>618</v>
      </c>
      <c r="AA115" s="1158">
        <v>43900.51961805555</v>
      </c>
      <c r="AB115" s="1138">
        <f t="shared" si="1"/>
        <v>231000</v>
      </c>
    </row>
    <row r="116" spans="1:28" x14ac:dyDescent="0.25">
      <c r="A116" s="1159">
        <v>111078</v>
      </c>
      <c r="B116" s="1159" t="s">
        <v>807</v>
      </c>
      <c r="C116" s="1159" t="s">
        <v>811</v>
      </c>
      <c r="D116" s="1160">
        <v>43891</v>
      </c>
      <c r="E116" s="1161">
        <v>17190000</v>
      </c>
      <c r="F116" s="1159" t="s">
        <v>387</v>
      </c>
      <c r="G116" s="1162" t="s">
        <v>611</v>
      </c>
      <c r="H116" s="1163">
        <v>1598</v>
      </c>
      <c r="I116" s="1159" t="s">
        <v>612</v>
      </c>
      <c r="J116" s="1162" t="s">
        <v>14</v>
      </c>
      <c r="K116" s="1159" t="s">
        <v>613</v>
      </c>
      <c r="L116" s="1159" t="s">
        <v>807</v>
      </c>
      <c r="M116" s="1162" t="s">
        <v>14</v>
      </c>
      <c r="N116" s="1162" t="s">
        <v>647</v>
      </c>
      <c r="O116" s="1164">
        <v>0</v>
      </c>
      <c r="P116" s="1165"/>
      <c r="Q116" s="1164">
        <v>5</v>
      </c>
      <c r="R116" s="1159" t="s">
        <v>662</v>
      </c>
      <c r="S116" s="1159" t="s">
        <v>739</v>
      </c>
      <c r="T116" s="1159" t="s">
        <v>809</v>
      </c>
      <c r="U116" s="1166">
        <v>115500</v>
      </c>
      <c r="V116" s="1159" t="s">
        <v>809</v>
      </c>
      <c r="W116" s="1166">
        <v>115500</v>
      </c>
      <c r="X116" s="1159" t="s">
        <v>618</v>
      </c>
      <c r="Y116" s="1167">
        <v>43900.51449074074</v>
      </c>
      <c r="Z116" s="1159" t="s">
        <v>618</v>
      </c>
      <c r="AA116" s="1167">
        <v>43900.51449074074</v>
      </c>
      <c r="AB116" s="1138">
        <f t="shared" si="1"/>
        <v>231000</v>
      </c>
    </row>
    <row r="117" spans="1:28" x14ac:dyDescent="0.25">
      <c r="A117" s="1150">
        <v>111073</v>
      </c>
      <c r="B117" s="1150" t="s">
        <v>807</v>
      </c>
      <c r="C117" s="1150" t="s">
        <v>812</v>
      </c>
      <c r="D117" s="1151">
        <v>43891</v>
      </c>
      <c r="E117" s="1152">
        <v>20830000</v>
      </c>
      <c r="F117" s="1150" t="s">
        <v>387</v>
      </c>
      <c r="G117" s="1153" t="s">
        <v>611</v>
      </c>
      <c r="H117" s="1154">
        <v>1332</v>
      </c>
      <c r="I117" s="1150" t="s">
        <v>612</v>
      </c>
      <c r="J117" s="1153" t="s">
        <v>14</v>
      </c>
      <c r="K117" s="1150" t="s">
        <v>613</v>
      </c>
      <c r="L117" s="1150" t="s">
        <v>807</v>
      </c>
      <c r="M117" s="1153" t="s">
        <v>14</v>
      </c>
      <c r="N117" s="1153" t="s">
        <v>623</v>
      </c>
      <c r="O117" s="1155">
        <v>0</v>
      </c>
      <c r="P117" s="1156"/>
      <c r="Q117" s="1155">
        <v>5</v>
      </c>
      <c r="R117" s="1150" t="s">
        <v>662</v>
      </c>
      <c r="S117" s="1150" t="s">
        <v>739</v>
      </c>
      <c r="T117" s="1150" t="s">
        <v>813</v>
      </c>
      <c r="U117" s="1157">
        <v>140000</v>
      </c>
      <c r="V117" s="1150" t="s">
        <v>813</v>
      </c>
      <c r="W117" s="1157">
        <v>140000</v>
      </c>
      <c r="X117" s="1150" t="s">
        <v>618</v>
      </c>
      <c r="Y117" s="1158">
        <v>43900.45344907408</v>
      </c>
      <c r="Z117" s="1150" t="s">
        <v>618</v>
      </c>
      <c r="AA117" s="1158">
        <v>43900.465416666666</v>
      </c>
      <c r="AB117" s="1138">
        <f t="shared" si="1"/>
        <v>280000</v>
      </c>
    </row>
    <row r="118" spans="1:28" x14ac:dyDescent="0.25">
      <c r="A118" s="1159">
        <v>111074</v>
      </c>
      <c r="B118" s="1159" t="s">
        <v>807</v>
      </c>
      <c r="C118" s="1159" t="s">
        <v>814</v>
      </c>
      <c r="D118" s="1160">
        <v>43891</v>
      </c>
      <c r="E118" s="1161">
        <v>22930000</v>
      </c>
      <c r="F118" s="1159" t="s">
        <v>387</v>
      </c>
      <c r="G118" s="1162" t="s">
        <v>611</v>
      </c>
      <c r="H118" s="1163">
        <v>1332</v>
      </c>
      <c r="I118" s="1159" t="s">
        <v>612</v>
      </c>
      <c r="J118" s="1162" t="s">
        <v>14</v>
      </c>
      <c r="K118" s="1159" t="s">
        <v>613</v>
      </c>
      <c r="L118" s="1159" t="s">
        <v>807</v>
      </c>
      <c r="M118" s="1162" t="s">
        <v>14</v>
      </c>
      <c r="N118" s="1162" t="s">
        <v>623</v>
      </c>
      <c r="O118" s="1164">
        <v>0</v>
      </c>
      <c r="P118" s="1165"/>
      <c r="Q118" s="1164">
        <v>5</v>
      </c>
      <c r="R118" s="1159" t="s">
        <v>662</v>
      </c>
      <c r="S118" s="1159" t="s">
        <v>739</v>
      </c>
      <c r="T118" s="1159" t="s">
        <v>815</v>
      </c>
      <c r="U118" s="1166">
        <v>140000</v>
      </c>
      <c r="V118" s="1159" t="s">
        <v>815</v>
      </c>
      <c r="W118" s="1166">
        <v>140000</v>
      </c>
      <c r="X118" s="1159" t="s">
        <v>618</v>
      </c>
      <c r="Y118" s="1167">
        <v>43900.501793981486</v>
      </c>
      <c r="Z118" s="1159" t="s">
        <v>618</v>
      </c>
      <c r="AA118" s="1167">
        <v>43900.501793981486</v>
      </c>
      <c r="AB118" s="1138">
        <f t="shared" si="1"/>
        <v>280000</v>
      </c>
    </row>
    <row r="119" spans="1:28" x14ac:dyDescent="0.25">
      <c r="A119" s="1150">
        <v>111075</v>
      </c>
      <c r="B119" s="1150" t="s">
        <v>807</v>
      </c>
      <c r="C119" s="1150" t="s">
        <v>816</v>
      </c>
      <c r="D119" s="1151">
        <v>43891</v>
      </c>
      <c r="E119" s="1152">
        <v>25320000</v>
      </c>
      <c r="F119" s="1150" t="s">
        <v>387</v>
      </c>
      <c r="G119" s="1153" t="s">
        <v>611</v>
      </c>
      <c r="H119" s="1154">
        <v>1332</v>
      </c>
      <c r="I119" s="1150" t="s">
        <v>612</v>
      </c>
      <c r="J119" s="1153" t="s">
        <v>14</v>
      </c>
      <c r="K119" s="1150" t="s">
        <v>613</v>
      </c>
      <c r="L119" s="1150" t="s">
        <v>807</v>
      </c>
      <c r="M119" s="1153" t="s">
        <v>14</v>
      </c>
      <c r="N119" s="1153" t="s">
        <v>623</v>
      </c>
      <c r="O119" s="1155">
        <v>0</v>
      </c>
      <c r="P119" s="1156"/>
      <c r="Q119" s="1155">
        <v>5</v>
      </c>
      <c r="R119" s="1150" t="s">
        <v>662</v>
      </c>
      <c r="S119" s="1150" t="s">
        <v>739</v>
      </c>
      <c r="T119" s="1150" t="s">
        <v>815</v>
      </c>
      <c r="U119" s="1157">
        <v>140000</v>
      </c>
      <c r="V119" s="1150" t="s">
        <v>815</v>
      </c>
      <c r="W119" s="1157">
        <v>140000</v>
      </c>
      <c r="X119" s="1150" t="s">
        <v>618</v>
      </c>
      <c r="Y119" s="1158">
        <v>43900.50890046296</v>
      </c>
      <c r="Z119" s="1150" t="s">
        <v>618</v>
      </c>
      <c r="AA119" s="1158">
        <v>43900.50890046296</v>
      </c>
      <c r="AB119" s="1138">
        <f t="shared" si="1"/>
        <v>280000</v>
      </c>
    </row>
    <row r="120" spans="1:28" x14ac:dyDescent="0.25">
      <c r="A120" s="1159">
        <v>110795</v>
      </c>
      <c r="B120" s="1159" t="s">
        <v>817</v>
      </c>
      <c r="C120" s="1159" t="s">
        <v>818</v>
      </c>
      <c r="D120" s="1160">
        <v>43788</v>
      </c>
      <c r="E120" s="1161">
        <v>28500000</v>
      </c>
      <c r="F120" s="1159" t="s">
        <v>404</v>
      </c>
      <c r="G120" s="1162" t="s">
        <v>611</v>
      </c>
      <c r="H120" s="1163">
        <v>2999</v>
      </c>
      <c r="I120" s="1159" t="s">
        <v>612</v>
      </c>
      <c r="J120" s="1162" t="s">
        <v>14</v>
      </c>
      <c r="K120" s="1159" t="s">
        <v>18</v>
      </c>
      <c r="L120" s="1159" t="s">
        <v>817</v>
      </c>
      <c r="M120" s="1162" t="s">
        <v>14</v>
      </c>
      <c r="N120" s="1162" t="s">
        <v>693</v>
      </c>
      <c r="O120" s="1164">
        <v>85</v>
      </c>
      <c r="P120" s="1164">
        <v>0</v>
      </c>
      <c r="Q120" s="1164">
        <v>5</v>
      </c>
      <c r="R120" s="1159" t="s">
        <v>624</v>
      </c>
      <c r="S120" s="1159" t="s">
        <v>819</v>
      </c>
      <c r="T120" s="1159" t="s">
        <v>694</v>
      </c>
      <c r="U120" s="1166">
        <v>123300</v>
      </c>
      <c r="V120" s="1159" t="s">
        <v>694</v>
      </c>
      <c r="W120" s="1166">
        <v>123300</v>
      </c>
      <c r="X120" s="1159" t="s">
        <v>618</v>
      </c>
      <c r="Y120" s="1167">
        <v>43788.070185185185</v>
      </c>
      <c r="Z120" s="1159" t="s">
        <v>618</v>
      </c>
      <c r="AA120" s="1167">
        <v>43832.53120370371</v>
      </c>
      <c r="AB120" s="1138">
        <f t="shared" si="1"/>
        <v>246600</v>
      </c>
    </row>
    <row r="121" spans="1:28" x14ac:dyDescent="0.25">
      <c r="A121" s="1150">
        <v>110797</v>
      </c>
      <c r="B121" s="1150" t="s">
        <v>817</v>
      </c>
      <c r="C121" s="1150" t="s">
        <v>820</v>
      </c>
      <c r="D121" s="1151">
        <v>43788</v>
      </c>
      <c r="E121" s="1152">
        <v>35350000</v>
      </c>
      <c r="F121" s="1150" t="s">
        <v>404</v>
      </c>
      <c r="G121" s="1153" t="s">
        <v>611</v>
      </c>
      <c r="H121" s="1154">
        <v>2999</v>
      </c>
      <c r="I121" s="1150" t="s">
        <v>612</v>
      </c>
      <c r="J121" s="1153" t="s">
        <v>14</v>
      </c>
      <c r="K121" s="1150" t="s">
        <v>18</v>
      </c>
      <c r="L121" s="1150" t="s">
        <v>817</v>
      </c>
      <c r="M121" s="1153" t="s">
        <v>14</v>
      </c>
      <c r="N121" s="1153" t="s">
        <v>693</v>
      </c>
      <c r="O121" s="1155">
        <v>85</v>
      </c>
      <c r="P121" s="1155">
        <v>0</v>
      </c>
      <c r="Q121" s="1155">
        <v>5</v>
      </c>
      <c r="R121" s="1150" t="s">
        <v>624</v>
      </c>
      <c r="S121" s="1150" t="s">
        <v>819</v>
      </c>
      <c r="T121" s="1150" t="s">
        <v>694</v>
      </c>
      <c r="U121" s="1157">
        <v>123300</v>
      </c>
      <c r="V121" s="1150" t="s">
        <v>694</v>
      </c>
      <c r="W121" s="1157">
        <v>123300</v>
      </c>
      <c r="X121" s="1150" t="s">
        <v>618</v>
      </c>
      <c r="Y121" s="1158">
        <v>43788.08521990741</v>
      </c>
      <c r="Z121" s="1150" t="s">
        <v>618</v>
      </c>
      <c r="AA121" s="1158">
        <v>43832.5322337963</v>
      </c>
      <c r="AB121" s="1138">
        <f t="shared" si="1"/>
        <v>246600</v>
      </c>
    </row>
    <row r="122" spans="1:28" x14ac:dyDescent="0.25">
      <c r="A122" s="1159">
        <v>110796</v>
      </c>
      <c r="B122" s="1159" t="s">
        <v>817</v>
      </c>
      <c r="C122" s="1159" t="s">
        <v>821</v>
      </c>
      <c r="D122" s="1160">
        <v>43788</v>
      </c>
      <c r="E122" s="1161">
        <v>31830000</v>
      </c>
      <c r="F122" s="1159" t="s">
        <v>404</v>
      </c>
      <c r="G122" s="1162" t="s">
        <v>611</v>
      </c>
      <c r="H122" s="1163">
        <v>2999</v>
      </c>
      <c r="I122" s="1159" t="s">
        <v>612</v>
      </c>
      <c r="J122" s="1162" t="s">
        <v>14</v>
      </c>
      <c r="K122" s="1159" t="s">
        <v>18</v>
      </c>
      <c r="L122" s="1159" t="s">
        <v>817</v>
      </c>
      <c r="M122" s="1162" t="s">
        <v>14</v>
      </c>
      <c r="N122" s="1162" t="s">
        <v>693</v>
      </c>
      <c r="O122" s="1164">
        <v>85</v>
      </c>
      <c r="P122" s="1164">
        <v>0</v>
      </c>
      <c r="Q122" s="1164">
        <v>5</v>
      </c>
      <c r="R122" s="1159" t="s">
        <v>624</v>
      </c>
      <c r="S122" s="1159" t="s">
        <v>819</v>
      </c>
      <c r="T122" s="1159" t="s">
        <v>694</v>
      </c>
      <c r="U122" s="1166">
        <v>123300</v>
      </c>
      <c r="V122" s="1159" t="s">
        <v>694</v>
      </c>
      <c r="W122" s="1166">
        <v>123300</v>
      </c>
      <c r="X122" s="1159" t="s">
        <v>618</v>
      </c>
      <c r="Y122" s="1167">
        <v>43788.08209490741</v>
      </c>
      <c r="Z122" s="1159" t="s">
        <v>618</v>
      </c>
      <c r="AA122" s="1167">
        <v>43894.437581018516</v>
      </c>
      <c r="AB122" s="1138">
        <f t="shared" si="1"/>
        <v>246600</v>
      </c>
    </row>
    <row r="123" ht="24" customHeight="1" spans="1:28" x14ac:dyDescent="0.25">
      <c r="A123" s="1150">
        <v>110783</v>
      </c>
      <c r="B123" s="1150" t="s">
        <v>817</v>
      </c>
      <c r="C123" s="1150" t="s">
        <v>822</v>
      </c>
      <c r="D123" s="1151">
        <v>43788</v>
      </c>
      <c r="E123" s="1152">
        <v>36070000</v>
      </c>
      <c r="F123" s="1150" t="s">
        <v>387</v>
      </c>
      <c r="G123" s="1153" t="s">
        <v>611</v>
      </c>
      <c r="H123" s="1154">
        <v>2497</v>
      </c>
      <c r="I123" s="1150" t="s">
        <v>612</v>
      </c>
      <c r="J123" s="1153" t="s">
        <v>14</v>
      </c>
      <c r="K123" s="1150" t="s">
        <v>18</v>
      </c>
      <c r="L123" s="1150" t="s">
        <v>817</v>
      </c>
      <c r="M123" s="1153" t="s">
        <v>14</v>
      </c>
      <c r="N123" s="1153" t="s">
        <v>709</v>
      </c>
      <c r="O123" s="1155">
        <v>70</v>
      </c>
      <c r="P123" s="1155">
        <v>0</v>
      </c>
      <c r="Q123" s="1155">
        <v>5</v>
      </c>
      <c r="R123" s="1150" t="s">
        <v>690</v>
      </c>
      <c r="S123" s="1150" t="s">
        <v>819</v>
      </c>
      <c r="T123" s="1150" t="s">
        <v>691</v>
      </c>
      <c r="U123" s="1157">
        <v>173800</v>
      </c>
      <c r="V123" s="1150" t="s">
        <v>691</v>
      </c>
      <c r="W123" s="1157">
        <v>173800</v>
      </c>
      <c r="X123" s="1150" t="s">
        <v>618</v>
      </c>
      <c r="Y123" s="1158">
        <v>43788.00142361112</v>
      </c>
      <c r="Z123" s="1150" t="s">
        <v>618</v>
      </c>
      <c r="AA123" s="1158">
        <v>43894.432708333334</v>
      </c>
      <c r="AB123" s="1138">
        <f t="shared" si="1"/>
        <v>347600</v>
      </c>
    </row>
    <row r="124" ht="24" customHeight="1" spans="1:28" x14ac:dyDescent="0.25">
      <c r="A124" s="1159">
        <v>110798</v>
      </c>
      <c r="B124" s="1159" t="s">
        <v>817</v>
      </c>
      <c r="C124" s="1159" t="s">
        <v>823</v>
      </c>
      <c r="D124" s="1160">
        <v>43788</v>
      </c>
      <c r="E124" s="1161">
        <v>40420000</v>
      </c>
      <c r="F124" s="1159" t="s">
        <v>387</v>
      </c>
      <c r="G124" s="1162" t="s">
        <v>611</v>
      </c>
      <c r="H124" s="1163">
        <v>2497</v>
      </c>
      <c r="I124" s="1159" t="s">
        <v>612</v>
      </c>
      <c r="J124" s="1162" t="s">
        <v>14</v>
      </c>
      <c r="K124" s="1159" t="s">
        <v>18</v>
      </c>
      <c r="L124" s="1159" t="s">
        <v>817</v>
      </c>
      <c r="M124" s="1162" t="s">
        <v>14</v>
      </c>
      <c r="N124" s="1162" t="s">
        <v>709</v>
      </c>
      <c r="O124" s="1164">
        <v>70</v>
      </c>
      <c r="P124" s="1164">
        <v>0</v>
      </c>
      <c r="Q124" s="1164">
        <v>5</v>
      </c>
      <c r="R124" s="1159" t="s">
        <v>690</v>
      </c>
      <c r="S124" s="1159" t="s">
        <v>819</v>
      </c>
      <c r="T124" s="1159" t="s">
        <v>696</v>
      </c>
      <c r="U124" s="1166">
        <v>197900</v>
      </c>
      <c r="V124" s="1159" t="s">
        <v>696</v>
      </c>
      <c r="W124" s="1166">
        <v>197900</v>
      </c>
      <c r="X124" s="1159" t="s">
        <v>618</v>
      </c>
      <c r="Y124" s="1167">
        <v>43788.08809027778</v>
      </c>
      <c r="Z124" s="1159" t="s">
        <v>618</v>
      </c>
      <c r="AA124" s="1167">
        <v>43894.432974537034</v>
      </c>
      <c r="AB124" s="1138">
        <f t="shared" si="1"/>
        <v>395800</v>
      </c>
    </row>
    <row r="125" spans="1:28" x14ac:dyDescent="0.25">
      <c r="A125" s="1150">
        <v>110781</v>
      </c>
      <c r="B125" s="1150" t="s">
        <v>817</v>
      </c>
      <c r="C125" s="1150" t="s">
        <v>824</v>
      </c>
      <c r="D125" s="1151">
        <v>43787</v>
      </c>
      <c r="E125" s="1152">
        <v>32120000</v>
      </c>
      <c r="F125" s="1150" t="s">
        <v>387</v>
      </c>
      <c r="G125" s="1153" t="s">
        <v>611</v>
      </c>
      <c r="H125" s="1154">
        <v>2497</v>
      </c>
      <c r="I125" s="1150" t="s">
        <v>612</v>
      </c>
      <c r="J125" s="1153" t="s">
        <v>14</v>
      </c>
      <c r="K125" s="1150" t="s">
        <v>18</v>
      </c>
      <c r="L125" s="1150" t="s">
        <v>817</v>
      </c>
      <c r="M125" s="1153" t="s">
        <v>14</v>
      </c>
      <c r="N125" s="1153" t="s">
        <v>709</v>
      </c>
      <c r="O125" s="1155">
        <v>70</v>
      </c>
      <c r="P125" s="1155">
        <v>0</v>
      </c>
      <c r="Q125" s="1155">
        <v>5</v>
      </c>
      <c r="R125" s="1150" t="s">
        <v>690</v>
      </c>
      <c r="S125" s="1150" t="s">
        <v>819</v>
      </c>
      <c r="T125" s="1150" t="s">
        <v>694</v>
      </c>
      <c r="U125" s="1157">
        <v>123300</v>
      </c>
      <c r="V125" s="1150" t="s">
        <v>694</v>
      </c>
      <c r="W125" s="1157">
        <v>123300</v>
      </c>
      <c r="X125" s="1150" t="s">
        <v>618</v>
      </c>
      <c r="Y125" s="1158">
        <v>43787.892638888894</v>
      </c>
      <c r="Z125" s="1150" t="s">
        <v>618</v>
      </c>
      <c r="AA125" s="1158">
        <v>43894.430856481486</v>
      </c>
      <c r="AB125" s="1138">
        <f t="shared" si="1"/>
        <v>246600</v>
      </c>
    </row>
    <row r="126" ht="24" customHeight="1" spans="1:28" x14ac:dyDescent="0.25">
      <c r="A126" s="1159">
        <v>110782</v>
      </c>
      <c r="B126" s="1159" t="s">
        <v>817</v>
      </c>
      <c r="C126" s="1159" t="s">
        <v>825</v>
      </c>
      <c r="D126" s="1160">
        <v>43788</v>
      </c>
      <c r="E126" s="1161">
        <v>32870000</v>
      </c>
      <c r="F126" s="1159" t="s">
        <v>387</v>
      </c>
      <c r="G126" s="1162" t="s">
        <v>611</v>
      </c>
      <c r="H126" s="1163">
        <v>2497</v>
      </c>
      <c r="I126" s="1159" t="s">
        <v>612</v>
      </c>
      <c r="J126" s="1162" t="s">
        <v>14</v>
      </c>
      <c r="K126" s="1159" t="s">
        <v>18</v>
      </c>
      <c r="L126" s="1159" t="s">
        <v>817</v>
      </c>
      <c r="M126" s="1162" t="s">
        <v>14</v>
      </c>
      <c r="N126" s="1162" t="s">
        <v>709</v>
      </c>
      <c r="O126" s="1164">
        <v>70</v>
      </c>
      <c r="P126" s="1164">
        <v>0</v>
      </c>
      <c r="Q126" s="1164">
        <v>5</v>
      </c>
      <c r="R126" s="1159" t="s">
        <v>690</v>
      </c>
      <c r="S126" s="1159" t="s">
        <v>819</v>
      </c>
      <c r="T126" s="1159" t="s">
        <v>694</v>
      </c>
      <c r="U126" s="1166">
        <v>123300</v>
      </c>
      <c r="V126" s="1159" t="s">
        <v>694</v>
      </c>
      <c r="W126" s="1166">
        <v>123300</v>
      </c>
      <c r="X126" s="1159" t="s">
        <v>618</v>
      </c>
      <c r="Y126" s="1167">
        <v>43788.00033564815</v>
      </c>
      <c r="Z126" s="1159" t="s">
        <v>618</v>
      </c>
      <c r="AA126" s="1167">
        <v>43894.432488425926</v>
      </c>
      <c r="AB126" s="1138">
        <f t="shared" si="1"/>
        <v>246600</v>
      </c>
    </row>
    <row r="127" ht="24" customHeight="1" spans="1:28" x14ac:dyDescent="0.25">
      <c r="A127" s="1150">
        <v>110788</v>
      </c>
      <c r="B127" s="1150" t="s">
        <v>817</v>
      </c>
      <c r="C127" s="1150" t="s">
        <v>826</v>
      </c>
      <c r="D127" s="1151">
        <v>43788</v>
      </c>
      <c r="E127" s="1152">
        <v>38520000</v>
      </c>
      <c r="F127" s="1150" t="s">
        <v>387</v>
      </c>
      <c r="G127" s="1153" t="s">
        <v>611</v>
      </c>
      <c r="H127" s="1154">
        <v>3342</v>
      </c>
      <c r="I127" s="1150" t="s">
        <v>612</v>
      </c>
      <c r="J127" s="1153" t="s">
        <v>14</v>
      </c>
      <c r="K127" s="1150" t="s">
        <v>18</v>
      </c>
      <c r="L127" s="1150" t="s">
        <v>817</v>
      </c>
      <c r="M127" s="1153" t="s">
        <v>14</v>
      </c>
      <c r="N127" s="1153" t="s">
        <v>709</v>
      </c>
      <c r="O127" s="1155">
        <v>70</v>
      </c>
      <c r="P127" s="1155">
        <v>0</v>
      </c>
      <c r="Q127" s="1155">
        <v>5</v>
      </c>
      <c r="R127" s="1150" t="s">
        <v>690</v>
      </c>
      <c r="S127" s="1150" t="s">
        <v>819</v>
      </c>
      <c r="T127" s="1150" t="s">
        <v>691</v>
      </c>
      <c r="U127" s="1157">
        <v>173800</v>
      </c>
      <c r="V127" s="1150" t="s">
        <v>691</v>
      </c>
      <c r="W127" s="1157">
        <v>173800</v>
      </c>
      <c r="X127" s="1150" t="s">
        <v>618</v>
      </c>
      <c r="Y127" s="1158">
        <v>43788.02631944444</v>
      </c>
      <c r="Z127" s="1150" t="s">
        <v>618</v>
      </c>
      <c r="AA127" s="1158">
        <v>43895.634606481486</v>
      </c>
      <c r="AB127" s="1138">
        <f t="shared" si="1"/>
        <v>347600</v>
      </c>
    </row>
    <row r="128" ht="24" customHeight="1" spans="1:28" x14ac:dyDescent="0.25">
      <c r="A128" s="1159">
        <v>110799</v>
      </c>
      <c r="B128" s="1159" t="s">
        <v>817</v>
      </c>
      <c r="C128" s="1159" t="s">
        <v>827</v>
      </c>
      <c r="D128" s="1160">
        <v>43788</v>
      </c>
      <c r="E128" s="1161">
        <v>42870000</v>
      </c>
      <c r="F128" s="1159" t="s">
        <v>387</v>
      </c>
      <c r="G128" s="1162" t="s">
        <v>611</v>
      </c>
      <c r="H128" s="1163">
        <v>3342</v>
      </c>
      <c r="I128" s="1159" t="s">
        <v>612</v>
      </c>
      <c r="J128" s="1162" t="s">
        <v>14</v>
      </c>
      <c r="K128" s="1159" t="s">
        <v>18</v>
      </c>
      <c r="L128" s="1159" t="s">
        <v>817</v>
      </c>
      <c r="M128" s="1162" t="s">
        <v>14</v>
      </c>
      <c r="N128" s="1162" t="s">
        <v>709</v>
      </c>
      <c r="O128" s="1164">
        <v>70</v>
      </c>
      <c r="P128" s="1164">
        <v>0</v>
      </c>
      <c r="Q128" s="1164">
        <v>5</v>
      </c>
      <c r="R128" s="1159" t="s">
        <v>690</v>
      </c>
      <c r="S128" s="1159" t="s">
        <v>819</v>
      </c>
      <c r="T128" s="1159" t="s">
        <v>696</v>
      </c>
      <c r="U128" s="1166">
        <v>197900</v>
      </c>
      <c r="V128" s="1159" t="s">
        <v>696</v>
      </c>
      <c r="W128" s="1166">
        <v>197900</v>
      </c>
      <c r="X128" s="1159" t="s">
        <v>618</v>
      </c>
      <c r="Y128" s="1167">
        <v>43788.09372685185</v>
      </c>
      <c r="Z128" s="1159" t="s">
        <v>618</v>
      </c>
      <c r="AA128" s="1167">
        <v>43894.436064814814</v>
      </c>
      <c r="AB128" s="1138">
        <f t="shared" si="1"/>
        <v>395800</v>
      </c>
    </row>
    <row r="129" spans="1:28" x14ac:dyDescent="0.25">
      <c r="A129" s="1150">
        <v>110786</v>
      </c>
      <c r="B129" s="1150" t="s">
        <v>817</v>
      </c>
      <c r="C129" s="1150" t="s">
        <v>828</v>
      </c>
      <c r="D129" s="1151">
        <v>43788</v>
      </c>
      <c r="E129" s="1152">
        <v>35020000</v>
      </c>
      <c r="F129" s="1150" t="s">
        <v>387</v>
      </c>
      <c r="G129" s="1153" t="s">
        <v>611</v>
      </c>
      <c r="H129" s="1154">
        <v>3342</v>
      </c>
      <c r="I129" s="1150" t="s">
        <v>612</v>
      </c>
      <c r="J129" s="1153" t="s">
        <v>14</v>
      </c>
      <c r="K129" s="1150" t="s">
        <v>18</v>
      </c>
      <c r="L129" s="1150" t="s">
        <v>817</v>
      </c>
      <c r="M129" s="1153" t="s">
        <v>14</v>
      </c>
      <c r="N129" s="1153" t="s">
        <v>709</v>
      </c>
      <c r="O129" s="1155">
        <v>70</v>
      </c>
      <c r="P129" s="1155">
        <v>0</v>
      </c>
      <c r="Q129" s="1155">
        <v>5</v>
      </c>
      <c r="R129" s="1150" t="s">
        <v>662</v>
      </c>
      <c r="S129" s="1150" t="s">
        <v>819</v>
      </c>
      <c r="T129" s="1150" t="s">
        <v>691</v>
      </c>
      <c r="U129" s="1157">
        <v>173800</v>
      </c>
      <c r="V129" s="1150" t="s">
        <v>691</v>
      </c>
      <c r="W129" s="1157">
        <v>173800</v>
      </c>
      <c r="X129" s="1150" t="s">
        <v>618</v>
      </c>
      <c r="Y129" s="1158">
        <v>43788.01784722222</v>
      </c>
      <c r="Z129" s="1150" t="s">
        <v>618</v>
      </c>
      <c r="AA129" s="1158">
        <v>43894.43497685185</v>
      </c>
      <c r="AB129" s="1138">
        <f t="shared" si="1"/>
        <v>347600</v>
      </c>
    </row>
    <row r="130" ht="24" customHeight="1" spans="1:28" x14ac:dyDescent="0.25">
      <c r="A130" s="1159">
        <v>110787</v>
      </c>
      <c r="B130" s="1159" t="s">
        <v>817</v>
      </c>
      <c r="C130" s="1159" t="s">
        <v>829</v>
      </c>
      <c r="D130" s="1160">
        <v>43788</v>
      </c>
      <c r="E130" s="1161">
        <v>35770000</v>
      </c>
      <c r="F130" s="1159" t="s">
        <v>387</v>
      </c>
      <c r="G130" s="1162" t="s">
        <v>611</v>
      </c>
      <c r="H130" s="1163">
        <v>3342</v>
      </c>
      <c r="I130" s="1159" t="s">
        <v>612</v>
      </c>
      <c r="J130" s="1162" t="s">
        <v>14</v>
      </c>
      <c r="K130" s="1159" t="s">
        <v>18</v>
      </c>
      <c r="L130" s="1159" t="s">
        <v>817</v>
      </c>
      <c r="M130" s="1162" t="s">
        <v>14</v>
      </c>
      <c r="N130" s="1162" t="s">
        <v>709</v>
      </c>
      <c r="O130" s="1164">
        <v>70</v>
      </c>
      <c r="P130" s="1164">
        <v>0</v>
      </c>
      <c r="Q130" s="1164">
        <v>5</v>
      </c>
      <c r="R130" s="1159" t="s">
        <v>662</v>
      </c>
      <c r="S130" s="1159" t="s">
        <v>819</v>
      </c>
      <c r="T130" s="1159" t="s">
        <v>691</v>
      </c>
      <c r="U130" s="1166">
        <v>173800</v>
      </c>
      <c r="V130" s="1159" t="s">
        <v>691</v>
      </c>
      <c r="W130" s="1166">
        <v>173800</v>
      </c>
      <c r="X130" s="1159" t="s">
        <v>618</v>
      </c>
      <c r="Y130" s="1167">
        <v>43788.02434027778</v>
      </c>
      <c r="Z130" s="1159" t="s">
        <v>618</v>
      </c>
      <c r="AA130" s="1167">
        <v>43894.43537037037</v>
      </c>
      <c r="AB130" s="1138">
        <f t="shared" si="1"/>
        <v>347600</v>
      </c>
    </row>
    <row r="131" ht="24" customHeight="1" spans="1:28" x14ac:dyDescent="0.25">
      <c r="A131" s="1150">
        <v>110792</v>
      </c>
      <c r="B131" s="1150" t="s">
        <v>817</v>
      </c>
      <c r="C131" s="1150" t="s">
        <v>830</v>
      </c>
      <c r="D131" s="1151">
        <v>43788</v>
      </c>
      <c r="E131" s="1152">
        <v>40903520</v>
      </c>
      <c r="F131" s="1150" t="s">
        <v>681</v>
      </c>
      <c r="G131" s="1153" t="s">
        <v>611</v>
      </c>
      <c r="H131" s="1154">
        <v>2359</v>
      </c>
      <c r="I131" s="1150" t="s">
        <v>612</v>
      </c>
      <c r="J131" s="1153" t="s">
        <v>14</v>
      </c>
      <c r="K131" s="1150" t="s">
        <v>18</v>
      </c>
      <c r="L131" s="1150" t="s">
        <v>817</v>
      </c>
      <c r="M131" s="1153" t="s">
        <v>14</v>
      </c>
      <c r="N131" s="1153" t="s">
        <v>709</v>
      </c>
      <c r="O131" s="1155">
        <v>65</v>
      </c>
      <c r="P131" s="1155">
        <v>0</v>
      </c>
      <c r="Q131" s="1155">
        <v>5</v>
      </c>
      <c r="R131" s="1150" t="s">
        <v>662</v>
      </c>
      <c r="S131" s="1150" t="s">
        <v>819</v>
      </c>
      <c r="T131" s="1150" t="s">
        <v>694</v>
      </c>
      <c r="U131" s="1157">
        <v>123300</v>
      </c>
      <c r="V131" s="1150" t="s">
        <v>694</v>
      </c>
      <c r="W131" s="1157">
        <v>123300</v>
      </c>
      <c r="X131" s="1150" t="s">
        <v>618</v>
      </c>
      <c r="Y131" s="1158">
        <v>43788.0625</v>
      </c>
      <c r="Z131" s="1150" t="s">
        <v>618</v>
      </c>
      <c r="AA131" s="1158">
        <v>43897.49765046296</v>
      </c>
      <c r="AB131" s="1138">
        <f t="shared" ref="AB131:AB194" si="2">W131*2</f>
        <v>246600</v>
      </c>
    </row>
    <row r="132" ht="24" customHeight="1" spans="1:28" x14ac:dyDescent="0.25">
      <c r="A132" s="1159">
        <v>110800</v>
      </c>
      <c r="B132" s="1159" t="s">
        <v>817</v>
      </c>
      <c r="C132" s="1159" t="s">
        <v>831</v>
      </c>
      <c r="D132" s="1160">
        <v>43788</v>
      </c>
      <c r="E132" s="1161">
        <v>45750000</v>
      </c>
      <c r="F132" s="1159" t="s">
        <v>681</v>
      </c>
      <c r="G132" s="1162" t="s">
        <v>611</v>
      </c>
      <c r="H132" s="1163">
        <v>2359</v>
      </c>
      <c r="I132" s="1159" t="s">
        <v>612</v>
      </c>
      <c r="J132" s="1162" t="s">
        <v>14</v>
      </c>
      <c r="K132" s="1159" t="s">
        <v>18</v>
      </c>
      <c r="L132" s="1159" t="s">
        <v>817</v>
      </c>
      <c r="M132" s="1162" t="s">
        <v>14</v>
      </c>
      <c r="N132" s="1162" t="s">
        <v>717</v>
      </c>
      <c r="O132" s="1164">
        <v>65</v>
      </c>
      <c r="P132" s="1164">
        <v>0</v>
      </c>
      <c r="Q132" s="1164">
        <v>5</v>
      </c>
      <c r="R132" s="1159" t="s">
        <v>662</v>
      </c>
      <c r="S132" s="1159" t="s">
        <v>819</v>
      </c>
      <c r="T132" s="1159" t="s">
        <v>832</v>
      </c>
      <c r="U132" s="1166">
        <v>158200</v>
      </c>
      <c r="V132" s="1159" t="s">
        <v>691</v>
      </c>
      <c r="W132" s="1166">
        <v>173800</v>
      </c>
      <c r="X132" s="1159" t="s">
        <v>618</v>
      </c>
      <c r="Y132" s="1167">
        <v>43788.10171296296</v>
      </c>
      <c r="Z132" s="1159" t="s">
        <v>618</v>
      </c>
      <c r="AA132" s="1167">
        <v>43897.49790509259</v>
      </c>
      <c r="AB132" s="1138">
        <f t="shared" si="2"/>
        <v>347600</v>
      </c>
    </row>
    <row r="133" ht="24" customHeight="1" spans="1:28" x14ac:dyDescent="0.25">
      <c r="A133" s="1150">
        <v>110791</v>
      </c>
      <c r="B133" s="1150" t="s">
        <v>817</v>
      </c>
      <c r="C133" s="1150" t="s">
        <v>833</v>
      </c>
      <c r="D133" s="1151">
        <v>43788</v>
      </c>
      <c r="E133" s="1152">
        <v>37399904</v>
      </c>
      <c r="F133" s="1150" t="s">
        <v>681</v>
      </c>
      <c r="G133" s="1153" t="s">
        <v>611</v>
      </c>
      <c r="H133" s="1154">
        <v>2359</v>
      </c>
      <c r="I133" s="1150" t="s">
        <v>612</v>
      </c>
      <c r="J133" s="1153" t="s">
        <v>14</v>
      </c>
      <c r="K133" s="1150" t="s">
        <v>18</v>
      </c>
      <c r="L133" s="1150" t="s">
        <v>817</v>
      </c>
      <c r="M133" s="1153" t="s">
        <v>14</v>
      </c>
      <c r="N133" s="1153" t="s">
        <v>709</v>
      </c>
      <c r="O133" s="1155">
        <v>65</v>
      </c>
      <c r="P133" s="1155">
        <v>0</v>
      </c>
      <c r="Q133" s="1155">
        <v>5</v>
      </c>
      <c r="R133" s="1150" t="s">
        <v>662</v>
      </c>
      <c r="S133" s="1150" t="s">
        <v>819</v>
      </c>
      <c r="T133" s="1150" t="s">
        <v>694</v>
      </c>
      <c r="U133" s="1157">
        <v>123300</v>
      </c>
      <c r="V133" s="1150" t="s">
        <v>694</v>
      </c>
      <c r="W133" s="1157">
        <v>123300</v>
      </c>
      <c r="X133" s="1150" t="s">
        <v>618</v>
      </c>
      <c r="Y133" s="1158">
        <v>43788.04788194444</v>
      </c>
      <c r="Z133" s="1150" t="s">
        <v>618</v>
      </c>
      <c r="AA133" s="1158">
        <v>43897.47387731481</v>
      </c>
      <c r="AB133" s="1138">
        <f t="shared" si="2"/>
        <v>246600</v>
      </c>
    </row>
    <row r="134" ht="24" customHeight="1" spans="1:28" x14ac:dyDescent="0.25">
      <c r="A134" s="1159">
        <v>110864</v>
      </c>
      <c r="B134" s="1159" t="s">
        <v>817</v>
      </c>
      <c r="C134" s="1159" t="s">
        <v>834</v>
      </c>
      <c r="D134" s="1160">
        <v>43831</v>
      </c>
      <c r="E134" s="1161">
        <v>38145680</v>
      </c>
      <c r="F134" s="1159" t="s">
        <v>681</v>
      </c>
      <c r="G134" s="1162" t="s">
        <v>611</v>
      </c>
      <c r="H134" s="1163">
        <v>2359</v>
      </c>
      <c r="I134" s="1159" t="s">
        <v>612</v>
      </c>
      <c r="J134" s="1162" t="s">
        <v>14</v>
      </c>
      <c r="K134" s="1159" t="s">
        <v>18</v>
      </c>
      <c r="L134" s="1159" t="s">
        <v>817</v>
      </c>
      <c r="M134" s="1162" t="s">
        <v>14</v>
      </c>
      <c r="N134" s="1162" t="s">
        <v>709</v>
      </c>
      <c r="O134" s="1164">
        <v>65</v>
      </c>
      <c r="P134" s="1164">
        <v>0</v>
      </c>
      <c r="Q134" s="1164">
        <v>5</v>
      </c>
      <c r="R134" s="1159" t="s">
        <v>662</v>
      </c>
      <c r="S134" s="1159" t="s">
        <v>819</v>
      </c>
      <c r="T134" s="1159" t="s">
        <v>694</v>
      </c>
      <c r="U134" s="1166">
        <v>123300</v>
      </c>
      <c r="V134" s="1159" t="s">
        <v>694</v>
      </c>
      <c r="W134" s="1166">
        <v>123300</v>
      </c>
      <c r="X134" s="1159" t="s">
        <v>618</v>
      </c>
      <c r="Y134" s="1167">
        <v>43832.54152777778</v>
      </c>
      <c r="Z134" s="1159" t="s">
        <v>618</v>
      </c>
      <c r="AA134" s="1167">
        <v>43897.497465277775</v>
      </c>
      <c r="AB134" s="1138">
        <f t="shared" si="2"/>
        <v>246600</v>
      </c>
    </row>
    <row r="135" spans="1:28" x14ac:dyDescent="0.25">
      <c r="A135" s="1150">
        <v>111034</v>
      </c>
      <c r="B135" s="1150" t="s">
        <v>835</v>
      </c>
      <c r="C135" s="1150" t="s">
        <v>836</v>
      </c>
      <c r="D135" s="1151">
        <v>43831</v>
      </c>
      <c r="E135" s="1152">
        <v>53040000</v>
      </c>
      <c r="F135" s="1150" t="s">
        <v>759</v>
      </c>
      <c r="G135" s="1153" t="s">
        <v>611</v>
      </c>
      <c r="H135" s="1153">
        <v>150</v>
      </c>
      <c r="I135" s="1150" t="s">
        <v>629</v>
      </c>
      <c r="J135" s="1153" t="s">
        <v>14</v>
      </c>
      <c r="K135" s="1150" t="s">
        <v>76</v>
      </c>
      <c r="L135" s="1150" t="s">
        <v>835</v>
      </c>
      <c r="M135" s="1153" t="s">
        <v>14</v>
      </c>
      <c r="N135" s="1153" t="s">
        <v>837</v>
      </c>
      <c r="O135" s="1155">
        <v>64</v>
      </c>
      <c r="P135" s="1156"/>
      <c r="Q135" s="1155">
        <v>5</v>
      </c>
      <c r="R135" s="1150" t="s">
        <v>632</v>
      </c>
      <c r="S135" s="1150" t="s">
        <v>648</v>
      </c>
      <c r="T135" s="1150" t="s">
        <v>667</v>
      </c>
      <c r="U135" s="1157">
        <v>131000</v>
      </c>
      <c r="V135" s="1150" t="s">
        <v>667</v>
      </c>
      <c r="W135" s="1157">
        <v>131000</v>
      </c>
      <c r="X135" s="1150" t="s">
        <v>618</v>
      </c>
      <c r="Y135" s="1158">
        <v>43846.01216435185</v>
      </c>
      <c r="Z135" s="1150" t="s">
        <v>618</v>
      </c>
      <c r="AA135" s="1158">
        <v>43896.457500000004</v>
      </c>
      <c r="AB135" s="1138">
        <f t="shared" si="2"/>
        <v>262000</v>
      </c>
    </row>
    <row r="136" spans="1:28" x14ac:dyDescent="0.25">
      <c r="A136" s="1159">
        <v>111033</v>
      </c>
      <c r="B136" s="1159" t="s">
        <v>835</v>
      </c>
      <c r="C136" s="1159" t="s">
        <v>838</v>
      </c>
      <c r="D136" s="1160">
        <v>43831</v>
      </c>
      <c r="E136" s="1161">
        <v>50900000</v>
      </c>
      <c r="F136" s="1159" t="s">
        <v>759</v>
      </c>
      <c r="G136" s="1162" t="s">
        <v>611</v>
      </c>
      <c r="H136" s="1162">
        <v>150</v>
      </c>
      <c r="I136" s="1159" t="s">
        <v>629</v>
      </c>
      <c r="J136" s="1162" t="s">
        <v>14</v>
      </c>
      <c r="K136" s="1159" t="s">
        <v>76</v>
      </c>
      <c r="L136" s="1159" t="s">
        <v>835</v>
      </c>
      <c r="M136" s="1162" t="s">
        <v>14</v>
      </c>
      <c r="N136" s="1162" t="s">
        <v>837</v>
      </c>
      <c r="O136" s="1164">
        <v>64</v>
      </c>
      <c r="P136" s="1165"/>
      <c r="Q136" s="1164">
        <v>5</v>
      </c>
      <c r="R136" s="1159" t="s">
        <v>632</v>
      </c>
      <c r="S136" s="1159" t="s">
        <v>648</v>
      </c>
      <c r="T136" s="1159" t="s">
        <v>667</v>
      </c>
      <c r="U136" s="1166">
        <v>131000</v>
      </c>
      <c r="V136" s="1159" t="s">
        <v>667</v>
      </c>
      <c r="W136" s="1166">
        <v>131000</v>
      </c>
      <c r="X136" s="1159" t="s">
        <v>618</v>
      </c>
      <c r="Y136" s="1167">
        <v>43846.001192129625</v>
      </c>
      <c r="Z136" s="1159" t="s">
        <v>618</v>
      </c>
      <c r="AA136" s="1167">
        <v>43896.45759259259</v>
      </c>
      <c r="AB136" s="1138">
        <f t="shared" si="2"/>
        <v>262000</v>
      </c>
    </row>
    <row r="137" ht="24" customHeight="1" spans="1:28" x14ac:dyDescent="0.25">
      <c r="A137" s="1150">
        <v>110984</v>
      </c>
      <c r="B137" s="1150" t="s">
        <v>835</v>
      </c>
      <c r="C137" s="1150" t="s">
        <v>839</v>
      </c>
      <c r="D137" s="1151">
        <v>43831</v>
      </c>
      <c r="E137" s="1152">
        <v>36620000</v>
      </c>
      <c r="F137" s="1150" t="s">
        <v>681</v>
      </c>
      <c r="G137" s="1153" t="s">
        <v>611</v>
      </c>
      <c r="H137" s="1154">
        <v>1580</v>
      </c>
      <c r="I137" s="1150" t="s">
        <v>629</v>
      </c>
      <c r="J137" s="1153" t="s">
        <v>14</v>
      </c>
      <c r="K137" s="1150" t="s">
        <v>76</v>
      </c>
      <c r="L137" s="1150" t="s">
        <v>835</v>
      </c>
      <c r="M137" s="1153" t="s">
        <v>14</v>
      </c>
      <c r="N137" s="1153" t="s">
        <v>837</v>
      </c>
      <c r="O137" s="1155">
        <v>0</v>
      </c>
      <c r="P137" s="1156"/>
      <c r="Q137" s="1155">
        <v>5</v>
      </c>
      <c r="R137" s="1150" t="s">
        <v>632</v>
      </c>
      <c r="S137" s="1150" t="s">
        <v>648</v>
      </c>
      <c r="T137" s="1150" t="s">
        <v>763</v>
      </c>
      <c r="U137" s="1157">
        <v>109400</v>
      </c>
      <c r="V137" s="1150" t="s">
        <v>763</v>
      </c>
      <c r="W137" s="1157">
        <v>109400</v>
      </c>
      <c r="X137" s="1150" t="s">
        <v>618</v>
      </c>
      <c r="Y137" s="1158">
        <v>43836.001539351855</v>
      </c>
      <c r="Z137" s="1150" t="s">
        <v>618</v>
      </c>
      <c r="AA137" s="1158">
        <v>43896.46748842593</v>
      </c>
      <c r="AB137" s="1138">
        <f t="shared" si="2"/>
        <v>218800</v>
      </c>
    </row>
    <row r="138" ht="24" customHeight="1" spans="1:28" x14ac:dyDescent="0.25">
      <c r="A138" s="1159">
        <v>110985</v>
      </c>
      <c r="B138" s="1159" t="s">
        <v>835</v>
      </c>
      <c r="C138" s="1159" t="s">
        <v>840</v>
      </c>
      <c r="D138" s="1160">
        <v>43831</v>
      </c>
      <c r="E138" s="1161">
        <v>38880000</v>
      </c>
      <c r="F138" s="1159" t="s">
        <v>681</v>
      </c>
      <c r="G138" s="1162" t="s">
        <v>611</v>
      </c>
      <c r="H138" s="1163">
        <v>1580</v>
      </c>
      <c r="I138" s="1159" t="s">
        <v>629</v>
      </c>
      <c r="J138" s="1162" t="s">
        <v>14</v>
      </c>
      <c r="K138" s="1159" t="s">
        <v>76</v>
      </c>
      <c r="L138" s="1159" t="s">
        <v>835</v>
      </c>
      <c r="M138" s="1162" t="s">
        <v>14</v>
      </c>
      <c r="N138" s="1162" t="s">
        <v>837</v>
      </c>
      <c r="O138" s="1164">
        <v>0</v>
      </c>
      <c r="P138" s="1165"/>
      <c r="Q138" s="1164">
        <v>5</v>
      </c>
      <c r="R138" s="1159" t="s">
        <v>632</v>
      </c>
      <c r="S138" s="1159" t="s">
        <v>648</v>
      </c>
      <c r="T138" s="1159" t="s">
        <v>763</v>
      </c>
      <c r="U138" s="1166">
        <v>109400</v>
      </c>
      <c r="V138" s="1159" t="s">
        <v>763</v>
      </c>
      <c r="W138" s="1166">
        <v>109400</v>
      </c>
      <c r="X138" s="1159" t="s">
        <v>618</v>
      </c>
      <c r="Y138" s="1167">
        <v>43836.0027662037</v>
      </c>
      <c r="Z138" s="1159" t="s">
        <v>618</v>
      </c>
      <c r="AA138" s="1167">
        <v>43896.467569444445</v>
      </c>
      <c r="AB138" s="1138">
        <f t="shared" si="2"/>
        <v>218800</v>
      </c>
    </row>
    <row r="139" ht="24" customHeight="1" spans="1:28" x14ac:dyDescent="0.25">
      <c r="A139" s="1150">
        <v>110982</v>
      </c>
      <c r="B139" s="1150" t="s">
        <v>835</v>
      </c>
      <c r="C139" s="1150" t="s">
        <v>841</v>
      </c>
      <c r="D139" s="1151">
        <v>43831</v>
      </c>
      <c r="E139" s="1152">
        <v>29820000</v>
      </c>
      <c r="F139" s="1150" t="s">
        <v>681</v>
      </c>
      <c r="G139" s="1153" t="s">
        <v>611</v>
      </c>
      <c r="H139" s="1154">
        <v>1580</v>
      </c>
      <c r="I139" s="1150" t="s">
        <v>629</v>
      </c>
      <c r="J139" s="1153" t="s">
        <v>14</v>
      </c>
      <c r="K139" s="1150" t="s">
        <v>76</v>
      </c>
      <c r="L139" s="1150" t="s">
        <v>835</v>
      </c>
      <c r="M139" s="1153" t="s">
        <v>14</v>
      </c>
      <c r="N139" s="1153" t="s">
        <v>837</v>
      </c>
      <c r="O139" s="1155">
        <v>0</v>
      </c>
      <c r="P139" s="1156"/>
      <c r="Q139" s="1155">
        <v>5</v>
      </c>
      <c r="R139" s="1150" t="s">
        <v>842</v>
      </c>
      <c r="S139" s="1150" t="s">
        <v>648</v>
      </c>
      <c r="T139" s="1150" t="s">
        <v>763</v>
      </c>
      <c r="U139" s="1157">
        <v>109400</v>
      </c>
      <c r="V139" s="1150" t="s">
        <v>763</v>
      </c>
      <c r="W139" s="1157">
        <v>109400</v>
      </c>
      <c r="X139" s="1150" t="s">
        <v>618</v>
      </c>
      <c r="Y139" s="1158">
        <v>43835.99875</v>
      </c>
      <c r="Z139" s="1150" t="s">
        <v>618</v>
      </c>
      <c r="AA139" s="1158">
        <v>43835.99886574074</v>
      </c>
      <c r="AB139" s="1138">
        <f t="shared" si="2"/>
        <v>218800</v>
      </c>
    </row>
    <row r="140" ht="24" customHeight="1" spans="1:28" x14ac:dyDescent="0.25">
      <c r="A140" s="1159">
        <v>110983</v>
      </c>
      <c r="B140" s="1159" t="s">
        <v>835</v>
      </c>
      <c r="C140" s="1159" t="s">
        <v>843</v>
      </c>
      <c r="D140" s="1160">
        <v>43831</v>
      </c>
      <c r="E140" s="1161">
        <v>31880000</v>
      </c>
      <c r="F140" s="1159" t="s">
        <v>681</v>
      </c>
      <c r="G140" s="1162" t="s">
        <v>611</v>
      </c>
      <c r="H140" s="1163">
        <v>1580</v>
      </c>
      <c r="I140" s="1159" t="s">
        <v>629</v>
      </c>
      <c r="J140" s="1162" t="s">
        <v>14</v>
      </c>
      <c r="K140" s="1159" t="s">
        <v>76</v>
      </c>
      <c r="L140" s="1159" t="s">
        <v>835</v>
      </c>
      <c r="M140" s="1162" t="s">
        <v>14</v>
      </c>
      <c r="N140" s="1162" t="s">
        <v>837</v>
      </c>
      <c r="O140" s="1164">
        <v>0</v>
      </c>
      <c r="P140" s="1165"/>
      <c r="Q140" s="1164">
        <v>5</v>
      </c>
      <c r="R140" s="1159" t="s">
        <v>842</v>
      </c>
      <c r="S140" s="1159" t="s">
        <v>648</v>
      </c>
      <c r="T140" s="1159" t="s">
        <v>763</v>
      </c>
      <c r="U140" s="1166">
        <v>109400</v>
      </c>
      <c r="V140" s="1159" t="s">
        <v>763</v>
      </c>
      <c r="W140" s="1166">
        <v>109400</v>
      </c>
      <c r="X140" s="1159" t="s">
        <v>618</v>
      </c>
      <c r="Y140" s="1167">
        <v>43835.999872685185</v>
      </c>
      <c r="Z140" s="1159" t="s">
        <v>618</v>
      </c>
      <c r="AA140" s="1167">
        <v>43835.999872685185</v>
      </c>
      <c r="AB140" s="1138">
        <f t="shared" si="2"/>
        <v>218800</v>
      </c>
    </row>
    <row r="141" ht="24" customHeight="1" spans="1:28" x14ac:dyDescent="0.25">
      <c r="A141" s="1150">
        <v>110980</v>
      </c>
      <c r="B141" s="1150" t="s">
        <v>835</v>
      </c>
      <c r="C141" s="1150" t="s">
        <v>844</v>
      </c>
      <c r="D141" s="1151">
        <v>43831</v>
      </c>
      <c r="E141" s="1152">
        <v>25770000</v>
      </c>
      <c r="F141" s="1150" t="s">
        <v>681</v>
      </c>
      <c r="G141" s="1153" t="s">
        <v>611</v>
      </c>
      <c r="H141" s="1154">
        <v>1580</v>
      </c>
      <c r="I141" s="1150" t="s">
        <v>629</v>
      </c>
      <c r="J141" s="1153" t="s">
        <v>14</v>
      </c>
      <c r="K141" s="1150" t="s">
        <v>76</v>
      </c>
      <c r="L141" s="1150" t="s">
        <v>835</v>
      </c>
      <c r="M141" s="1153" t="s">
        <v>14</v>
      </c>
      <c r="N141" s="1153" t="s">
        <v>837</v>
      </c>
      <c r="O141" s="1155">
        <v>0</v>
      </c>
      <c r="P141" s="1156"/>
      <c r="Q141" s="1155">
        <v>5</v>
      </c>
      <c r="R141" s="1150" t="s">
        <v>842</v>
      </c>
      <c r="S141" s="1150" t="s">
        <v>648</v>
      </c>
      <c r="T141" s="1150" t="s">
        <v>763</v>
      </c>
      <c r="U141" s="1157">
        <v>109400</v>
      </c>
      <c r="V141" s="1150" t="s">
        <v>763</v>
      </c>
      <c r="W141" s="1157">
        <v>109400</v>
      </c>
      <c r="X141" s="1150" t="s">
        <v>618</v>
      </c>
      <c r="Y141" s="1158">
        <v>43835.99570601852</v>
      </c>
      <c r="Z141" s="1150" t="s">
        <v>618</v>
      </c>
      <c r="AA141" s="1158">
        <v>43835.99648148148</v>
      </c>
      <c r="AB141" s="1138">
        <f t="shared" si="2"/>
        <v>218800</v>
      </c>
    </row>
    <row r="142" ht="24" customHeight="1" spans="1:28" x14ac:dyDescent="0.25">
      <c r="A142" s="1159">
        <v>110981</v>
      </c>
      <c r="B142" s="1159" t="s">
        <v>835</v>
      </c>
      <c r="C142" s="1159" t="s">
        <v>845</v>
      </c>
      <c r="D142" s="1160">
        <v>43831</v>
      </c>
      <c r="E142" s="1161">
        <v>27580000</v>
      </c>
      <c r="F142" s="1159" t="s">
        <v>681</v>
      </c>
      <c r="G142" s="1162" t="s">
        <v>611</v>
      </c>
      <c r="H142" s="1163">
        <v>1580</v>
      </c>
      <c r="I142" s="1159" t="s">
        <v>629</v>
      </c>
      <c r="J142" s="1162" t="s">
        <v>14</v>
      </c>
      <c r="K142" s="1159" t="s">
        <v>76</v>
      </c>
      <c r="L142" s="1159" t="s">
        <v>835</v>
      </c>
      <c r="M142" s="1162" t="s">
        <v>14</v>
      </c>
      <c r="N142" s="1162" t="s">
        <v>837</v>
      </c>
      <c r="O142" s="1164">
        <v>0</v>
      </c>
      <c r="P142" s="1165"/>
      <c r="Q142" s="1164">
        <v>5</v>
      </c>
      <c r="R142" s="1159" t="s">
        <v>842</v>
      </c>
      <c r="S142" s="1159" t="s">
        <v>648</v>
      </c>
      <c r="T142" s="1159" t="s">
        <v>763</v>
      </c>
      <c r="U142" s="1166">
        <v>109400</v>
      </c>
      <c r="V142" s="1159" t="s">
        <v>763</v>
      </c>
      <c r="W142" s="1166">
        <v>109400</v>
      </c>
      <c r="X142" s="1159" t="s">
        <v>618</v>
      </c>
      <c r="Y142" s="1167">
        <v>43835.997812500005</v>
      </c>
      <c r="Z142" s="1159" t="s">
        <v>618</v>
      </c>
      <c r="AA142" s="1167">
        <v>43835.998981481476</v>
      </c>
      <c r="AB142" s="1138">
        <f t="shared" si="2"/>
        <v>218800</v>
      </c>
    </row>
    <row r="143" spans="1:28" x14ac:dyDescent="0.25">
      <c r="A143" s="1150">
        <v>100607</v>
      </c>
      <c r="B143" s="1150" t="s">
        <v>846</v>
      </c>
      <c r="C143" s="1150" t="s">
        <v>847</v>
      </c>
      <c r="D143" s="1151">
        <v>41290</v>
      </c>
      <c r="E143" s="1152">
        <v>9930000</v>
      </c>
      <c r="F143" s="1150" t="s">
        <v>404</v>
      </c>
      <c r="G143" s="1153" t="s">
        <v>848</v>
      </c>
      <c r="H143" s="1153">
        <v>796</v>
      </c>
      <c r="I143" s="1150" t="s">
        <v>629</v>
      </c>
      <c r="J143" s="1153" t="s">
        <v>14</v>
      </c>
      <c r="K143" s="1150" t="s">
        <v>849</v>
      </c>
      <c r="L143" s="1150" t="s">
        <v>850</v>
      </c>
      <c r="M143" s="1153" t="s">
        <v>14</v>
      </c>
      <c r="N143" s="1153" t="s">
        <v>851</v>
      </c>
      <c r="O143" s="1155">
        <v>48</v>
      </c>
      <c r="P143" s="1155">
        <v>0</v>
      </c>
      <c r="Q143" s="1155">
        <v>5</v>
      </c>
      <c r="R143" s="1150" t="s">
        <v>643</v>
      </c>
      <c r="S143" s="1150" t="s">
        <v>852</v>
      </c>
      <c r="T143" s="1150" t="s">
        <v>853</v>
      </c>
      <c r="U143" s="1157">
        <v>44000</v>
      </c>
      <c r="V143" s="1150" t="s">
        <v>853</v>
      </c>
      <c r="W143" s="1157">
        <v>44000</v>
      </c>
      <c r="X143" s="1150" t="s">
        <v>634</v>
      </c>
      <c r="Y143" s="1158">
        <v>41290.63678240741</v>
      </c>
      <c r="Z143" s="1150" t="s">
        <v>635</v>
      </c>
      <c r="AA143" s="1158">
        <v>42654.44011574074</v>
      </c>
      <c r="AB143" s="1138">
        <f t="shared" si="2"/>
        <v>88000</v>
      </c>
    </row>
    <row r="144" spans="1:28" x14ac:dyDescent="0.25">
      <c r="A144" s="1159">
        <v>108226</v>
      </c>
      <c r="B144" s="1159" t="s">
        <v>846</v>
      </c>
      <c r="C144" s="1159" t="s">
        <v>854</v>
      </c>
      <c r="D144" s="1160">
        <v>42654</v>
      </c>
      <c r="E144" s="1161">
        <v>10280000</v>
      </c>
      <c r="F144" s="1159" t="s">
        <v>404</v>
      </c>
      <c r="G144" s="1162" t="s">
        <v>848</v>
      </c>
      <c r="H144" s="1162">
        <v>796</v>
      </c>
      <c r="I144" s="1159" t="s">
        <v>612</v>
      </c>
      <c r="J144" s="1162" t="s">
        <v>14</v>
      </c>
      <c r="K144" s="1159" t="s">
        <v>849</v>
      </c>
      <c r="L144" s="1159" t="s">
        <v>850</v>
      </c>
      <c r="M144" s="1162" t="s">
        <v>14</v>
      </c>
      <c r="N144" s="1162" t="s">
        <v>851</v>
      </c>
      <c r="O144" s="1164">
        <v>48</v>
      </c>
      <c r="P144" s="1164">
        <v>0</v>
      </c>
      <c r="Q144" s="1164">
        <v>5</v>
      </c>
      <c r="R144" s="1159" t="s">
        <v>643</v>
      </c>
      <c r="S144" s="1159" t="s">
        <v>852</v>
      </c>
      <c r="T144" s="1159" t="s">
        <v>853</v>
      </c>
      <c r="U144" s="1166">
        <v>44000</v>
      </c>
      <c r="V144" s="1159" t="s">
        <v>853</v>
      </c>
      <c r="W144" s="1166">
        <v>44000</v>
      </c>
      <c r="X144" s="1159" t="s">
        <v>635</v>
      </c>
      <c r="Y144" s="1167">
        <v>42654.44170138889</v>
      </c>
      <c r="Z144" s="1159" t="s">
        <v>635</v>
      </c>
      <c r="AA144" s="1167">
        <v>42654.441932870366</v>
      </c>
      <c r="AB144" s="1138">
        <f t="shared" si="2"/>
        <v>88000</v>
      </c>
    </row>
    <row r="145" spans="1:28" x14ac:dyDescent="0.25">
      <c r="A145" s="1150">
        <v>108522</v>
      </c>
      <c r="B145" s="1150" t="s">
        <v>846</v>
      </c>
      <c r="C145" s="1150" t="s">
        <v>855</v>
      </c>
      <c r="D145" s="1151">
        <v>42873</v>
      </c>
      <c r="E145" s="1152">
        <v>9880000</v>
      </c>
      <c r="F145" s="1150" t="s">
        <v>404</v>
      </c>
      <c r="G145" s="1153" t="s">
        <v>848</v>
      </c>
      <c r="H145" s="1153">
        <v>796</v>
      </c>
      <c r="I145" s="1150" t="s">
        <v>629</v>
      </c>
      <c r="J145" s="1153" t="s">
        <v>14</v>
      </c>
      <c r="K145" s="1150" t="s">
        <v>849</v>
      </c>
      <c r="L145" s="1150" t="s">
        <v>856</v>
      </c>
      <c r="M145" s="1153" t="s">
        <v>14</v>
      </c>
      <c r="N145" s="1153" t="s">
        <v>851</v>
      </c>
      <c r="O145" s="1155">
        <v>48</v>
      </c>
      <c r="P145" s="1155">
        <v>0</v>
      </c>
      <c r="Q145" s="1155">
        <v>5</v>
      </c>
      <c r="R145" s="1150" t="s">
        <v>643</v>
      </c>
      <c r="S145" s="1150" t="s">
        <v>852</v>
      </c>
      <c r="T145" s="1150" t="s">
        <v>853</v>
      </c>
      <c r="U145" s="1157">
        <v>44000</v>
      </c>
      <c r="V145" s="1150" t="s">
        <v>853</v>
      </c>
      <c r="W145" s="1157">
        <v>44000</v>
      </c>
      <c r="X145" s="1150" t="s">
        <v>635</v>
      </c>
      <c r="Y145" s="1158">
        <v>42873.52145833333</v>
      </c>
      <c r="Z145" s="1150" t="s">
        <v>635</v>
      </c>
      <c r="AA145" s="1158">
        <v>42873.52216435185</v>
      </c>
      <c r="AB145" s="1138">
        <f t="shared" si="2"/>
        <v>88000</v>
      </c>
    </row>
    <row r="146" spans="1:28" x14ac:dyDescent="0.25">
      <c r="A146" s="1159">
        <v>108523</v>
      </c>
      <c r="B146" s="1159" t="s">
        <v>846</v>
      </c>
      <c r="C146" s="1159" t="s">
        <v>857</v>
      </c>
      <c r="D146" s="1160">
        <v>42873</v>
      </c>
      <c r="E146" s="1161">
        <v>10130000</v>
      </c>
      <c r="F146" s="1159" t="s">
        <v>404</v>
      </c>
      <c r="G146" s="1162" t="s">
        <v>848</v>
      </c>
      <c r="H146" s="1162">
        <v>796</v>
      </c>
      <c r="I146" s="1159" t="s">
        <v>629</v>
      </c>
      <c r="J146" s="1162" t="s">
        <v>14</v>
      </c>
      <c r="K146" s="1159" t="s">
        <v>849</v>
      </c>
      <c r="L146" s="1159" t="s">
        <v>856</v>
      </c>
      <c r="M146" s="1162" t="s">
        <v>14</v>
      </c>
      <c r="N146" s="1162" t="s">
        <v>851</v>
      </c>
      <c r="O146" s="1164">
        <v>48</v>
      </c>
      <c r="P146" s="1164">
        <v>0</v>
      </c>
      <c r="Q146" s="1164">
        <v>5</v>
      </c>
      <c r="R146" s="1159" t="s">
        <v>643</v>
      </c>
      <c r="S146" s="1159" t="s">
        <v>852</v>
      </c>
      <c r="T146" s="1159" t="s">
        <v>853</v>
      </c>
      <c r="U146" s="1166">
        <v>44000</v>
      </c>
      <c r="V146" s="1159" t="s">
        <v>853</v>
      </c>
      <c r="W146" s="1166">
        <v>44000</v>
      </c>
      <c r="X146" s="1159" t="s">
        <v>635</v>
      </c>
      <c r="Y146" s="1167">
        <v>42873.52216435185</v>
      </c>
      <c r="Z146" s="1159" t="s">
        <v>635</v>
      </c>
      <c r="AA146" s="1167">
        <v>42873.52216435185</v>
      </c>
      <c r="AB146" s="1138">
        <f t="shared" si="2"/>
        <v>88000</v>
      </c>
    </row>
    <row r="147" spans="1:28" x14ac:dyDescent="0.25">
      <c r="A147" s="1150">
        <v>108064</v>
      </c>
      <c r="B147" s="1150" t="s">
        <v>858</v>
      </c>
      <c r="C147" s="1150" t="s">
        <v>859</v>
      </c>
      <c r="D147" s="1151">
        <v>42513</v>
      </c>
      <c r="E147" s="1152">
        <v>77055000</v>
      </c>
      <c r="F147" s="1150" t="s">
        <v>610</v>
      </c>
      <c r="G147" s="1153" t="s">
        <v>848</v>
      </c>
      <c r="H147" s="1154">
        <v>3200</v>
      </c>
      <c r="I147" s="1150" t="s">
        <v>629</v>
      </c>
      <c r="J147" s="1153" t="s">
        <v>14</v>
      </c>
      <c r="K147" s="1150" t="s">
        <v>860</v>
      </c>
      <c r="L147" s="1150" t="s">
        <v>858</v>
      </c>
      <c r="M147" s="1153" t="s">
        <v>14</v>
      </c>
      <c r="N147" s="1153" t="s">
        <v>861</v>
      </c>
      <c r="O147" s="1155">
        <v>0</v>
      </c>
      <c r="P147" s="1155">
        <v>0</v>
      </c>
      <c r="Q147" s="1155">
        <v>15</v>
      </c>
      <c r="R147" s="1150" t="s">
        <v>624</v>
      </c>
      <c r="S147" s="1150" t="s">
        <v>616</v>
      </c>
      <c r="T147" s="1150" t="s">
        <v>633</v>
      </c>
      <c r="U147" s="1156"/>
      <c r="V147" s="1150" t="s">
        <v>633</v>
      </c>
      <c r="W147" s="1156"/>
      <c r="X147" s="1150" t="s">
        <v>635</v>
      </c>
      <c r="Y147" s="1158">
        <v>42513.428449074076</v>
      </c>
      <c r="Z147" s="1150" t="s">
        <v>635</v>
      </c>
      <c r="AA147" s="1158">
        <v>42513.42895833333</v>
      </c>
      <c r="AB147" s="1138">
        <f t="shared" si="2"/>
        <v>0</v>
      </c>
    </row>
    <row r="148" spans="1:28" x14ac:dyDescent="0.25">
      <c r="A148" s="1159">
        <v>100973</v>
      </c>
      <c r="B148" s="1159" t="s">
        <v>858</v>
      </c>
      <c r="C148" s="1159" t="s">
        <v>862</v>
      </c>
      <c r="D148" s="1160">
        <v>41786</v>
      </c>
      <c r="E148" s="1161">
        <v>54705000</v>
      </c>
      <c r="F148" s="1159" t="s">
        <v>610</v>
      </c>
      <c r="G148" s="1162" t="s">
        <v>848</v>
      </c>
      <c r="H148" s="1163">
        <v>3200</v>
      </c>
      <c r="I148" s="1159" t="s">
        <v>629</v>
      </c>
      <c r="J148" s="1162" t="s">
        <v>14</v>
      </c>
      <c r="K148" s="1159" t="s">
        <v>860</v>
      </c>
      <c r="L148" s="1159" t="s">
        <v>858</v>
      </c>
      <c r="M148" s="1162" t="s">
        <v>630</v>
      </c>
      <c r="N148" s="1162" t="s">
        <v>861</v>
      </c>
      <c r="O148" s="1164">
        <v>0</v>
      </c>
      <c r="P148" s="1164">
        <v>0</v>
      </c>
      <c r="Q148" s="1164">
        <v>15</v>
      </c>
      <c r="R148" s="1159" t="s">
        <v>624</v>
      </c>
      <c r="S148" s="1159" t="s">
        <v>616</v>
      </c>
      <c r="T148" s="1159" t="s">
        <v>633</v>
      </c>
      <c r="U148" s="1165"/>
      <c r="V148" s="1159" t="s">
        <v>633</v>
      </c>
      <c r="W148" s="1165"/>
      <c r="X148" s="1159" t="s">
        <v>634</v>
      </c>
      <c r="Y148" s="1167">
        <v>41786.637974537036</v>
      </c>
      <c r="Z148" s="1159" t="s">
        <v>863</v>
      </c>
      <c r="AA148" s="1167">
        <v>41913.704675925925</v>
      </c>
      <c r="AB148" s="1138">
        <f t="shared" si="2"/>
        <v>0</v>
      </c>
    </row>
    <row r="149" spans="1:28" x14ac:dyDescent="0.25">
      <c r="A149" s="1150">
        <v>110827</v>
      </c>
      <c r="B149" s="1150" t="s">
        <v>864</v>
      </c>
      <c r="C149" s="1150" t="s">
        <v>865</v>
      </c>
      <c r="D149" s="1151">
        <v>43802</v>
      </c>
      <c r="E149" s="1152">
        <v>14700000</v>
      </c>
      <c r="F149" s="1150" t="s">
        <v>387</v>
      </c>
      <c r="G149" s="1153" t="s">
        <v>611</v>
      </c>
      <c r="H149" s="1153">
        <v>998</v>
      </c>
      <c r="I149" s="1150" t="s">
        <v>612</v>
      </c>
      <c r="J149" s="1153" t="s">
        <v>14</v>
      </c>
      <c r="K149" s="1150" t="s">
        <v>76</v>
      </c>
      <c r="L149" s="1150" t="s">
        <v>864</v>
      </c>
      <c r="M149" s="1153" t="s">
        <v>14</v>
      </c>
      <c r="N149" s="1153" t="s">
        <v>410</v>
      </c>
      <c r="O149" s="1155">
        <v>38</v>
      </c>
      <c r="P149" s="1155">
        <v>0</v>
      </c>
      <c r="Q149" s="1155">
        <v>5</v>
      </c>
      <c r="R149" s="1150" t="s">
        <v>624</v>
      </c>
      <c r="S149" s="1150" t="s">
        <v>866</v>
      </c>
      <c r="T149" s="1150" t="s">
        <v>867</v>
      </c>
      <c r="U149" s="1157">
        <v>73100</v>
      </c>
      <c r="V149" s="1150" t="s">
        <v>867</v>
      </c>
      <c r="W149" s="1157">
        <v>73100</v>
      </c>
      <c r="X149" s="1150" t="s">
        <v>618</v>
      </c>
      <c r="Y149" s="1158">
        <v>43803.34685185185</v>
      </c>
      <c r="Z149" s="1150" t="s">
        <v>618</v>
      </c>
      <c r="AA149" s="1158">
        <v>43835.84122685185</v>
      </c>
      <c r="AB149" s="1138">
        <f t="shared" si="2"/>
        <v>146200</v>
      </c>
    </row>
    <row r="150" spans="1:28" x14ac:dyDescent="0.25">
      <c r="A150" s="1159">
        <v>110835</v>
      </c>
      <c r="B150" s="1159" t="s">
        <v>864</v>
      </c>
      <c r="C150" s="1159" t="s">
        <v>868</v>
      </c>
      <c r="D150" s="1160">
        <v>43802</v>
      </c>
      <c r="E150" s="1161">
        <v>13000000</v>
      </c>
      <c r="F150" s="1159" t="s">
        <v>387</v>
      </c>
      <c r="G150" s="1162" t="s">
        <v>611</v>
      </c>
      <c r="H150" s="1162">
        <v>998</v>
      </c>
      <c r="I150" s="1159" t="s">
        <v>612</v>
      </c>
      <c r="J150" s="1162" t="s">
        <v>14</v>
      </c>
      <c r="K150" s="1159" t="s">
        <v>76</v>
      </c>
      <c r="L150" s="1159" t="s">
        <v>864</v>
      </c>
      <c r="M150" s="1162" t="s">
        <v>14</v>
      </c>
      <c r="N150" s="1162" t="s">
        <v>410</v>
      </c>
      <c r="O150" s="1164">
        <v>38</v>
      </c>
      <c r="P150" s="1164">
        <v>0</v>
      </c>
      <c r="Q150" s="1164">
        <v>5</v>
      </c>
      <c r="R150" s="1159" t="s">
        <v>624</v>
      </c>
      <c r="S150" s="1159" t="s">
        <v>866</v>
      </c>
      <c r="T150" s="1159" t="s">
        <v>867</v>
      </c>
      <c r="U150" s="1166">
        <v>73100</v>
      </c>
      <c r="V150" s="1159" t="s">
        <v>867</v>
      </c>
      <c r="W150" s="1166">
        <v>73100</v>
      </c>
      <c r="X150" s="1159" t="s">
        <v>618</v>
      </c>
      <c r="Y150" s="1167">
        <v>43803.3596412037</v>
      </c>
      <c r="Z150" s="1159" t="s">
        <v>618</v>
      </c>
      <c r="AA150" s="1167">
        <v>43835.84122685185</v>
      </c>
      <c r="AB150" s="1138">
        <f t="shared" si="2"/>
        <v>146200</v>
      </c>
    </row>
    <row r="151" spans="1:28" x14ac:dyDescent="0.25">
      <c r="A151" s="1150">
        <v>110836</v>
      </c>
      <c r="B151" s="1150" t="s">
        <v>864</v>
      </c>
      <c r="C151" s="1150" t="s">
        <v>869</v>
      </c>
      <c r="D151" s="1151">
        <v>43802</v>
      </c>
      <c r="E151" s="1152">
        <v>13450000</v>
      </c>
      <c r="F151" s="1150" t="s">
        <v>387</v>
      </c>
      <c r="G151" s="1153" t="s">
        <v>611</v>
      </c>
      <c r="H151" s="1153">
        <v>998</v>
      </c>
      <c r="I151" s="1150" t="s">
        <v>612</v>
      </c>
      <c r="J151" s="1153" t="s">
        <v>14</v>
      </c>
      <c r="K151" s="1150" t="s">
        <v>76</v>
      </c>
      <c r="L151" s="1150" t="s">
        <v>864</v>
      </c>
      <c r="M151" s="1153" t="s">
        <v>14</v>
      </c>
      <c r="N151" s="1153" t="s">
        <v>410</v>
      </c>
      <c r="O151" s="1155">
        <v>38</v>
      </c>
      <c r="P151" s="1155">
        <v>0</v>
      </c>
      <c r="Q151" s="1155">
        <v>5</v>
      </c>
      <c r="R151" s="1150" t="s">
        <v>624</v>
      </c>
      <c r="S151" s="1150" t="s">
        <v>866</v>
      </c>
      <c r="T151" s="1150" t="s">
        <v>867</v>
      </c>
      <c r="U151" s="1157">
        <v>73100</v>
      </c>
      <c r="V151" s="1150" t="s">
        <v>867</v>
      </c>
      <c r="W151" s="1157">
        <v>73100</v>
      </c>
      <c r="X151" s="1150" t="s">
        <v>618</v>
      </c>
      <c r="Y151" s="1158">
        <v>43803.360810185186</v>
      </c>
      <c r="Z151" s="1150" t="s">
        <v>618</v>
      </c>
      <c r="AA151" s="1158">
        <v>43835.84122685185</v>
      </c>
      <c r="AB151" s="1138">
        <f t="shared" si="2"/>
        <v>146200</v>
      </c>
    </row>
    <row r="152" spans="1:28" x14ac:dyDescent="0.25">
      <c r="A152" s="1159">
        <v>110834</v>
      </c>
      <c r="B152" s="1159" t="s">
        <v>864</v>
      </c>
      <c r="C152" s="1159" t="s">
        <v>870</v>
      </c>
      <c r="D152" s="1160">
        <v>43802</v>
      </c>
      <c r="E152" s="1161">
        <v>12600000</v>
      </c>
      <c r="F152" s="1159" t="s">
        <v>387</v>
      </c>
      <c r="G152" s="1162" t="s">
        <v>611</v>
      </c>
      <c r="H152" s="1162">
        <v>998</v>
      </c>
      <c r="I152" s="1159" t="s">
        <v>612</v>
      </c>
      <c r="J152" s="1162" t="s">
        <v>14</v>
      </c>
      <c r="K152" s="1159" t="s">
        <v>76</v>
      </c>
      <c r="L152" s="1159" t="s">
        <v>864</v>
      </c>
      <c r="M152" s="1162" t="s">
        <v>14</v>
      </c>
      <c r="N152" s="1162" t="s">
        <v>410</v>
      </c>
      <c r="O152" s="1164">
        <v>38</v>
      </c>
      <c r="P152" s="1164">
        <v>0</v>
      </c>
      <c r="Q152" s="1164">
        <v>5</v>
      </c>
      <c r="R152" s="1159" t="s">
        <v>624</v>
      </c>
      <c r="S152" s="1159" t="s">
        <v>866</v>
      </c>
      <c r="T152" s="1159" t="s">
        <v>867</v>
      </c>
      <c r="U152" s="1166">
        <v>73100</v>
      </c>
      <c r="V152" s="1159" t="s">
        <v>867</v>
      </c>
      <c r="W152" s="1166">
        <v>73100</v>
      </c>
      <c r="X152" s="1159" t="s">
        <v>618</v>
      </c>
      <c r="Y152" s="1167">
        <v>43803.35741898148</v>
      </c>
      <c r="Z152" s="1159" t="s">
        <v>618</v>
      </c>
      <c r="AA152" s="1167">
        <v>43835.84122685185</v>
      </c>
      <c r="AB152" s="1138">
        <f t="shared" si="2"/>
        <v>146200</v>
      </c>
    </row>
    <row r="153" spans="1:28" x14ac:dyDescent="0.25">
      <c r="A153" s="1150">
        <v>110826</v>
      </c>
      <c r="B153" s="1150" t="s">
        <v>864</v>
      </c>
      <c r="C153" s="1150" t="s">
        <v>871</v>
      </c>
      <c r="D153" s="1151">
        <v>43802</v>
      </c>
      <c r="E153" s="1152">
        <v>13500000</v>
      </c>
      <c r="F153" s="1150" t="s">
        <v>387</v>
      </c>
      <c r="G153" s="1153" t="s">
        <v>611</v>
      </c>
      <c r="H153" s="1153">
        <v>998</v>
      </c>
      <c r="I153" s="1150" t="s">
        <v>612</v>
      </c>
      <c r="J153" s="1153" t="s">
        <v>14</v>
      </c>
      <c r="K153" s="1150" t="s">
        <v>76</v>
      </c>
      <c r="L153" s="1150" t="s">
        <v>864</v>
      </c>
      <c r="M153" s="1153" t="s">
        <v>14</v>
      </c>
      <c r="N153" s="1153" t="s">
        <v>410</v>
      </c>
      <c r="O153" s="1155">
        <v>38</v>
      </c>
      <c r="P153" s="1155">
        <v>0</v>
      </c>
      <c r="Q153" s="1155">
        <v>5</v>
      </c>
      <c r="R153" s="1150" t="s">
        <v>624</v>
      </c>
      <c r="S153" s="1150" t="s">
        <v>866</v>
      </c>
      <c r="T153" s="1150" t="s">
        <v>867</v>
      </c>
      <c r="U153" s="1157">
        <v>73100</v>
      </c>
      <c r="V153" s="1150" t="s">
        <v>867</v>
      </c>
      <c r="W153" s="1157">
        <v>73100</v>
      </c>
      <c r="X153" s="1150" t="s">
        <v>618</v>
      </c>
      <c r="Y153" s="1158">
        <v>43803.09956018519</v>
      </c>
      <c r="Z153" s="1150" t="s">
        <v>618</v>
      </c>
      <c r="AA153" s="1158">
        <v>43835.84122685185</v>
      </c>
      <c r="AB153" s="1138">
        <f t="shared" si="2"/>
        <v>146200</v>
      </c>
    </row>
    <row r="154" spans="1:28" x14ac:dyDescent="0.25">
      <c r="A154" s="1159">
        <v>110831</v>
      </c>
      <c r="B154" s="1159" t="s">
        <v>864</v>
      </c>
      <c r="C154" s="1159" t="s">
        <v>872</v>
      </c>
      <c r="D154" s="1160">
        <v>43802</v>
      </c>
      <c r="E154" s="1161">
        <v>15700000</v>
      </c>
      <c r="F154" s="1159" t="s">
        <v>387</v>
      </c>
      <c r="G154" s="1162" t="s">
        <v>611</v>
      </c>
      <c r="H154" s="1162">
        <v>998</v>
      </c>
      <c r="I154" s="1159" t="s">
        <v>612</v>
      </c>
      <c r="J154" s="1162" t="s">
        <v>14</v>
      </c>
      <c r="K154" s="1159" t="s">
        <v>76</v>
      </c>
      <c r="L154" s="1159" t="s">
        <v>864</v>
      </c>
      <c r="M154" s="1162" t="s">
        <v>14</v>
      </c>
      <c r="N154" s="1162" t="s">
        <v>410</v>
      </c>
      <c r="O154" s="1164">
        <v>38</v>
      </c>
      <c r="P154" s="1164">
        <v>0</v>
      </c>
      <c r="Q154" s="1164">
        <v>5</v>
      </c>
      <c r="R154" s="1159" t="s">
        <v>624</v>
      </c>
      <c r="S154" s="1159" t="s">
        <v>866</v>
      </c>
      <c r="T154" s="1159" t="s">
        <v>873</v>
      </c>
      <c r="U154" s="1166">
        <v>80600</v>
      </c>
      <c r="V154" s="1159" t="s">
        <v>873</v>
      </c>
      <c r="W154" s="1166">
        <v>80600</v>
      </c>
      <c r="X154" s="1159" t="s">
        <v>618</v>
      </c>
      <c r="Y154" s="1167">
        <v>43803.35203703704</v>
      </c>
      <c r="Z154" s="1159" t="s">
        <v>618</v>
      </c>
      <c r="AA154" s="1167">
        <v>43835.84122685185</v>
      </c>
      <c r="AB154" s="1138">
        <f t="shared" si="2"/>
        <v>161200</v>
      </c>
    </row>
    <row r="155" spans="1:28" x14ac:dyDescent="0.25">
      <c r="A155" s="1150">
        <v>110804</v>
      </c>
      <c r="B155" s="1150" t="s">
        <v>874</v>
      </c>
      <c r="C155" s="1150" t="s">
        <v>875</v>
      </c>
      <c r="D155" s="1151">
        <v>43789</v>
      </c>
      <c r="E155" s="1152">
        <v>33610000</v>
      </c>
      <c r="F155" s="1150" t="s">
        <v>610</v>
      </c>
      <c r="G155" s="1153" t="s">
        <v>611</v>
      </c>
      <c r="H155" s="1154">
        <v>2157</v>
      </c>
      <c r="I155" s="1150" t="s">
        <v>629</v>
      </c>
      <c r="J155" s="1153" t="s">
        <v>14</v>
      </c>
      <c r="K155" s="1150" t="s">
        <v>86</v>
      </c>
      <c r="L155" s="1150" t="s">
        <v>876</v>
      </c>
      <c r="M155" s="1153" t="s">
        <v>14</v>
      </c>
      <c r="N155" s="1153" t="s">
        <v>738</v>
      </c>
      <c r="O155" s="1155">
        <v>70</v>
      </c>
      <c r="P155" s="1156"/>
      <c r="Q155" s="1155">
        <v>5</v>
      </c>
      <c r="R155" s="1150" t="s">
        <v>710</v>
      </c>
      <c r="S155" s="1150" t="s">
        <v>877</v>
      </c>
      <c r="T155" s="1150" t="s">
        <v>878</v>
      </c>
      <c r="U155" s="1157">
        <v>193800</v>
      </c>
      <c r="V155" s="1150" t="s">
        <v>878</v>
      </c>
      <c r="W155" s="1157">
        <v>193800</v>
      </c>
      <c r="X155" s="1150" t="s">
        <v>618</v>
      </c>
      <c r="Y155" s="1158">
        <v>43789.01913194444</v>
      </c>
      <c r="Z155" s="1150" t="s">
        <v>618</v>
      </c>
      <c r="AA155" s="1158">
        <v>43900.41863425926</v>
      </c>
      <c r="AB155" s="1138">
        <f t="shared" si="2"/>
        <v>387600</v>
      </c>
    </row>
    <row r="156" ht="24" customHeight="1" spans="1:28" x14ac:dyDescent="0.25">
      <c r="A156" s="1159">
        <v>110814</v>
      </c>
      <c r="B156" s="1159" t="s">
        <v>874</v>
      </c>
      <c r="C156" s="1159" t="s">
        <v>879</v>
      </c>
      <c r="D156" s="1160">
        <v>43789</v>
      </c>
      <c r="E156" s="1161">
        <v>35570000</v>
      </c>
      <c r="F156" s="1159" t="s">
        <v>610</v>
      </c>
      <c r="G156" s="1162" t="s">
        <v>611</v>
      </c>
      <c r="H156" s="1163">
        <v>2157</v>
      </c>
      <c r="I156" s="1159" t="s">
        <v>629</v>
      </c>
      <c r="J156" s="1162" t="s">
        <v>14</v>
      </c>
      <c r="K156" s="1159" t="s">
        <v>86</v>
      </c>
      <c r="L156" s="1159" t="s">
        <v>876</v>
      </c>
      <c r="M156" s="1162" t="s">
        <v>14</v>
      </c>
      <c r="N156" s="1162" t="s">
        <v>738</v>
      </c>
      <c r="O156" s="1164">
        <v>70</v>
      </c>
      <c r="P156" s="1165"/>
      <c r="Q156" s="1164">
        <v>5</v>
      </c>
      <c r="R156" s="1159" t="s">
        <v>710</v>
      </c>
      <c r="S156" s="1159" t="s">
        <v>877</v>
      </c>
      <c r="T156" s="1159" t="s">
        <v>878</v>
      </c>
      <c r="U156" s="1166">
        <v>193800</v>
      </c>
      <c r="V156" s="1159" t="s">
        <v>878</v>
      </c>
      <c r="W156" s="1166">
        <v>193800</v>
      </c>
      <c r="X156" s="1159" t="s">
        <v>618</v>
      </c>
      <c r="Y156" s="1167">
        <v>43789.353379629625</v>
      </c>
      <c r="Z156" s="1159" t="s">
        <v>618</v>
      </c>
      <c r="AA156" s="1167">
        <v>43900.42125</v>
      </c>
      <c r="AB156" s="1138">
        <f t="shared" si="2"/>
        <v>387600</v>
      </c>
    </row>
    <row r="157" ht="24" customHeight="1" spans="1:28" x14ac:dyDescent="0.25">
      <c r="A157" s="1150">
        <v>110805</v>
      </c>
      <c r="B157" s="1150" t="s">
        <v>874</v>
      </c>
      <c r="C157" s="1150" t="s">
        <v>880</v>
      </c>
      <c r="D157" s="1151">
        <v>43789</v>
      </c>
      <c r="E157" s="1152">
        <v>35090000</v>
      </c>
      <c r="F157" s="1150" t="s">
        <v>610</v>
      </c>
      <c r="G157" s="1153" t="s">
        <v>611</v>
      </c>
      <c r="H157" s="1154">
        <v>2157</v>
      </c>
      <c r="I157" s="1150" t="s">
        <v>629</v>
      </c>
      <c r="J157" s="1153" t="s">
        <v>14</v>
      </c>
      <c r="K157" s="1150" t="s">
        <v>86</v>
      </c>
      <c r="L157" s="1150" t="s">
        <v>876</v>
      </c>
      <c r="M157" s="1153" t="s">
        <v>14</v>
      </c>
      <c r="N157" s="1153" t="s">
        <v>738</v>
      </c>
      <c r="O157" s="1155">
        <v>70</v>
      </c>
      <c r="P157" s="1156"/>
      <c r="Q157" s="1155">
        <v>5</v>
      </c>
      <c r="R157" s="1150" t="s">
        <v>710</v>
      </c>
      <c r="S157" s="1150" t="s">
        <v>877</v>
      </c>
      <c r="T157" s="1150" t="s">
        <v>878</v>
      </c>
      <c r="U157" s="1157">
        <v>193800</v>
      </c>
      <c r="V157" s="1150" t="s">
        <v>878</v>
      </c>
      <c r="W157" s="1157">
        <v>193800</v>
      </c>
      <c r="X157" s="1150" t="s">
        <v>618</v>
      </c>
      <c r="Y157" s="1158">
        <v>43789.07451388889</v>
      </c>
      <c r="Z157" s="1150" t="s">
        <v>618</v>
      </c>
      <c r="AA157" s="1158">
        <v>43900.426030092596</v>
      </c>
      <c r="AB157" s="1138">
        <f t="shared" si="2"/>
        <v>387600</v>
      </c>
    </row>
    <row r="158" ht="24" customHeight="1" spans="1:28" x14ac:dyDescent="0.25">
      <c r="A158" s="1159">
        <v>110816</v>
      </c>
      <c r="B158" s="1159" t="s">
        <v>874</v>
      </c>
      <c r="C158" s="1159" t="s">
        <v>881</v>
      </c>
      <c r="D158" s="1160">
        <v>43789</v>
      </c>
      <c r="E158" s="1161">
        <v>37050000</v>
      </c>
      <c r="F158" s="1159" t="s">
        <v>610</v>
      </c>
      <c r="G158" s="1162" t="s">
        <v>611</v>
      </c>
      <c r="H158" s="1163">
        <v>2157</v>
      </c>
      <c r="I158" s="1159" t="s">
        <v>629</v>
      </c>
      <c r="J158" s="1162" t="s">
        <v>14</v>
      </c>
      <c r="K158" s="1159" t="s">
        <v>86</v>
      </c>
      <c r="L158" s="1159" t="s">
        <v>876</v>
      </c>
      <c r="M158" s="1162" t="s">
        <v>14</v>
      </c>
      <c r="N158" s="1162" t="s">
        <v>738</v>
      </c>
      <c r="O158" s="1164">
        <v>70</v>
      </c>
      <c r="P158" s="1165"/>
      <c r="Q158" s="1164">
        <v>5</v>
      </c>
      <c r="R158" s="1159" t="s">
        <v>710</v>
      </c>
      <c r="S158" s="1159" t="s">
        <v>877</v>
      </c>
      <c r="T158" s="1159" t="s">
        <v>878</v>
      </c>
      <c r="U158" s="1166">
        <v>193800</v>
      </c>
      <c r="V158" s="1159" t="s">
        <v>878</v>
      </c>
      <c r="W158" s="1166">
        <v>193800</v>
      </c>
      <c r="X158" s="1159" t="s">
        <v>618</v>
      </c>
      <c r="Y158" s="1167">
        <v>43789.360659722224</v>
      </c>
      <c r="Z158" s="1159" t="s">
        <v>618</v>
      </c>
      <c r="AA158" s="1167">
        <v>43900.426412037035</v>
      </c>
      <c r="AB158" s="1138">
        <f t="shared" si="2"/>
        <v>387600</v>
      </c>
    </row>
    <row r="159" ht="24" customHeight="1" spans="1:28" x14ac:dyDescent="0.25">
      <c r="A159" s="1150">
        <v>110806</v>
      </c>
      <c r="B159" s="1150" t="s">
        <v>874</v>
      </c>
      <c r="C159" s="1150" t="s">
        <v>882</v>
      </c>
      <c r="D159" s="1151">
        <v>43789</v>
      </c>
      <c r="E159" s="1152">
        <v>37850000</v>
      </c>
      <c r="F159" s="1150" t="s">
        <v>610</v>
      </c>
      <c r="G159" s="1153" t="s">
        <v>611</v>
      </c>
      <c r="H159" s="1154">
        <v>2157</v>
      </c>
      <c r="I159" s="1150" t="s">
        <v>629</v>
      </c>
      <c r="J159" s="1153" t="s">
        <v>14</v>
      </c>
      <c r="K159" s="1150" t="s">
        <v>86</v>
      </c>
      <c r="L159" s="1150" t="s">
        <v>876</v>
      </c>
      <c r="M159" s="1153" t="s">
        <v>14</v>
      </c>
      <c r="N159" s="1153" t="s">
        <v>738</v>
      </c>
      <c r="O159" s="1155">
        <v>70</v>
      </c>
      <c r="P159" s="1156"/>
      <c r="Q159" s="1155">
        <v>5</v>
      </c>
      <c r="R159" s="1150" t="s">
        <v>710</v>
      </c>
      <c r="S159" s="1150" t="s">
        <v>877</v>
      </c>
      <c r="T159" s="1150" t="s">
        <v>883</v>
      </c>
      <c r="U159" s="1157">
        <v>500000</v>
      </c>
      <c r="V159" s="1150" t="s">
        <v>883</v>
      </c>
      <c r="W159" s="1157">
        <v>500000</v>
      </c>
      <c r="X159" s="1150" t="s">
        <v>618</v>
      </c>
      <c r="Y159" s="1158">
        <v>43789.07822916667</v>
      </c>
      <c r="Z159" s="1150" t="s">
        <v>618</v>
      </c>
      <c r="AA159" s="1158">
        <v>43900.42729166667</v>
      </c>
      <c r="AB159" s="1138">
        <f t="shared" si="2"/>
        <v>1000000</v>
      </c>
    </row>
    <row r="160" ht="24" customHeight="1" spans="1:28" x14ac:dyDescent="0.25">
      <c r="A160" s="1159">
        <v>110818</v>
      </c>
      <c r="B160" s="1159" t="s">
        <v>874</v>
      </c>
      <c r="C160" s="1159" t="s">
        <v>884</v>
      </c>
      <c r="D160" s="1160">
        <v>43789</v>
      </c>
      <c r="E160" s="1161">
        <v>39810000</v>
      </c>
      <c r="F160" s="1159" t="s">
        <v>610</v>
      </c>
      <c r="G160" s="1162" t="s">
        <v>611</v>
      </c>
      <c r="H160" s="1163">
        <v>2157</v>
      </c>
      <c r="I160" s="1159" t="s">
        <v>629</v>
      </c>
      <c r="J160" s="1162" t="s">
        <v>14</v>
      </c>
      <c r="K160" s="1159" t="s">
        <v>86</v>
      </c>
      <c r="L160" s="1159" t="s">
        <v>876</v>
      </c>
      <c r="M160" s="1162" t="s">
        <v>14</v>
      </c>
      <c r="N160" s="1162" t="s">
        <v>738</v>
      </c>
      <c r="O160" s="1164">
        <v>70</v>
      </c>
      <c r="P160" s="1165"/>
      <c r="Q160" s="1164">
        <v>5</v>
      </c>
      <c r="R160" s="1159" t="s">
        <v>710</v>
      </c>
      <c r="S160" s="1159" t="s">
        <v>877</v>
      </c>
      <c r="T160" s="1159" t="s">
        <v>883</v>
      </c>
      <c r="U160" s="1166">
        <v>500000</v>
      </c>
      <c r="V160" s="1159" t="s">
        <v>883</v>
      </c>
      <c r="W160" s="1166">
        <v>500000</v>
      </c>
      <c r="X160" s="1159" t="s">
        <v>618</v>
      </c>
      <c r="Y160" s="1167">
        <v>43789.36256944445</v>
      </c>
      <c r="Z160" s="1159" t="s">
        <v>618</v>
      </c>
      <c r="AA160" s="1167">
        <v>43900.427615740744</v>
      </c>
      <c r="AB160" s="1138">
        <f t="shared" si="2"/>
        <v>1000000</v>
      </c>
    </row>
    <row r="161" ht="24" customHeight="1" spans="1:28" x14ac:dyDescent="0.25">
      <c r="A161" s="1150">
        <v>110807</v>
      </c>
      <c r="B161" s="1150" t="s">
        <v>874</v>
      </c>
      <c r="C161" s="1150" t="s">
        <v>885</v>
      </c>
      <c r="D161" s="1151">
        <v>43789</v>
      </c>
      <c r="E161" s="1152">
        <v>40760000</v>
      </c>
      <c r="F161" s="1150" t="s">
        <v>610</v>
      </c>
      <c r="G161" s="1153" t="s">
        <v>611</v>
      </c>
      <c r="H161" s="1154">
        <v>2157</v>
      </c>
      <c r="I161" s="1150" t="s">
        <v>629</v>
      </c>
      <c r="J161" s="1153" t="s">
        <v>14</v>
      </c>
      <c r="K161" s="1150" t="s">
        <v>86</v>
      </c>
      <c r="L161" s="1150" t="s">
        <v>876</v>
      </c>
      <c r="M161" s="1153" t="s">
        <v>14</v>
      </c>
      <c r="N161" s="1153" t="s">
        <v>886</v>
      </c>
      <c r="O161" s="1155">
        <v>70</v>
      </c>
      <c r="P161" s="1156"/>
      <c r="Q161" s="1155">
        <v>5</v>
      </c>
      <c r="R161" s="1150" t="s">
        <v>710</v>
      </c>
      <c r="S161" s="1150" t="s">
        <v>877</v>
      </c>
      <c r="T161" s="1150" t="s">
        <v>883</v>
      </c>
      <c r="U161" s="1157">
        <v>500000</v>
      </c>
      <c r="V161" s="1150" t="s">
        <v>883</v>
      </c>
      <c r="W161" s="1157">
        <v>500000</v>
      </c>
      <c r="X161" s="1150" t="s">
        <v>618</v>
      </c>
      <c r="Y161" s="1158">
        <v>43789.08076388889</v>
      </c>
      <c r="Z161" s="1150" t="s">
        <v>618</v>
      </c>
      <c r="AA161" s="1158">
        <v>43900.42818287037</v>
      </c>
      <c r="AB161" s="1138">
        <f t="shared" si="2"/>
        <v>1000000</v>
      </c>
    </row>
    <row r="162" ht="24" customHeight="1" spans="1:28" x14ac:dyDescent="0.25">
      <c r="A162" s="1159">
        <v>110820</v>
      </c>
      <c r="B162" s="1159" t="s">
        <v>874</v>
      </c>
      <c r="C162" s="1159" t="s">
        <v>887</v>
      </c>
      <c r="D162" s="1160">
        <v>43789</v>
      </c>
      <c r="E162" s="1161">
        <v>42720000</v>
      </c>
      <c r="F162" s="1159" t="s">
        <v>610</v>
      </c>
      <c r="G162" s="1162" t="s">
        <v>611</v>
      </c>
      <c r="H162" s="1163">
        <v>2157</v>
      </c>
      <c r="I162" s="1159" t="s">
        <v>629</v>
      </c>
      <c r="J162" s="1162" t="s">
        <v>14</v>
      </c>
      <c r="K162" s="1159" t="s">
        <v>86</v>
      </c>
      <c r="L162" s="1159" t="s">
        <v>876</v>
      </c>
      <c r="M162" s="1162" t="s">
        <v>14</v>
      </c>
      <c r="N162" s="1162" t="s">
        <v>886</v>
      </c>
      <c r="O162" s="1164">
        <v>70</v>
      </c>
      <c r="P162" s="1165"/>
      <c r="Q162" s="1164">
        <v>5</v>
      </c>
      <c r="R162" s="1159" t="s">
        <v>710</v>
      </c>
      <c r="S162" s="1159" t="s">
        <v>877</v>
      </c>
      <c r="T162" s="1159" t="s">
        <v>883</v>
      </c>
      <c r="U162" s="1166">
        <v>500000</v>
      </c>
      <c r="V162" s="1159" t="s">
        <v>883</v>
      </c>
      <c r="W162" s="1166">
        <v>500000</v>
      </c>
      <c r="X162" s="1159" t="s">
        <v>618</v>
      </c>
      <c r="Y162" s="1167">
        <v>43789.36383101852</v>
      </c>
      <c r="Z162" s="1159" t="s">
        <v>618</v>
      </c>
      <c r="AA162" s="1167">
        <v>43900.42859953704</v>
      </c>
      <c r="AB162" s="1138">
        <f t="shared" si="2"/>
        <v>1000000</v>
      </c>
    </row>
    <row r="163" ht="24" customHeight="1" spans="1:28" x14ac:dyDescent="0.25">
      <c r="A163" s="1150">
        <v>110808</v>
      </c>
      <c r="B163" s="1150" t="s">
        <v>874</v>
      </c>
      <c r="C163" s="1150" t="s">
        <v>888</v>
      </c>
      <c r="D163" s="1151">
        <v>43789</v>
      </c>
      <c r="E163" s="1152">
        <v>43550000</v>
      </c>
      <c r="F163" s="1150" t="s">
        <v>610</v>
      </c>
      <c r="G163" s="1153" t="s">
        <v>611</v>
      </c>
      <c r="H163" s="1154">
        <v>2157</v>
      </c>
      <c r="I163" s="1150" t="s">
        <v>629</v>
      </c>
      <c r="J163" s="1153" t="s">
        <v>14</v>
      </c>
      <c r="K163" s="1150" t="s">
        <v>86</v>
      </c>
      <c r="L163" s="1150" t="s">
        <v>876</v>
      </c>
      <c r="M163" s="1153" t="s">
        <v>14</v>
      </c>
      <c r="N163" s="1153" t="s">
        <v>886</v>
      </c>
      <c r="O163" s="1155">
        <v>70</v>
      </c>
      <c r="P163" s="1156"/>
      <c r="Q163" s="1155">
        <v>5</v>
      </c>
      <c r="R163" s="1150" t="s">
        <v>710</v>
      </c>
      <c r="S163" s="1150" t="s">
        <v>877</v>
      </c>
      <c r="T163" s="1150" t="s">
        <v>883</v>
      </c>
      <c r="U163" s="1157">
        <v>500000</v>
      </c>
      <c r="V163" s="1150" t="s">
        <v>883</v>
      </c>
      <c r="W163" s="1157">
        <v>500000</v>
      </c>
      <c r="X163" s="1150" t="s">
        <v>618</v>
      </c>
      <c r="Y163" s="1158">
        <v>43789.08380787037</v>
      </c>
      <c r="Z163" s="1150" t="s">
        <v>618</v>
      </c>
      <c r="AA163" s="1158">
        <v>43900.43017361111</v>
      </c>
      <c r="AB163" s="1138">
        <f t="shared" si="2"/>
        <v>1000000</v>
      </c>
    </row>
    <row r="164" ht="24" customHeight="1" spans="1:28" x14ac:dyDescent="0.25">
      <c r="A164" s="1159">
        <v>110822</v>
      </c>
      <c r="B164" s="1159" t="s">
        <v>874</v>
      </c>
      <c r="C164" s="1159" t="s">
        <v>889</v>
      </c>
      <c r="D164" s="1160">
        <v>43789</v>
      </c>
      <c r="E164" s="1161">
        <v>45510000</v>
      </c>
      <c r="F164" s="1159" t="s">
        <v>610</v>
      </c>
      <c r="G164" s="1162" t="s">
        <v>611</v>
      </c>
      <c r="H164" s="1163">
        <v>2157</v>
      </c>
      <c r="I164" s="1159" t="s">
        <v>629</v>
      </c>
      <c r="J164" s="1162" t="s">
        <v>14</v>
      </c>
      <c r="K164" s="1159" t="s">
        <v>86</v>
      </c>
      <c r="L164" s="1159" t="s">
        <v>876</v>
      </c>
      <c r="M164" s="1162" t="s">
        <v>14</v>
      </c>
      <c r="N164" s="1162" t="s">
        <v>886</v>
      </c>
      <c r="O164" s="1164">
        <v>70</v>
      </c>
      <c r="P164" s="1165"/>
      <c r="Q164" s="1164">
        <v>5</v>
      </c>
      <c r="R164" s="1159" t="s">
        <v>710</v>
      </c>
      <c r="S164" s="1159" t="s">
        <v>877</v>
      </c>
      <c r="T164" s="1159" t="s">
        <v>883</v>
      </c>
      <c r="U164" s="1166">
        <v>500000</v>
      </c>
      <c r="V164" s="1159" t="s">
        <v>883</v>
      </c>
      <c r="W164" s="1166">
        <v>500000</v>
      </c>
      <c r="X164" s="1159" t="s">
        <v>618</v>
      </c>
      <c r="Y164" s="1167">
        <v>43789.36493055556</v>
      </c>
      <c r="Z164" s="1159" t="s">
        <v>618</v>
      </c>
      <c r="AA164" s="1167">
        <v>43900.42989583334</v>
      </c>
      <c r="AB164" s="1138">
        <f t="shared" si="2"/>
        <v>1000000</v>
      </c>
    </row>
    <row r="165" spans="1:28" x14ac:dyDescent="0.25">
      <c r="A165" s="1150">
        <v>110810</v>
      </c>
      <c r="B165" s="1150" t="s">
        <v>874</v>
      </c>
      <c r="C165" s="1150" t="s">
        <v>890</v>
      </c>
      <c r="D165" s="1151">
        <v>43789</v>
      </c>
      <c r="E165" s="1152">
        <v>34020000</v>
      </c>
      <c r="F165" s="1150" t="s">
        <v>610</v>
      </c>
      <c r="G165" s="1153" t="s">
        <v>611</v>
      </c>
      <c r="H165" s="1154">
        <v>2157</v>
      </c>
      <c r="I165" s="1150" t="s">
        <v>629</v>
      </c>
      <c r="J165" s="1153" t="s">
        <v>14</v>
      </c>
      <c r="K165" s="1150" t="s">
        <v>86</v>
      </c>
      <c r="L165" s="1150" t="s">
        <v>876</v>
      </c>
      <c r="M165" s="1153" t="s">
        <v>14</v>
      </c>
      <c r="N165" s="1153" t="s">
        <v>738</v>
      </c>
      <c r="O165" s="1155">
        <v>70</v>
      </c>
      <c r="P165" s="1156"/>
      <c r="Q165" s="1155">
        <v>7</v>
      </c>
      <c r="R165" s="1150" t="s">
        <v>710</v>
      </c>
      <c r="S165" s="1150" t="s">
        <v>877</v>
      </c>
      <c r="T165" s="1150" t="s">
        <v>878</v>
      </c>
      <c r="U165" s="1157">
        <v>193800</v>
      </c>
      <c r="V165" s="1150" t="s">
        <v>878</v>
      </c>
      <c r="W165" s="1157">
        <v>193800</v>
      </c>
      <c r="X165" s="1150" t="s">
        <v>618</v>
      </c>
      <c r="Y165" s="1158">
        <v>43789.350277777776</v>
      </c>
      <c r="Z165" s="1150" t="s">
        <v>618</v>
      </c>
      <c r="AA165" s="1158">
        <v>43900.424895833334</v>
      </c>
      <c r="AB165" s="1138">
        <f t="shared" si="2"/>
        <v>387600</v>
      </c>
    </row>
    <row r="166" ht="24" customHeight="1" spans="1:28" x14ac:dyDescent="0.25">
      <c r="A166" s="1159">
        <v>110815</v>
      </c>
      <c r="B166" s="1159" t="s">
        <v>874</v>
      </c>
      <c r="C166" s="1159" t="s">
        <v>891</v>
      </c>
      <c r="D166" s="1160">
        <v>43789</v>
      </c>
      <c r="E166" s="1161">
        <v>35980000</v>
      </c>
      <c r="F166" s="1159" t="s">
        <v>610</v>
      </c>
      <c r="G166" s="1162" t="s">
        <v>611</v>
      </c>
      <c r="H166" s="1163">
        <v>2157</v>
      </c>
      <c r="I166" s="1159" t="s">
        <v>629</v>
      </c>
      <c r="J166" s="1162" t="s">
        <v>14</v>
      </c>
      <c r="K166" s="1159" t="s">
        <v>86</v>
      </c>
      <c r="L166" s="1159" t="s">
        <v>876</v>
      </c>
      <c r="M166" s="1162" t="s">
        <v>14</v>
      </c>
      <c r="N166" s="1162" t="s">
        <v>738</v>
      </c>
      <c r="O166" s="1164">
        <v>70</v>
      </c>
      <c r="P166" s="1165"/>
      <c r="Q166" s="1164">
        <v>7</v>
      </c>
      <c r="R166" s="1159" t="s">
        <v>710</v>
      </c>
      <c r="S166" s="1159" t="s">
        <v>877</v>
      </c>
      <c r="T166" s="1159" t="s">
        <v>878</v>
      </c>
      <c r="U166" s="1166">
        <v>193800</v>
      </c>
      <c r="V166" s="1159" t="s">
        <v>878</v>
      </c>
      <c r="W166" s="1166">
        <v>193800</v>
      </c>
      <c r="X166" s="1159" t="s">
        <v>618</v>
      </c>
      <c r="Y166" s="1167">
        <v>43789.35978009259</v>
      </c>
      <c r="Z166" s="1159" t="s">
        <v>618</v>
      </c>
      <c r="AA166" s="1167">
        <v>43900.425046296295</v>
      </c>
      <c r="AB166" s="1138">
        <f t="shared" si="2"/>
        <v>387600</v>
      </c>
    </row>
    <row r="167" ht="24" customHeight="1" spans="1:28" x14ac:dyDescent="0.25">
      <c r="A167" s="1150">
        <v>110811</v>
      </c>
      <c r="B167" s="1150" t="s">
        <v>874</v>
      </c>
      <c r="C167" s="1150" t="s">
        <v>892</v>
      </c>
      <c r="D167" s="1151">
        <v>43789</v>
      </c>
      <c r="E167" s="1152">
        <v>35500000</v>
      </c>
      <c r="F167" s="1150" t="s">
        <v>610</v>
      </c>
      <c r="G167" s="1153" t="s">
        <v>611</v>
      </c>
      <c r="H167" s="1154">
        <v>2157</v>
      </c>
      <c r="I167" s="1150" t="s">
        <v>629</v>
      </c>
      <c r="J167" s="1153" t="s">
        <v>14</v>
      </c>
      <c r="K167" s="1150" t="s">
        <v>86</v>
      </c>
      <c r="L167" s="1150" t="s">
        <v>876</v>
      </c>
      <c r="M167" s="1153" t="s">
        <v>14</v>
      </c>
      <c r="N167" s="1153" t="s">
        <v>738</v>
      </c>
      <c r="O167" s="1155">
        <v>70</v>
      </c>
      <c r="P167" s="1156"/>
      <c r="Q167" s="1155">
        <v>7</v>
      </c>
      <c r="R167" s="1150" t="s">
        <v>710</v>
      </c>
      <c r="S167" s="1150" t="s">
        <v>877</v>
      </c>
      <c r="T167" s="1150" t="s">
        <v>878</v>
      </c>
      <c r="U167" s="1157">
        <v>193800</v>
      </c>
      <c r="V167" s="1150" t="s">
        <v>878</v>
      </c>
      <c r="W167" s="1157">
        <v>193800</v>
      </c>
      <c r="X167" s="1150" t="s">
        <v>618</v>
      </c>
      <c r="Y167" s="1158">
        <v>43789.35084490741</v>
      </c>
      <c r="Z167" s="1150" t="s">
        <v>618</v>
      </c>
      <c r="AA167" s="1158">
        <v>43900.42622685185</v>
      </c>
      <c r="AB167" s="1138">
        <f t="shared" si="2"/>
        <v>387600</v>
      </c>
    </row>
    <row r="168" ht="24" customHeight="1" spans="1:28" x14ac:dyDescent="0.25">
      <c r="A168" s="1159">
        <v>110817</v>
      </c>
      <c r="B168" s="1159" t="s">
        <v>874</v>
      </c>
      <c r="C168" s="1159" t="s">
        <v>893</v>
      </c>
      <c r="D168" s="1160">
        <v>43789</v>
      </c>
      <c r="E168" s="1161">
        <v>37460000</v>
      </c>
      <c r="F168" s="1159" t="s">
        <v>610</v>
      </c>
      <c r="G168" s="1162" t="s">
        <v>611</v>
      </c>
      <c r="H168" s="1163">
        <v>2157</v>
      </c>
      <c r="I168" s="1159" t="s">
        <v>629</v>
      </c>
      <c r="J168" s="1162" t="s">
        <v>14</v>
      </c>
      <c r="K168" s="1159" t="s">
        <v>86</v>
      </c>
      <c r="L168" s="1159" t="s">
        <v>876</v>
      </c>
      <c r="M168" s="1162" t="s">
        <v>14</v>
      </c>
      <c r="N168" s="1162" t="s">
        <v>738</v>
      </c>
      <c r="O168" s="1164">
        <v>70</v>
      </c>
      <c r="P168" s="1165"/>
      <c r="Q168" s="1164">
        <v>7</v>
      </c>
      <c r="R168" s="1159" t="s">
        <v>710</v>
      </c>
      <c r="S168" s="1159" t="s">
        <v>877</v>
      </c>
      <c r="T168" s="1159" t="s">
        <v>878</v>
      </c>
      <c r="U168" s="1166">
        <v>193800</v>
      </c>
      <c r="V168" s="1159" t="s">
        <v>878</v>
      </c>
      <c r="W168" s="1166">
        <v>193800</v>
      </c>
      <c r="X168" s="1159" t="s">
        <v>618</v>
      </c>
      <c r="Y168" s="1167">
        <v>43789.36145833333</v>
      </c>
      <c r="Z168" s="1159" t="s">
        <v>618</v>
      </c>
      <c r="AA168" s="1167">
        <v>43900.4265625</v>
      </c>
      <c r="AB168" s="1138">
        <f t="shared" si="2"/>
        <v>387600</v>
      </c>
    </row>
    <row r="169" ht="24" customHeight="1" spans="1:28" x14ac:dyDescent="0.25">
      <c r="A169" s="1150">
        <v>110809</v>
      </c>
      <c r="B169" s="1150" t="s">
        <v>874</v>
      </c>
      <c r="C169" s="1150" t="s">
        <v>894</v>
      </c>
      <c r="D169" s="1151">
        <v>43789</v>
      </c>
      <c r="E169" s="1152">
        <v>38260000</v>
      </c>
      <c r="F169" s="1150" t="s">
        <v>610</v>
      </c>
      <c r="G169" s="1153" t="s">
        <v>611</v>
      </c>
      <c r="H169" s="1154">
        <v>2157</v>
      </c>
      <c r="I169" s="1150" t="s">
        <v>629</v>
      </c>
      <c r="J169" s="1153" t="s">
        <v>14</v>
      </c>
      <c r="K169" s="1150" t="s">
        <v>86</v>
      </c>
      <c r="L169" s="1150" t="s">
        <v>876</v>
      </c>
      <c r="M169" s="1153" t="s">
        <v>14</v>
      </c>
      <c r="N169" s="1153" t="s">
        <v>738</v>
      </c>
      <c r="O169" s="1155">
        <v>70</v>
      </c>
      <c r="P169" s="1156"/>
      <c r="Q169" s="1155">
        <v>7</v>
      </c>
      <c r="R169" s="1150" t="s">
        <v>710</v>
      </c>
      <c r="S169" s="1150" t="s">
        <v>877</v>
      </c>
      <c r="T169" s="1150" t="s">
        <v>883</v>
      </c>
      <c r="U169" s="1157">
        <v>500000</v>
      </c>
      <c r="V169" s="1150" t="s">
        <v>883</v>
      </c>
      <c r="W169" s="1157">
        <v>500000</v>
      </c>
      <c r="X169" s="1150" t="s">
        <v>618</v>
      </c>
      <c r="Y169" s="1158">
        <v>43789.34880787037</v>
      </c>
      <c r="Z169" s="1150" t="s">
        <v>618</v>
      </c>
      <c r="AA169" s="1158">
        <v>43900.42741898148</v>
      </c>
      <c r="AB169" s="1138">
        <f t="shared" si="2"/>
        <v>1000000</v>
      </c>
    </row>
    <row r="170" ht="24" customHeight="1" spans="1:28" x14ac:dyDescent="0.25">
      <c r="A170" s="1159">
        <v>110819</v>
      </c>
      <c r="B170" s="1159" t="s">
        <v>874</v>
      </c>
      <c r="C170" s="1159" t="s">
        <v>895</v>
      </c>
      <c r="D170" s="1160">
        <v>43789</v>
      </c>
      <c r="E170" s="1161">
        <v>40220000</v>
      </c>
      <c r="F170" s="1159" t="s">
        <v>610</v>
      </c>
      <c r="G170" s="1162" t="s">
        <v>611</v>
      </c>
      <c r="H170" s="1163">
        <v>2157</v>
      </c>
      <c r="I170" s="1159" t="s">
        <v>629</v>
      </c>
      <c r="J170" s="1162" t="s">
        <v>14</v>
      </c>
      <c r="K170" s="1159" t="s">
        <v>86</v>
      </c>
      <c r="L170" s="1159" t="s">
        <v>876</v>
      </c>
      <c r="M170" s="1162" t="s">
        <v>14</v>
      </c>
      <c r="N170" s="1162" t="s">
        <v>738</v>
      </c>
      <c r="O170" s="1164">
        <v>70</v>
      </c>
      <c r="P170" s="1165"/>
      <c r="Q170" s="1164">
        <v>7</v>
      </c>
      <c r="R170" s="1159" t="s">
        <v>710</v>
      </c>
      <c r="S170" s="1159" t="s">
        <v>877</v>
      </c>
      <c r="T170" s="1159" t="s">
        <v>883</v>
      </c>
      <c r="U170" s="1166">
        <v>500000</v>
      </c>
      <c r="V170" s="1159" t="s">
        <v>883</v>
      </c>
      <c r="W170" s="1166">
        <v>500000</v>
      </c>
      <c r="X170" s="1159" t="s">
        <v>618</v>
      </c>
      <c r="Y170" s="1167">
        <v>43789.36313657407</v>
      </c>
      <c r="Z170" s="1159" t="s">
        <v>618</v>
      </c>
      <c r="AA170" s="1167">
        <v>43900.42775462963</v>
      </c>
      <c r="AB170" s="1138">
        <f t="shared" si="2"/>
        <v>1000000</v>
      </c>
    </row>
    <row r="171" ht="24" customHeight="1" spans="1:28" x14ac:dyDescent="0.25">
      <c r="A171" s="1150">
        <v>110812</v>
      </c>
      <c r="B171" s="1150" t="s">
        <v>874</v>
      </c>
      <c r="C171" s="1150" t="s">
        <v>896</v>
      </c>
      <c r="D171" s="1151">
        <v>43789</v>
      </c>
      <c r="E171" s="1152">
        <v>41170000</v>
      </c>
      <c r="F171" s="1150" t="s">
        <v>610</v>
      </c>
      <c r="G171" s="1153" t="s">
        <v>611</v>
      </c>
      <c r="H171" s="1154">
        <v>2157</v>
      </c>
      <c r="I171" s="1150" t="s">
        <v>629</v>
      </c>
      <c r="J171" s="1153" t="s">
        <v>14</v>
      </c>
      <c r="K171" s="1150" t="s">
        <v>86</v>
      </c>
      <c r="L171" s="1150" t="s">
        <v>876</v>
      </c>
      <c r="M171" s="1153" t="s">
        <v>14</v>
      </c>
      <c r="N171" s="1153" t="s">
        <v>886</v>
      </c>
      <c r="O171" s="1155">
        <v>70</v>
      </c>
      <c r="P171" s="1156"/>
      <c r="Q171" s="1155">
        <v>7</v>
      </c>
      <c r="R171" s="1150" t="s">
        <v>710</v>
      </c>
      <c r="S171" s="1150" t="s">
        <v>877</v>
      </c>
      <c r="T171" s="1150" t="s">
        <v>883</v>
      </c>
      <c r="U171" s="1157">
        <v>500000</v>
      </c>
      <c r="V171" s="1150" t="s">
        <v>883</v>
      </c>
      <c r="W171" s="1157">
        <v>500000</v>
      </c>
      <c r="X171" s="1150" t="s">
        <v>618</v>
      </c>
      <c r="Y171" s="1158">
        <v>43789.35158564815</v>
      </c>
      <c r="Z171" s="1150" t="s">
        <v>618</v>
      </c>
      <c r="AA171" s="1158">
        <v>43900.42835648148</v>
      </c>
      <c r="AB171" s="1138">
        <f t="shared" si="2"/>
        <v>1000000</v>
      </c>
    </row>
    <row r="172" ht="24" customHeight="1" spans="1:28" x14ac:dyDescent="0.25">
      <c r="A172" s="1159">
        <v>110821</v>
      </c>
      <c r="B172" s="1159" t="s">
        <v>874</v>
      </c>
      <c r="C172" s="1159" t="s">
        <v>897</v>
      </c>
      <c r="D172" s="1160">
        <v>43789</v>
      </c>
      <c r="E172" s="1161">
        <v>43130000</v>
      </c>
      <c r="F172" s="1159" t="s">
        <v>610</v>
      </c>
      <c r="G172" s="1162" t="s">
        <v>611</v>
      </c>
      <c r="H172" s="1163">
        <v>2157</v>
      </c>
      <c r="I172" s="1159" t="s">
        <v>629</v>
      </c>
      <c r="J172" s="1162" t="s">
        <v>14</v>
      </c>
      <c r="K172" s="1159" t="s">
        <v>86</v>
      </c>
      <c r="L172" s="1159" t="s">
        <v>876</v>
      </c>
      <c r="M172" s="1162" t="s">
        <v>14</v>
      </c>
      <c r="N172" s="1162" t="s">
        <v>886</v>
      </c>
      <c r="O172" s="1164">
        <v>70</v>
      </c>
      <c r="P172" s="1165"/>
      <c r="Q172" s="1164">
        <v>7</v>
      </c>
      <c r="R172" s="1159" t="s">
        <v>710</v>
      </c>
      <c r="S172" s="1159" t="s">
        <v>877</v>
      </c>
      <c r="T172" s="1159" t="s">
        <v>883</v>
      </c>
      <c r="U172" s="1166">
        <v>500000</v>
      </c>
      <c r="V172" s="1159" t="s">
        <v>883</v>
      </c>
      <c r="W172" s="1166">
        <v>500000</v>
      </c>
      <c r="X172" s="1159" t="s">
        <v>618</v>
      </c>
      <c r="Y172" s="1167">
        <v>43789.364375000005</v>
      </c>
      <c r="Z172" s="1159" t="s">
        <v>618</v>
      </c>
      <c r="AA172" s="1167">
        <v>43900.42884259259</v>
      </c>
      <c r="AB172" s="1138">
        <f t="shared" si="2"/>
        <v>1000000</v>
      </c>
    </row>
    <row r="173" ht="24" customHeight="1" spans="1:28" x14ac:dyDescent="0.25">
      <c r="A173" s="1150">
        <v>110813</v>
      </c>
      <c r="B173" s="1150" t="s">
        <v>874</v>
      </c>
      <c r="C173" s="1150" t="s">
        <v>898</v>
      </c>
      <c r="D173" s="1151">
        <v>43789</v>
      </c>
      <c r="E173" s="1152">
        <v>43960000</v>
      </c>
      <c r="F173" s="1150" t="s">
        <v>610</v>
      </c>
      <c r="G173" s="1153" t="s">
        <v>611</v>
      </c>
      <c r="H173" s="1154">
        <v>2157</v>
      </c>
      <c r="I173" s="1150" t="s">
        <v>629</v>
      </c>
      <c r="J173" s="1153" t="s">
        <v>14</v>
      </c>
      <c r="K173" s="1150" t="s">
        <v>86</v>
      </c>
      <c r="L173" s="1150" t="s">
        <v>876</v>
      </c>
      <c r="M173" s="1153" t="s">
        <v>14</v>
      </c>
      <c r="N173" s="1153" t="s">
        <v>886</v>
      </c>
      <c r="O173" s="1155">
        <v>70</v>
      </c>
      <c r="P173" s="1156"/>
      <c r="Q173" s="1155">
        <v>7</v>
      </c>
      <c r="R173" s="1150" t="s">
        <v>710</v>
      </c>
      <c r="S173" s="1150" t="s">
        <v>877</v>
      </c>
      <c r="T173" s="1150" t="s">
        <v>883</v>
      </c>
      <c r="U173" s="1157">
        <v>500000</v>
      </c>
      <c r="V173" s="1150" t="s">
        <v>883</v>
      </c>
      <c r="W173" s="1157">
        <v>500000</v>
      </c>
      <c r="X173" s="1150" t="s">
        <v>618</v>
      </c>
      <c r="Y173" s="1158">
        <v>43789.35215277778</v>
      </c>
      <c r="Z173" s="1150" t="s">
        <v>618</v>
      </c>
      <c r="AA173" s="1158">
        <v>43900.43003472222</v>
      </c>
      <c r="AB173" s="1138">
        <f t="shared" si="2"/>
        <v>1000000</v>
      </c>
    </row>
    <row r="174" ht="24" customHeight="1" spans="1:28" x14ac:dyDescent="0.25">
      <c r="A174" s="1159">
        <v>110823</v>
      </c>
      <c r="B174" s="1159" t="s">
        <v>874</v>
      </c>
      <c r="C174" s="1159" t="s">
        <v>899</v>
      </c>
      <c r="D174" s="1160">
        <v>43789</v>
      </c>
      <c r="E174" s="1161">
        <v>45920000</v>
      </c>
      <c r="F174" s="1159" t="s">
        <v>610</v>
      </c>
      <c r="G174" s="1162" t="s">
        <v>611</v>
      </c>
      <c r="H174" s="1163">
        <v>2157</v>
      </c>
      <c r="I174" s="1159" t="s">
        <v>629</v>
      </c>
      <c r="J174" s="1162" t="s">
        <v>14</v>
      </c>
      <c r="K174" s="1159" t="s">
        <v>86</v>
      </c>
      <c r="L174" s="1159" t="s">
        <v>876</v>
      </c>
      <c r="M174" s="1162" t="s">
        <v>14</v>
      </c>
      <c r="N174" s="1162" t="s">
        <v>886</v>
      </c>
      <c r="O174" s="1164">
        <v>70</v>
      </c>
      <c r="P174" s="1165"/>
      <c r="Q174" s="1164">
        <v>7</v>
      </c>
      <c r="R174" s="1159" t="s">
        <v>710</v>
      </c>
      <c r="S174" s="1159" t="s">
        <v>877</v>
      </c>
      <c r="T174" s="1159" t="s">
        <v>883</v>
      </c>
      <c r="U174" s="1166">
        <v>500000</v>
      </c>
      <c r="V174" s="1159" t="s">
        <v>883</v>
      </c>
      <c r="W174" s="1166">
        <v>500000</v>
      </c>
      <c r="X174" s="1159" t="s">
        <v>618</v>
      </c>
      <c r="Y174" s="1167">
        <v>43789.36570601852</v>
      </c>
      <c r="Z174" s="1159" t="s">
        <v>618</v>
      </c>
      <c r="AA174" s="1167">
        <v>43900.42929398148</v>
      </c>
      <c r="AB174" s="1138">
        <f t="shared" si="2"/>
        <v>1000000</v>
      </c>
    </row>
    <row r="175" spans="1:28" x14ac:dyDescent="0.25">
      <c r="A175" s="1150">
        <v>110506</v>
      </c>
      <c r="B175" s="1150" t="s">
        <v>900</v>
      </c>
      <c r="C175" s="1150" t="s">
        <v>901</v>
      </c>
      <c r="D175" s="1151">
        <v>43699</v>
      </c>
      <c r="E175" s="1152">
        <v>31000000</v>
      </c>
      <c r="F175" s="1150" t="s">
        <v>610</v>
      </c>
      <c r="G175" s="1153" t="s">
        <v>848</v>
      </c>
      <c r="H175" s="1154">
        <v>2299</v>
      </c>
      <c r="I175" s="1150" t="s">
        <v>612</v>
      </c>
      <c r="J175" s="1153" t="s">
        <v>14</v>
      </c>
      <c r="K175" s="1150" t="s">
        <v>613</v>
      </c>
      <c r="L175" s="1150" t="s">
        <v>900</v>
      </c>
      <c r="M175" s="1153" t="s">
        <v>14</v>
      </c>
      <c r="N175" s="1153" t="s">
        <v>902</v>
      </c>
      <c r="O175" s="1155">
        <v>1</v>
      </c>
      <c r="P175" s="1156"/>
      <c r="Q175" s="1155">
        <v>3</v>
      </c>
      <c r="R175" s="1150" t="s">
        <v>643</v>
      </c>
      <c r="S175" s="1150" t="s">
        <v>739</v>
      </c>
      <c r="T175" s="1150" t="s">
        <v>903</v>
      </c>
      <c r="U175" s="1157">
        <v>152000</v>
      </c>
      <c r="V175" s="1150" t="s">
        <v>903</v>
      </c>
      <c r="W175" s="1157">
        <v>152000</v>
      </c>
      <c r="X175" s="1150" t="s">
        <v>618</v>
      </c>
      <c r="Y175" s="1158">
        <v>43699.00021990741</v>
      </c>
      <c r="Z175" s="1150" t="s">
        <v>618</v>
      </c>
      <c r="AA175" s="1158">
        <v>43699.442824074074</v>
      </c>
      <c r="AB175" s="1138">
        <f t="shared" si="2"/>
        <v>304000</v>
      </c>
    </row>
    <row r="176" spans="1:28" x14ac:dyDescent="0.25">
      <c r="A176" s="1159">
        <v>110505</v>
      </c>
      <c r="B176" s="1159" t="s">
        <v>900</v>
      </c>
      <c r="C176" s="1159" t="s">
        <v>904</v>
      </c>
      <c r="D176" s="1160">
        <v>43698</v>
      </c>
      <c r="E176" s="1161">
        <v>29000000</v>
      </c>
      <c r="F176" s="1159" t="s">
        <v>610</v>
      </c>
      <c r="G176" s="1162" t="s">
        <v>848</v>
      </c>
      <c r="H176" s="1163">
        <v>2299</v>
      </c>
      <c r="I176" s="1159" t="s">
        <v>612</v>
      </c>
      <c r="J176" s="1162" t="s">
        <v>14</v>
      </c>
      <c r="K176" s="1159" t="s">
        <v>613</v>
      </c>
      <c r="L176" s="1159" t="s">
        <v>900</v>
      </c>
      <c r="M176" s="1162" t="s">
        <v>14</v>
      </c>
      <c r="N176" s="1162" t="s">
        <v>902</v>
      </c>
      <c r="O176" s="1164">
        <v>1</v>
      </c>
      <c r="P176" s="1165"/>
      <c r="Q176" s="1164">
        <v>3</v>
      </c>
      <c r="R176" s="1159" t="s">
        <v>643</v>
      </c>
      <c r="S176" s="1159" t="s">
        <v>739</v>
      </c>
      <c r="T176" s="1159" t="s">
        <v>903</v>
      </c>
      <c r="U176" s="1166">
        <v>152000</v>
      </c>
      <c r="V176" s="1159" t="s">
        <v>903</v>
      </c>
      <c r="W176" s="1166">
        <v>152000</v>
      </c>
      <c r="X176" s="1159" t="s">
        <v>618</v>
      </c>
      <c r="Y176" s="1167">
        <v>43698.99729166667</v>
      </c>
      <c r="Z176" s="1159" t="s">
        <v>618</v>
      </c>
      <c r="AA176" s="1167">
        <v>43699.44267361111</v>
      </c>
      <c r="AB176" s="1138">
        <f t="shared" si="2"/>
        <v>304000</v>
      </c>
    </row>
    <row r="177" spans="1:28" x14ac:dyDescent="0.25">
      <c r="A177" s="1150">
        <v>110500</v>
      </c>
      <c r="B177" s="1150" t="s">
        <v>900</v>
      </c>
      <c r="C177" s="1150" t="s">
        <v>905</v>
      </c>
      <c r="D177" s="1151">
        <v>43698</v>
      </c>
      <c r="E177" s="1152">
        <v>36300000</v>
      </c>
      <c r="F177" s="1150" t="s">
        <v>610</v>
      </c>
      <c r="G177" s="1153" t="s">
        <v>848</v>
      </c>
      <c r="H177" s="1154">
        <v>2299</v>
      </c>
      <c r="I177" s="1150" t="s">
        <v>612</v>
      </c>
      <c r="J177" s="1153" t="s">
        <v>14</v>
      </c>
      <c r="K177" s="1150" t="s">
        <v>613</v>
      </c>
      <c r="L177" s="1150" t="s">
        <v>900</v>
      </c>
      <c r="M177" s="1153" t="s">
        <v>14</v>
      </c>
      <c r="N177" s="1153" t="s">
        <v>902</v>
      </c>
      <c r="O177" s="1155">
        <v>1</v>
      </c>
      <c r="P177" s="1156"/>
      <c r="Q177" s="1155">
        <v>13</v>
      </c>
      <c r="R177" s="1150" t="s">
        <v>643</v>
      </c>
      <c r="S177" s="1150" t="s">
        <v>739</v>
      </c>
      <c r="T177" s="1150" t="s">
        <v>903</v>
      </c>
      <c r="U177" s="1157">
        <v>152000</v>
      </c>
      <c r="V177" s="1150" t="s">
        <v>903</v>
      </c>
      <c r="W177" s="1157">
        <v>152000</v>
      </c>
      <c r="X177" s="1150" t="s">
        <v>618</v>
      </c>
      <c r="Y177" s="1158">
        <v>43698.922071759254</v>
      </c>
      <c r="Z177" s="1150" t="s">
        <v>618</v>
      </c>
      <c r="AA177" s="1158">
        <v>43699.44204861111</v>
      </c>
      <c r="AB177" s="1138">
        <f t="shared" si="2"/>
        <v>304000</v>
      </c>
    </row>
    <row r="178" spans="1:28" x14ac:dyDescent="0.25">
      <c r="A178" s="1159">
        <v>110501</v>
      </c>
      <c r="B178" s="1159" t="s">
        <v>900</v>
      </c>
      <c r="C178" s="1159" t="s">
        <v>906</v>
      </c>
      <c r="D178" s="1160">
        <v>43698</v>
      </c>
      <c r="E178" s="1161">
        <v>46000000</v>
      </c>
      <c r="F178" s="1159" t="s">
        <v>610</v>
      </c>
      <c r="G178" s="1162" t="s">
        <v>848</v>
      </c>
      <c r="H178" s="1163">
        <v>2299</v>
      </c>
      <c r="I178" s="1159" t="s">
        <v>612</v>
      </c>
      <c r="J178" s="1162" t="s">
        <v>14</v>
      </c>
      <c r="K178" s="1159" t="s">
        <v>613</v>
      </c>
      <c r="L178" s="1159" t="s">
        <v>900</v>
      </c>
      <c r="M178" s="1162" t="s">
        <v>14</v>
      </c>
      <c r="N178" s="1162" t="s">
        <v>902</v>
      </c>
      <c r="O178" s="1164">
        <v>1</v>
      </c>
      <c r="P178" s="1165"/>
      <c r="Q178" s="1164">
        <v>15</v>
      </c>
      <c r="R178" s="1159" t="s">
        <v>643</v>
      </c>
      <c r="S178" s="1159" t="s">
        <v>739</v>
      </c>
      <c r="T178" s="1159" t="s">
        <v>903</v>
      </c>
      <c r="U178" s="1166">
        <v>152000</v>
      </c>
      <c r="V178" s="1159" t="s">
        <v>903</v>
      </c>
      <c r="W178" s="1166">
        <v>152000</v>
      </c>
      <c r="X178" s="1159" t="s">
        <v>618</v>
      </c>
      <c r="Y178" s="1167">
        <v>43698.972453703704</v>
      </c>
      <c r="Z178" s="1159" t="s">
        <v>618</v>
      </c>
      <c r="AA178" s="1167">
        <v>43699.442141203705</v>
      </c>
      <c r="AB178" s="1138">
        <f t="shared" si="2"/>
        <v>304000</v>
      </c>
    </row>
    <row r="179" spans="1:28" x14ac:dyDescent="0.25">
      <c r="A179" s="1150">
        <v>110154</v>
      </c>
      <c r="B179" s="1150" t="s">
        <v>907</v>
      </c>
      <c r="C179" s="1150" t="s">
        <v>908</v>
      </c>
      <c r="D179" s="1151">
        <v>43529</v>
      </c>
      <c r="E179" s="1152">
        <v>30100000</v>
      </c>
      <c r="F179" s="1150" t="s">
        <v>610</v>
      </c>
      <c r="G179" s="1153" t="s">
        <v>611</v>
      </c>
      <c r="H179" s="1154">
        <v>1598</v>
      </c>
      <c r="I179" s="1150" t="s">
        <v>612</v>
      </c>
      <c r="J179" s="1153" t="s">
        <v>14</v>
      </c>
      <c r="K179" s="1150" t="s">
        <v>849</v>
      </c>
      <c r="L179" s="1150" t="s">
        <v>909</v>
      </c>
      <c r="M179" s="1153" t="s">
        <v>14</v>
      </c>
      <c r="N179" s="1153" t="s">
        <v>661</v>
      </c>
      <c r="O179" s="1155">
        <v>55</v>
      </c>
      <c r="P179" s="1156"/>
      <c r="Q179" s="1155">
        <v>5</v>
      </c>
      <c r="R179" s="1150" t="s">
        <v>710</v>
      </c>
      <c r="S179" s="1150" t="s">
        <v>910</v>
      </c>
      <c r="T179" s="1150" t="s">
        <v>694</v>
      </c>
      <c r="U179" s="1157">
        <v>123300</v>
      </c>
      <c r="V179" s="1150" t="s">
        <v>694</v>
      </c>
      <c r="W179" s="1157">
        <v>123300</v>
      </c>
      <c r="X179" s="1150" t="s">
        <v>664</v>
      </c>
      <c r="Y179" s="1158">
        <v>43529.473379629635</v>
      </c>
      <c r="Z179" s="1150" t="s">
        <v>618</v>
      </c>
      <c r="AA179" s="1158">
        <v>43842.059212962966</v>
      </c>
      <c r="AB179" s="1138">
        <f t="shared" si="2"/>
        <v>246600</v>
      </c>
    </row>
    <row r="180" spans="1:28" x14ac:dyDescent="0.25">
      <c r="A180" s="1159">
        <v>110155</v>
      </c>
      <c r="B180" s="1159" t="s">
        <v>907</v>
      </c>
      <c r="C180" s="1159" t="s">
        <v>911</v>
      </c>
      <c r="D180" s="1160">
        <v>43529</v>
      </c>
      <c r="E180" s="1161">
        <v>32530000</v>
      </c>
      <c r="F180" s="1159" t="s">
        <v>610</v>
      </c>
      <c r="G180" s="1162" t="s">
        <v>611</v>
      </c>
      <c r="H180" s="1163">
        <v>1598</v>
      </c>
      <c r="I180" s="1159" t="s">
        <v>612</v>
      </c>
      <c r="J180" s="1162" t="s">
        <v>14</v>
      </c>
      <c r="K180" s="1159" t="s">
        <v>849</v>
      </c>
      <c r="L180" s="1159" t="s">
        <v>909</v>
      </c>
      <c r="M180" s="1162" t="s">
        <v>14</v>
      </c>
      <c r="N180" s="1162" t="s">
        <v>661</v>
      </c>
      <c r="O180" s="1164">
        <v>55</v>
      </c>
      <c r="P180" s="1165"/>
      <c r="Q180" s="1164">
        <v>5</v>
      </c>
      <c r="R180" s="1159" t="s">
        <v>710</v>
      </c>
      <c r="S180" s="1159" t="s">
        <v>910</v>
      </c>
      <c r="T180" s="1159" t="s">
        <v>694</v>
      </c>
      <c r="U180" s="1166">
        <v>123300</v>
      </c>
      <c r="V180" s="1159" t="s">
        <v>694</v>
      </c>
      <c r="W180" s="1166">
        <v>123300</v>
      </c>
      <c r="X180" s="1159" t="s">
        <v>664</v>
      </c>
      <c r="Y180" s="1167">
        <v>43529.479745370365</v>
      </c>
      <c r="Z180" s="1159" t="s">
        <v>618</v>
      </c>
      <c r="AA180" s="1167">
        <v>43842.059479166666</v>
      </c>
      <c r="AB180" s="1138">
        <f t="shared" si="2"/>
        <v>246600</v>
      </c>
    </row>
    <row r="181" spans="1:28" x14ac:dyDescent="0.25">
      <c r="A181" s="1150">
        <v>110355</v>
      </c>
      <c r="B181" s="1150" t="s">
        <v>907</v>
      </c>
      <c r="C181" s="1150" t="s">
        <v>912</v>
      </c>
      <c r="D181" s="1151">
        <v>43662</v>
      </c>
      <c r="E181" s="1152">
        <v>30770000</v>
      </c>
      <c r="F181" s="1150" t="s">
        <v>387</v>
      </c>
      <c r="G181" s="1153" t="s">
        <v>611</v>
      </c>
      <c r="H181" s="1154">
        <v>1998</v>
      </c>
      <c r="I181" s="1150" t="s">
        <v>612</v>
      </c>
      <c r="J181" s="1153" t="s">
        <v>14</v>
      </c>
      <c r="K181" s="1150" t="s">
        <v>849</v>
      </c>
      <c r="L181" s="1150" t="s">
        <v>909</v>
      </c>
      <c r="M181" s="1153" t="s">
        <v>14</v>
      </c>
      <c r="N181" s="1153" t="s">
        <v>661</v>
      </c>
      <c r="O181" s="1155">
        <v>62</v>
      </c>
      <c r="P181" s="1156"/>
      <c r="Q181" s="1155">
        <v>5</v>
      </c>
      <c r="R181" s="1150" t="s">
        <v>710</v>
      </c>
      <c r="S181" s="1150" t="s">
        <v>910</v>
      </c>
      <c r="T181" s="1150" t="s">
        <v>696</v>
      </c>
      <c r="U181" s="1157">
        <v>197900</v>
      </c>
      <c r="V181" s="1150" t="s">
        <v>696</v>
      </c>
      <c r="W181" s="1157">
        <v>197900</v>
      </c>
      <c r="X181" s="1150" t="s">
        <v>618</v>
      </c>
      <c r="Y181" s="1158">
        <v>43662.966469907406</v>
      </c>
      <c r="Z181" s="1150" t="s">
        <v>618</v>
      </c>
      <c r="AA181" s="1158">
        <v>43842.03912037037</v>
      </c>
      <c r="AB181" s="1138">
        <f t="shared" si="2"/>
        <v>395800</v>
      </c>
    </row>
    <row r="182" spans="1:28" x14ac:dyDescent="0.25">
      <c r="A182" s="1159">
        <v>110354</v>
      </c>
      <c r="B182" s="1159" t="s">
        <v>907</v>
      </c>
      <c r="C182" s="1159" t="s">
        <v>913</v>
      </c>
      <c r="D182" s="1160">
        <v>43662</v>
      </c>
      <c r="E182" s="1161">
        <v>33080000</v>
      </c>
      <c r="F182" s="1159" t="s">
        <v>387</v>
      </c>
      <c r="G182" s="1162" t="s">
        <v>611</v>
      </c>
      <c r="H182" s="1163">
        <v>1998</v>
      </c>
      <c r="I182" s="1159" t="s">
        <v>612</v>
      </c>
      <c r="J182" s="1162" t="s">
        <v>14</v>
      </c>
      <c r="K182" s="1159" t="s">
        <v>849</v>
      </c>
      <c r="L182" s="1159" t="s">
        <v>909</v>
      </c>
      <c r="M182" s="1162" t="s">
        <v>14</v>
      </c>
      <c r="N182" s="1162" t="s">
        <v>661</v>
      </c>
      <c r="O182" s="1164">
        <v>62</v>
      </c>
      <c r="P182" s="1165"/>
      <c r="Q182" s="1164">
        <v>5</v>
      </c>
      <c r="R182" s="1159" t="s">
        <v>710</v>
      </c>
      <c r="S182" s="1159" t="s">
        <v>910</v>
      </c>
      <c r="T182" s="1159" t="s">
        <v>696</v>
      </c>
      <c r="U182" s="1166">
        <v>197900</v>
      </c>
      <c r="V182" s="1159" t="s">
        <v>696</v>
      </c>
      <c r="W182" s="1166">
        <v>197900</v>
      </c>
      <c r="X182" s="1159" t="s">
        <v>618</v>
      </c>
      <c r="Y182" s="1167">
        <v>43662.764652777776</v>
      </c>
      <c r="Z182" s="1159" t="s">
        <v>618</v>
      </c>
      <c r="AA182" s="1167">
        <v>43842.03939814815</v>
      </c>
      <c r="AB182" s="1138">
        <f t="shared" si="2"/>
        <v>395800</v>
      </c>
    </row>
    <row r="183" ht="24" customHeight="1" spans="1:28" x14ac:dyDescent="0.25">
      <c r="A183" s="1150">
        <v>110356</v>
      </c>
      <c r="B183" s="1150" t="s">
        <v>907</v>
      </c>
      <c r="C183" s="1150" t="s">
        <v>914</v>
      </c>
      <c r="D183" s="1151">
        <v>43662</v>
      </c>
      <c r="E183" s="1152">
        <v>33380000</v>
      </c>
      <c r="F183" s="1150" t="s">
        <v>387</v>
      </c>
      <c r="G183" s="1153" t="s">
        <v>611</v>
      </c>
      <c r="H183" s="1154">
        <v>1998</v>
      </c>
      <c r="I183" s="1150" t="s">
        <v>612</v>
      </c>
      <c r="J183" s="1153" t="s">
        <v>14</v>
      </c>
      <c r="K183" s="1150" t="s">
        <v>849</v>
      </c>
      <c r="L183" s="1150" t="s">
        <v>909</v>
      </c>
      <c r="M183" s="1153" t="s">
        <v>14</v>
      </c>
      <c r="N183" s="1153" t="s">
        <v>661</v>
      </c>
      <c r="O183" s="1155">
        <v>62</v>
      </c>
      <c r="P183" s="1156"/>
      <c r="Q183" s="1155">
        <v>5</v>
      </c>
      <c r="R183" s="1150" t="s">
        <v>710</v>
      </c>
      <c r="S183" s="1150" t="s">
        <v>910</v>
      </c>
      <c r="T183" s="1150" t="s">
        <v>696</v>
      </c>
      <c r="U183" s="1157">
        <v>197900</v>
      </c>
      <c r="V183" s="1150" t="s">
        <v>696</v>
      </c>
      <c r="W183" s="1157">
        <v>197900</v>
      </c>
      <c r="X183" s="1150" t="s">
        <v>618</v>
      </c>
      <c r="Y183" s="1158">
        <v>43662.97306712963</v>
      </c>
      <c r="Z183" s="1150" t="s">
        <v>618</v>
      </c>
      <c r="AA183" s="1158">
        <v>43842.039606481485</v>
      </c>
      <c r="AB183" s="1138">
        <f t="shared" si="2"/>
        <v>395800</v>
      </c>
    </row>
    <row r="184" spans="1:28" x14ac:dyDescent="0.25">
      <c r="A184" s="1159">
        <v>110357</v>
      </c>
      <c r="B184" s="1159" t="s">
        <v>907</v>
      </c>
      <c r="C184" s="1159" t="s">
        <v>915</v>
      </c>
      <c r="D184" s="1160">
        <v>43662</v>
      </c>
      <c r="E184" s="1161">
        <v>24080000</v>
      </c>
      <c r="F184" s="1159" t="s">
        <v>387</v>
      </c>
      <c r="G184" s="1162" t="s">
        <v>611</v>
      </c>
      <c r="H184" s="1163">
        <v>1341</v>
      </c>
      <c r="I184" s="1159" t="s">
        <v>612</v>
      </c>
      <c r="J184" s="1162" t="s">
        <v>14</v>
      </c>
      <c r="K184" s="1159" t="s">
        <v>849</v>
      </c>
      <c r="L184" s="1159" t="s">
        <v>909</v>
      </c>
      <c r="M184" s="1162" t="s">
        <v>14</v>
      </c>
      <c r="N184" s="1162" t="s">
        <v>661</v>
      </c>
      <c r="O184" s="1164">
        <v>62</v>
      </c>
      <c r="P184" s="1165"/>
      <c r="Q184" s="1164">
        <v>5</v>
      </c>
      <c r="R184" s="1159" t="s">
        <v>710</v>
      </c>
      <c r="S184" s="1159" t="s">
        <v>910</v>
      </c>
      <c r="T184" s="1159" t="s">
        <v>678</v>
      </c>
      <c r="U184" s="1166">
        <v>114500</v>
      </c>
      <c r="V184" s="1159" t="s">
        <v>678</v>
      </c>
      <c r="W184" s="1166">
        <v>114500</v>
      </c>
      <c r="X184" s="1159" t="s">
        <v>618</v>
      </c>
      <c r="Y184" s="1167">
        <v>43662.980671296296</v>
      </c>
      <c r="Z184" s="1159" t="s">
        <v>618</v>
      </c>
      <c r="AA184" s="1167">
        <v>43841.85098379629</v>
      </c>
      <c r="AB184" s="1138">
        <f t="shared" si="2"/>
        <v>229000</v>
      </c>
    </row>
    <row r="185" spans="1:28" x14ac:dyDescent="0.25">
      <c r="A185" s="1150">
        <v>110119</v>
      </c>
      <c r="B185" s="1150" t="s">
        <v>907</v>
      </c>
      <c r="C185" s="1150" t="s">
        <v>916</v>
      </c>
      <c r="D185" s="1151">
        <v>43511</v>
      </c>
      <c r="E185" s="1152">
        <v>25260000</v>
      </c>
      <c r="F185" s="1150" t="s">
        <v>387</v>
      </c>
      <c r="G185" s="1153" t="s">
        <v>611</v>
      </c>
      <c r="H185" s="1154">
        <v>1341</v>
      </c>
      <c r="I185" s="1150" t="s">
        <v>612</v>
      </c>
      <c r="J185" s="1153" t="s">
        <v>14</v>
      </c>
      <c r="K185" s="1150" t="s">
        <v>849</v>
      </c>
      <c r="L185" s="1150" t="s">
        <v>909</v>
      </c>
      <c r="M185" s="1153" t="s">
        <v>14</v>
      </c>
      <c r="N185" s="1153" t="s">
        <v>661</v>
      </c>
      <c r="O185" s="1155">
        <v>62</v>
      </c>
      <c r="P185" s="1156"/>
      <c r="Q185" s="1155">
        <v>5</v>
      </c>
      <c r="R185" s="1150" t="s">
        <v>710</v>
      </c>
      <c r="S185" s="1150" t="s">
        <v>910</v>
      </c>
      <c r="T185" s="1150" t="s">
        <v>694</v>
      </c>
      <c r="U185" s="1157">
        <v>123300</v>
      </c>
      <c r="V185" s="1150" t="s">
        <v>694</v>
      </c>
      <c r="W185" s="1157">
        <v>123300</v>
      </c>
      <c r="X185" s="1150" t="s">
        <v>664</v>
      </c>
      <c r="Y185" s="1158">
        <v>43511.62596064815</v>
      </c>
      <c r="Z185" s="1150" t="s">
        <v>618</v>
      </c>
      <c r="AA185" s="1158">
        <v>43841.85770833334</v>
      </c>
      <c r="AB185" s="1138">
        <f t="shared" si="2"/>
        <v>246600</v>
      </c>
    </row>
    <row r="186" spans="1:28" x14ac:dyDescent="0.25">
      <c r="A186" s="1159">
        <v>110120</v>
      </c>
      <c r="B186" s="1159" t="s">
        <v>907</v>
      </c>
      <c r="C186" s="1159" t="s">
        <v>917</v>
      </c>
      <c r="D186" s="1160">
        <v>43511</v>
      </c>
      <c r="E186" s="1161">
        <v>26340000</v>
      </c>
      <c r="F186" s="1159" t="s">
        <v>387</v>
      </c>
      <c r="G186" s="1162" t="s">
        <v>611</v>
      </c>
      <c r="H186" s="1163">
        <v>1341</v>
      </c>
      <c r="I186" s="1159" t="s">
        <v>612</v>
      </c>
      <c r="J186" s="1162" t="s">
        <v>14</v>
      </c>
      <c r="K186" s="1159" t="s">
        <v>849</v>
      </c>
      <c r="L186" s="1159" t="s">
        <v>909</v>
      </c>
      <c r="M186" s="1162" t="s">
        <v>14</v>
      </c>
      <c r="N186" s="1162" t="s">
        <v>661</v>
      </c>
      <c r="O186" s="1164">
        <v>62</v>
      </c>
      <c r="P186" s="1165"/>
      <c r="Q186" s="1164">
        <v>5</v>
      </c>
      <c r="R186" s="1159" t="s">
        <v>710</v>
      </c>
      <c r="S186" s="1159" t="s">
        <v>910</v>
      </c>
      <c r="T186" s="1159" t="s">
        <v>694</v>
      </c>
      <c r="U186" s="1166">
        <v>123300</v>
      </c>
      <c r="V186" s="1159" t="s">
        <v>694</v>
      </c>
      <c r="W186" s="1166">
        <v>123300</v>
      </c>
      <c r="X186" s="1159" t="s">
        <v>664</v>
      </c>
      <c r="Y186" s="1167">
        <v>43511.63085648148</v>
      </c>
      <c r="Z186" s="1159" t="s">
        <v>618</v>
      </c>
      <c r="AA186" s="1167">
        <v>43841.858252314814</v>
      </c>
      <c r="AB186" s="1138">
        <f t="shared" si="2"/>
        <v>246600</v>
      </c>
    </row>
    <row r="187" spans="1:28" x14ac:dyDescent="0.25">
      <c r="A187" s="1150">
        <v>110122</v>
      </c>
      <c r="B187" s="1150" t="s">
        <v>907</v>
      </c>
      <c r="C187" s="1150" t="s">
        <v>918</v>
      </c>
      <c r="D187" s="1151">
        <v>43514</v>
      </c>
      <c r="E187" s="1152">
        <v>27920000</v>
      </c>
      <c r="F187" s="1150" t="s">
        <v>387</v>
      </c>
      <c r="G187" s="1153" t="s">
        <v>611</v>
      </c>
      <c r="H187" s="1154">
        <v>1341</v>
      </c>
      <c r="I187" s="1150" t="s">
        <v>612</v>
      </c>
      <c r="J187" s="1153" t="s">
        <v>14</v>
      </c>
      <c r="K187" s="1150" t="s">
        <v>849</v>
      </c>
      <c r="L187" s="1150" t="s">
        <v>909</v>
      </c>
      <c r="M187" s="1153" t="s">
        <v>14</v>
      </c>
      <c r="N187" s="1153" t="s">
        <v>661</v>
      </c>
      <c r="O187" s="1155">
        <v>62</v>
      </c>
      <c r="P187" s="1156"/>
      <c r="Q187" s="1155">
        <v>5</v>
      </c>
      <c r="R187" s="1150" t="s">
        <v>710</v>
      </c>
      <c r="S187" s="1150" t="s">
        <v>910</v>
      </c>
      <c r="T187" s="1150" t="s">
        <v>694</v>
      </c>
      <c r="U187" s="1157">
        <v>123300</v>
      </c>
      <c r="V187" s="1150" t="s">
        <v>694</v>
      </c>
      <c r="W187" s="1157">
        <v>123300</v>
      </c>
      <c r="X187" s="1150" t="s">
        <v>664</v>
      </c>
      <c r="Y187" s="1158">
        <v>43514.462175925924</v>
      </c>
      <c r="Z187" s="1150" t="s">
        <v>618</v>
      </c>
      <c r="AA187" s="1158">
        <v>43841.95427083333</v>
      </c>
      <c r="AB187" s="1138">
        <f t="shared" si="2"/>
        <v>246600</v>
      </c>
    </row>
    <row r="188" spans="1:28" x14ac:dyDescent="0.25">
      <c r="A188" s="1159">
        <v>110123</v>
      </c>
      <c r="B188" s="1159" t="s">
        <v>907</v>
      </c>
      <c r="C188" s="1159" t="s">
        <v>919</v>
      </c>
      <c r="D188" s="1160">
        <v>43514</v>
      </c>
      <c r="E188" s="1161">
        <v>28990000</v>
      </c>
      <c r="F188" s="1159" t="s">
        <v>387</v>
      </c>
      <c r="G188" s="1162" t="s">
        <v>611</v>
      </c>
      <c r="H188" s="1163">
        <v>1341</v>
      </c>
      <c r="I188" s="1159" t="s">
        <v>612</v>
      </c>
      <c r="J188" s="1162" t="s">
        <v>14</v>
      </c>
      <c r="K188" s="1159" t="s">
        <v>849</v>
      </c>
      <c r="L188" s="1159" t="s">
        <v>909</v>
      </c>
      <c r="M188" s="1162" t="s">
        <v>14</v>
      </c>
      <c r="N188" s="1162" t="s">
        <v>661</v>
      </c>
      <c r="O188" s="1164">
        <v>62</v>
      </c>
      <c r="P188" s="1165"/>
      <c r="Q188" s="1164">
        <v>5</v>
      </c>
      <c r="R188" s="1159" t="s">
        <v>710</v>
      </c>
      <c r="S188" s="1159" t="s">
        <v>910</v>
      </c>
      <c r="T188" s="1159" t="s">
        <v>694</v>
      </c>
      <c r="U188" s="1166">
        <v>123300</v>
      </c>
      <c r="V188" s="1159" t="s">
        <v>694</v>
      </c>
      <c r="W188" s="1166">
        <v>123300</v>
      </c>
      <c r="X188" s="1159" t="s">
        <v>664</v>
      </c>
      <c r="Y188" s="1167">
        <v>43514.48361111111</v>
      </c>
      <c r="Z188" s="1159" t="s">
        <v>618</v>
      </c>
      <c r="AA188" s="1167">
        <v>43841.95752314814</v>
      </c>
      <c r="AB188" s="1138">
        <f t="shared" si="2"/>
        <v>246600</v>
      </c>
    </row>
    <row r="189" ht="24" customHeight="1" spans="1:28" x14ac:dyDescent="0.25">
      <c r="A189" s="1150">
        <v>111006</v>
      </c>
      <c r="B189" s="1150" t="s">
        <v>907</v>
      </c>
      <c r="C189" s="1150" t="s">
        <v>920</v>
      </c>
      <c r="D189" s="1151">
        <v>43831</v>
      </c>
      <c r="E189" s="1152">
        <v>31840000</v>
      </c>
      <c r="F189" s="1150" t="s">
        <v>387</v>
      </c>
      <c r="G189" s="1153" t="s">
        <v>611</v>
      </c>
      <c r="H189" s="1154">
        <v>1341</v>
      </c>
      <c r="I189" s="1150" t="s">
        <v>612</v>
      </c>
      <c r="J189" s="1153" t="s">
        <v>14</v>
      </c>
      <c r="K189" s="1150" t="s">
        <v>849</v>
      </c>
      <c r="L189" s="1150" t="s">
        <v>909</v>
      </c>
      <c r="M189" s="1153" t="s">
        <v>14</v>
      </c>
      <c r="N189" s="1153" t="s">
        <v>661</v>
      </c>
      <c r="O189" s="1155">
        <v>62</v>
      </c>
      <c r="P189" s="1156"/>
      <c r="Q189" s="1155">
        <v>5</v>
      </c>
      <c r="R189" s="1150" t="s">
        <v>710</v>
      </c>
      <c r="S189" s="1150" t="s">
        <v>910</v>
      </c>
      <c r="T189" s="1150" t="s">
        <v>694</v>
      </c>
      <c r="U189" s="1157">
        <v>123300</v>
      </c>
      <c r="V189" s="1150" t="s">
        <v>694</v>
      </c>
      <c r="W189" s="1157">
        <v>123300</v>
      </c>
      <c r="X189" s="1150" t="s">
        <v>618</v>
      </c>
      <c r="Y189" s="1158">
        <v>43841.95908564815</v>
      </c>
      <c r="Z189" s="1150" t="s">
        <v>618</v>
      </c>
      <c r="AA189" s="1158">
        <v>43841.95966435185</v>
      </c>
      <c r="AB189" s="1138">
        <f t="shared" si="2"/>
        <v>246600</v>
      </c>
    </row>
    <row r="190" ht="24" customHeight="1" spans="1:28" x14ac:dyDescent="0.25">
      <c r="A190" s="1159">
        <v>110359</v>
      </c>
      <c r="B190" s="1159" t="s">
        <v>907</v>
      </c>
      <c r="C190" s="1159" t="s">
        <v>921</v>
      </c>
      <c r="D190" s="1160">
        <v>43663</v>
      </c>
      <c r="E190" s="1161">
        <v>29850000</v>
      </c>
      <c r="F190" s="1159" t="s">
        <v>387</v>
      </c>
      <c r="G190" s="1162" t="s">
        <v>611</v>
      </c>
      <c r="H190" s="1163">
        <v>1341</v>
      </c>
      <c r="I190" s="1159" t="s">
        <v>612</v>
      </c>
      <c r="J190" s="1162" t="s">
        <v>14</v>
      </c>
      <c r="K190" s="1159" t="s">
        <v>849</v>
      </c>
      <c r="L190" s="1159" t="s">
        <v>909</v>
      </c>
      <c r="M190" s="1162" t="s">
        <v>14</v>
      </c>
      <c r="N190" s="1162" t="s">
        <v>661</v>
      </c>
      <c r="O190" s="1164">
        <v>62</v>
      </c>
      <c r="P190" s="1165"/>
      <c r="Q190" s="1164">
        <v>5</v>
      </c>
      <c r="R190" s="1159" t="s">
        <v>710</v>
      </c>
      <c r="S190" s="1159" t="s">
        <v>910</v>
      </c>
      <c r="T190" s="1159" t="s">
        <v>694</v>
      </c>
      <c r="U190" s="1166">
        <v>123300</v>
      </c>
      <c r="V190" s="1159" t="s">
        <v>694</v>
      </c>
      <c r="W190" s="1166">
        <v>123300</v>
      </c>
      <c r="X190" s="1159" t="s">
        <v>618</v>
      </c>
      <c r="Y190" s="1167">
        <v>43663.00133101852</v>
      </c>
      <c r="Z190" s="1159" t="s">
        <v>618</v>
      </c>
      <c r="AA190" s="1167">
        <v>43841.962743055556</v>
      </c>
      <c r="AB190" s="1138">
        <f t="shared" si="2"/>
        <v>246600</v>
      </c>
    </row>
    <row r="191" ht="24" customHeight="1" spans="1:28" x14ac:dyDescent="0.25">
      <c r="A191" s="1150">
        <v>110360</v>
      </c>
      <c r="B191" s="1150" t="s">
        <v>907</v>
      </c>
      <c r="C191" s="1150" t="s">
        <v>922</v>
      </c>
      <c r="D191" s="1151">
        <v>43663</v>
      </c>
      <c r="E191" s="1152">
        <v>32700000</v>
      </c>
      <c r="F191" s="1150" t="s">
        <v>387</v>
      </c>
      <c r="G191" s="1153" t="s">
        <v>611</v>
      </c>
      <c r="H191" s="1154">
        <v>1341</v>
      </c>
      <c r="I191" s="1150" t="s">
        <v>612</v>
      </c>
      <c r="J191" s="1153" t="s">
        <v>14</v>
      </c>
      <c r="K191" s="1150" t="s">
        <v>849</v>
      </c>
      <c r="L191" s="1150" t="s">
        <v>909</v>
      </c>
      <c r="M191" s="1153" t="s">
        <v>14</v>
      </c>
      <c r="N191" s="1153" t="s">
        <v>661</v>
      </c>
      <c r="O191" s="1155">
        <v>62</v>
      </c>
      <c r="P191" s="1156"/>
      <c r="Q191" s="1155">
        <v>5</v>
      </c>
      <c r="R191" s="1150" t="s">
        <v>710</v>
      </c>
      <c r="S191" s="1150" t="s">
        <v>910</v>
      </c>
      <c r="T191" s="1150" t="s">
        <v>694</v>
      </c>
      <c r="U191" s="1157">
        <v>123300</v>
      </c>
      <c r="V191" s="1150" t="s">
        <v>694</v>
      </c>
      <c r="W191" s="1157">
        <v>123300</v>
      </c>
      <c r="X191" s="1150" t="s">
        <v>618</v>
      </c>
      <c r="Y191" s="1158">
        <v>43663.00262731481</v>
      </c>
      <c r="Z191" s="1150" t="s">
        <v>618</v>
      </c>
      <c r="AA191" s="1158">
        <v>43841.9633912037</v>
      </c>
      <c r="AB191" s="1138">
        <f t="shared" si="2"/>
        <v>246600</v>
      </c>
    </row>
    <row r="192" spans="1:28" x14ac:dyDescent="0.25">
      <c r="A192" s="1159">
        <v>110970</v>
      </c>
      <c r="B192" s="1159" t="s">
        <v>923</v>
      </c>
      <c r="C192" s="1159" t="s">
        <v>924</v>
      </c>
      <c r="D192" s="1160">
        <v>43831</v>
      </c>
      <c r="E192" s="1161">
        <v>12350000</v>
      </c>
      <c r="F192" s="1159" t="s">
        <v>404</v>
      </c>
      <c r="G192" s="1162" t="s">
        <v>611</v>
      </c>
      <c r="H192" s="1162">
        <v>998</v>
      </c>
      <c r="I192" s="1159" t="s">
        <v>612</v>
      </c>
      <c r="J192" s="1162" t="s">
        <v>14</v>
      </c>
      <c r="K192" s="1159" t="s">
        <v>76</v>
      </c>
      <c r="L192" s="1159" t="s">
        <v>923</v>
      </c>
      <c r="M192" s="1162" t="s">
        <v>14</v>
      </c>
      <c r="N192" s="1162" t="s">
        <v>473</v>
      </c>
      <c r="O192" s="1164">
        <v>37</v>
      </c>
      <c r="P192" s="1164">
        <v>0</v>
      </c>
      <c r="Q192" s="1164">
        <v>5</v>
      </c>
      <c r="R192" s="1159" t="s">
        <v>690</v>
      </c>
      <c r="S192" s="1159" t="s">
        <v>866</v>
      </c>
      <c r="T192" s="1159" t="s">
        <v>925</v>
      </c>
      <c r="U192" s="1166">
        <v>63000</v>
      </c>
      <c r="V192" s="1159" t="s">
        <v>925</v>
      </c>
      <c r="W192" s="1166">
        <v>63000</v>
      </c>
      <c r="X192" s="1159" t="s">
        <v>618</v>
      </c>
      <c r="Y192" s="1167">
        <v>43835.81542824074</v>
      </c>
      <c r="Z192" s="1159" t="s">
        <v>618</v>
      </c>
      <c r="AA192" s="1167">
        <v>43835.81743055556</v>
      </c>
      <c r="AB192" s="1138">
        <f t="shared" si="2"/>
        <v>126000</v>
      </c>
    </row>
    <row r="193" spans="1:28" x14ac:dyDescent="0.25">
      <c r="A193" s="1150">
        <v>110971</v>
      </c>
      <c r="B193" s="1150" t="s">
        <v>923</v>
      </c>
      <c r="C193" s="1150" t="s">
        <v>926</v>
      </c>
      <c r="D193" s="1151">
        <v>43831</v>
      </c>
      <c r="E193" s="1152">
        <v>14200000</v>
      </c>
      <c r="F193" s="1150" t="s">
        <v>404</v>
      </c>
      <c r="G193" s="1153" t="s">
        <v>611</v>
      </c>
      <c r="H193" s="1153">
        <v>998</v>
      </c>
      <c r="I193" s="1150" t="s">
        <v>612</v>
      </c>
      <c r="J193" s="1153" t="s">
        <v>14</v>
      </c>
      <c r="K193" s="1150" t="s">
        <v>76</v>
      </c>
      <c r="L193" s="1150" t="s">
        <v>923</v>
      </c>
      <c r="M193" s="1153" t="s">
        <v>14</v>
      </c>
      <c r="N193" s="1153" t="s">
        <v>473</v>
      </c>
      <c r="O193" s="1155">
        <v>37</v>
      </c>
      <c r="P193" s="1155">
        <v>0</v>
      </c>
      <c r="Q193" s="1155">
        <v>5</v>
      </c>
      <c r="R193" s="1150" t="s">
        <v>690</v>
      </c>
      <c r="S193" s="1150" t="s">
        <v>866</v>
      </c>
      <c r="T193" s="1150" t="s">
        <v>925</v>
      </c>
      <c r="U193" s="1157">
        <v>63000</v>
      </c>
      <c r="V193" s="1150" t="s">
        <v>925</v>
      </c>
      <c r="W193" s="1157">
        <v>63000</v>
      </c>
      <c r="X193" s="1150" t="s">
        <v>618</v>
      </c>
      <c r="Y193" s="1158">
        <v>43835.81821759259</v>
      </c>
      <c r="Z193" s="1150" t="s">
        <v>618</v>
      </c>
      <c r="AA193" s="1158">
        <v>43835.82462962963</v>
      </c>
      <c r="AB193" s="1138">
        <f t="shared" si="2"/>
        <v>126000</v>
      </c>
    </row>
    <row r="194" spans="1:28" x14ac:dyDescent="0.25">
      <c r="A194" s="1159">
        <v>110964</v>
      </c>
      <c r="B194" s="1159" t="s">
        <v>923</v>
      </c>
      <c r="C194" s="1159" t="s">
        <v>927</v>
      </c>
      <c r="D194" s="1160">
        <v>43831</v>
      </c>
      <c r="E194" s="1161">
        <v>11350000</v>
      </c>
      <c r="F194" s="1159" t="s">
        <v>387</v>
      </c>
      <c r="G194" s="1162" t="s">
        <v>611</v>
      </c>
      <c r="H194" s="1162">
        <v>998</v>
      </c>
      <c r="I194" s="1159" t="s">
        <v>612</v>
      </c>
      <c r="J194" s="1162" t="s">
        <v>14</v>
      </c>
      <c r="K194" s="1159" t="s">
        <v>76</v>
      </c>
      <c r="L194" s="1159" t="s">
        <v>923</v>
      </c>
      <c r="M194" s="1162" t="s">
        <v>14</v>
      </c>
      <c r="N194" s="1162" t="s">
        <v>473</v>
      </c>
      <c r="O194" s="1164">
        <v>35</v>
      </c>
      <c r="P194" s="1164">
        <v>0</v>
      </c>
      <c r="Q194" s="1164">
        <v>5</v>
      </c>
      <c r="R194" s="1159" t="s">
        <v>643</v>
      </c>
      <c r="S194" s="1159" t="s">
        <v>866</v>
      </c>
      <c r="T194" s="1159" t="s">
        <v>925</v>
      </c>
      <c r="U194" s="1166">
        <v>63000</v>
      </c>
      <c r="V194" s="1159" t="s">
        <v>925</v>
      </c>
      <c r="W194" s="1166">
        <v>63000</v>
      </c>
      <c r="X194" s="1159" t="s">
        <v>618</v>
      </c>
      <c r="Y194" s="1167">
        <v>43835.797743055555</v>
      </c>
      <c r="Z194" s="1159" t="s">
        <v>618</v>
      </c>
      <c r="AA194" s="1167">
        <v>43835.79800925926</v>
      </c>
      <c r="AB194" s="1138">
        <f t="shared" si="2"/>
        <v>126000</v>
      </c>
    </row>
    <row r="195" spans="1:28" x14ac:dyDescent="0.25">
      <c r="A195" s="1150">
        <v>110966</v>
      </c>
      <c r="B195" s="1150" t="s">
        <v>923</v>
      </c>
      <c r="C195" s="1150" t="s">
        <v>928</v>
      </c>
      <c r="D195" s="1151">
        <v>43831</v>
      </c>
      <c r="E195" s="1152">
        <v>13500000</v>
      </c>
      <c r="F195" s="1150" t="s">
        <v>387</v>
      </c>
      <c r="G195" s="1153" t="s">
        <v>611</v>
      </c>
      <c r="H195" s="1153">
        <v>998</v>
      </c>
      <c r="I195" s="1150" t="s">
        <v>612</v>
      </c>
      <c r="J195" s="1153" t="s">
        <v>14</v>
      </c>
      <c r="K195" s="1150" t="s">
        <v>76</v>
      </c>
      <c r="L195" s="1150" t="s">
        <v>923</v>
      </c>
      <c r="M195" s="1153" t="s">
        <v>14</v>
      </c>
      <c r="N195" s="1153" t="s">
        <v>473</v>
      </c>
      <c r="O195" s="1155">
        <v>35</v>
      </c>
      <c r="P195" s="1155">
        <v>0</v>
      </c>
      <c r="Q195" s="1155">
        <v>5</v>
      </c>
      <c r="R195" s="1150" t="s">
        <v>643</v>
      </c>
      <c r="S195" s="1150" t="s">
        <v>866</v>
      </c>
      <c r="T195" s="1150" t="s">
        <v>925</v>
      </c>
      <c r="U195" s="1157">
        <v>63000</v>
      </c>
      <c r="V195" s="1150" t="s">
        <v>925</v>
      </c>
      <c r="W195" s="1157">
        <v>63000</v>
      </c>
      <c r="X195" s="1150" t="s">
        <v>618</v>
      </c>
      <c r="Y195" s="1158">
        <v>43835.79980324074</v>
      </c>
      <c r="Z195" s="1150" t="s">
        <v>618</v>
      </c>
      <c r="AA195" s="1158">
        <v>43835.80320601852</v>
      </c>
      <c r="AB195" s="1138">
        <f t="shared" ref="AB195:AB258" si="3">W195*2</f>
        <v>126000</v>
      </c>
    </row>
    <row r="196" spans="1:28" x14ac:dyDescent="0.25">
      <c r="A196" s="1159">
        <v>110975</v>
      </c>
      <c r="B196" s="1159" t="s">
        <v>923</v>
      </c>
      <c r="C196" s="1159" t="s">
        <v>929</v>
      </c>
      <c r="D196" s="1160">
        <v>43831</v>
      </c>
      <c r="E196" s="1161">
        <v>11200000</v>
      </c>
      <c r="F196" s="1159" t="s">
        <v>387</v>
      </c>
      <c r="G196" s="1162" t="s">
        <v>611</v>
      </c>
      <c r="H196" s="1162">
        <v>998</v>
      </c>
      <c r="I196" s="1159" t="s">
        <v>612</v>
      </c>
      <c r="J196" s="1162" t="s">
        <v>14</v>
      </c>
      <c r="K196" s="1159" t="s">
        <v>76</v>
      </c>
      <c r="L196" s="1159" t="s">
        <v>923</v>
      </c>
      <c r="M196" s="1162" t="s">
        <v>14</v>
      </c>
      <c r="N196" s="1162" t="s">
        <v>473</v>
      </c>
      <c r="O196" s="1164">
        <v>35</v>
      </c>
      <c r="P196" s="1164">
        <v>0</v>
      </c>
      <c r="Q196" s="1164">
        <v>5</v>
      </c>
      <c r="R196" s="1159" t="s">
        <v>643</v>
      </c>
      <c r="S196" s="1159" t="s">
        <v>866</v>
      </c>
      <c r="T196" s="1159" t="s">
        <v>930</v>
      </c>
      <c r="U196" s="1166">
        <v>43900</v>
      </c>
      <c r="V196" s="1159" t="s">
        <v>930</v>
      </c>
      <c r="W196" s="1166">
        <v>43900</v>
      </c>
      <c r="X196" s="1159" t="s">
        <v>618</v>
      </c>
      <c r="Y196" s="1167">
        <v>43835.829317129625</v>
      </c>
      <c r="Z196" s="1159" t="s">
        <v>618</v>
      </c>
      <c r="AA196" s="1167">
        <v>43835.83159722222</v>
      </c>
      <c r="AB196" s="1138">
        <f t="shared" si="3"/>
        <v>87800</v>
      </c>
    </row>
    <row r="197" spans="1:28" x14ac:dyDescent="0.25">
      <c r="A197" s="1150">
        <v>110974</v>
      </c>
      <c r="B197" s="1150" t="s">
        <v>923</v>
      </c>
      <c r="C197" s="1150" t="s">
        <v>931</v>
      </c>
      <c r="D197" s="1151">
        <v>43831</v>
      </c>
      <c r="E197" s="1152">
        <v>10900000</v>
      </c>
      <c r="F197" s="1150" t="s">
        <v>387</v>
      </c>
      <c r="G197" s="1153" t="s">
        <v>611</v>
      </c>
      <c r="H197" s="1153">
        <v>998</v>
      </c>
      <c r="I197" s="1150" t="s">
        <v>612</v>
      </c>
      <c r="J197" s="1153" t="s">
        <v>14</v>
      </c>
      <c r="K197" s="1150" t="s">
        <v>76</v>
      </c>
      <c r="L197" s="1150" t="s">
        <v>923</v>
      </c>
      <c r="M197" s="1153" t="s">
        <v>14</v>
      </c>
      <c r="N197" s="1153" t="s">
        <v>473</v>
      </c>
      <c r="O197" s="1155">
        <v>35</v>
      </c>
      <c r="P197" s="1155">
        <v>0</v>
      </c>
      <c r="Q197" s="1155">
        <v>5</v>
      </c>
      <c r="R197" s="1150" t="s">
        <v>643</v>
      </c>
      <c r="S197" s="1150" t="s">
        <v>866</v>
      </c>
      <c r="T197" s="1150" t="s">
        <v>930</v>
      </c>
      <c r="U197" s="1157">
        <v>43900</v>
      </c>
      <c r="V197" s="1150" t="s">
        <v>930</v>
      </c>
      <c r="W197" s="1157">
        <v>43900</v>
      </c>
      <c r="X197" s="1150" t="s">
        <v>618</v>
      </c>
      <c r="Y197" s="1158">
        <v>43835.82733796297</v>
      </c>
      <c r="Z197" s="1150" t="s">
        <v>618</v>
      </c>
      <c r="AA197" s="1158">
        <v>43835.8297337963</v>
      </c>
      <c r="AB197" s="1138">
        <f t="shared" si="3"/>
        <v>87800</v>
      </c>
    </row>
    <row r="198" spans="1:28" x14ac:dyDescent="0.25">
      <c r="A198" s="1159">
        <v>110963</v>
      </c>
      <c r="B198" s="1159" t="s">
        <v>923</v>
      </c>
      <c r="C198" s="1159" t="s">
        <v>932</v>
      </c>
      <c r="D198" s="1160">
        <v>43831</v>
      </c>
      <c r="E198" s="1161">
        <v>10900000</v>
      </c>
      <c r="F198" s="1159" t="s">
        <v>387</v>
      </c>
      <c r="G198" s="1162" t="s">
        <v>611</v>
      </c>
      <c r="H198" s="1162">
        <v>998</v>
      </c>
      <c r="I198" s="1159" t="s">
        <v>612</v>
      </c>
      <c r="J198" s="1162" t="s">
        <v>14</v>
      </c>
      <c r="K198" s="1159" t="s">
        <v>76</v>
      </c>
      <c r="L198" s="1159" t="s">
        <v>923</v>
      </c>
      <c r="M198" s="1162" t="s">
        <v>14</v>
      </c>
      <c r="N198" s="1162" t="s">
        <v>473</v>
      </c>
      <c r="O198" s="1164">
        <v>35</v>
      </c>
      <c r="P198" s="1164">
        <v>0</v>
      </c>
      <c r="Q198" s="1164">
        <v>5</v>
      </c>
      <c r="R198" s="1159" t="s">
        <v>643</v>
      </c>
      <c r="S198" s="1159" t="s">
        <v>866</v>
      </c>
      <c r="T198" s="1159" t="s">
        <v>930</v>
      </c>
      <c r="U198" s="1166">
        <v>43900</v>
      </c>
      <c r="V198" s="1159" t="s">
        <v>930</v>
      </c>
      <c r="W198" s="1166">
        <v>43900</v>
      </c>
      <c r="X198" s="1159" t="s">
        <v>618</v>
      </c>
      <c r="Y198" s="1167">
        <v>43835.79567129629</v>
      </c>
      <c r="Z198" s="1159" t="s">
        <v>618</v>
      </c>
      <c r="AA198" s="1167">
        <v>43835.79664351852</v>
      </c>
      <c r="AB198" s="1138">
        <f t="shared" si="3"/>
        <v>87800</v>
      </c>
    </row>
    <row r="199" spans="1:28" x14ac:dyDescent="0.25">
      <c r="A199" s="1150">
        <v>110965</v>
      </c>
      <c r="B199" s="1150" t="s">
        <v>923</v>
      </c>
      <c r="C199" s="1150" t="s">
        <v>933</v>
      </c>
      <c r="D199" s="1151">
        <v>43831</v>
      </c>
      <c r="E199" s="1152">
        <v>12350000</v>
      </c>
      <c r="F199" s="1150" t="s">
        <v>387</v>
      </c>
      <c r="G199" s="1153" t="s">
        <v>611</v>
      </c>
      <c r="H199" s="1153">
        <v>998</v>
      </c>
      <c r="I199" s="1150" t="s">
        <v>612</v>
      </c>
      <c r="J199" s="1153" t="s">
        <v>14</v>
      </c>
      <c r="K199" s="1150" t="s">
        <v>76</v>
      </c>
      <c r="L199" s="1150" t="s">
        <v>923</v>
      </c>
      <c r="M199" s="1153" t="s">
        <v>14</v>
      </c>
      <c r="N199" s="1153" t="s">
        <v>473</v>
      </c>
      <c r="O199" s="1155">
        <v>35</v>
      </c>
      <c r="P199" s="1155">
        <v>0</v>
      </c>
      <c r="Q199" s="1155">
        <v>5</v>
      </c>
      <c r="R199" s="1150" t="s">
        <v>643</v>
      </c>
      <c r="S199" s="1150" t="s">
        <v>866</v>
      </c>
      <c r="T199" s="1150" t="s">
        <v>925</v>
      </c>
      <c r="U199" s="1157">
        <v>63000</v>
      </c>
      <c r="V199" s="1150" t="s">
        <v>925</v>
      </c>
      <c r="W199" s="1157">
        <v>63000</v>
      </c>
      <c r="X199" s="1150" t="s">
        <v>618</v>
      </c>
      <c r="Y199" s="1158">
        <v>43835.79895833333</v>
      </c>
      <c r="Z199" s="1150" t="s">
        <v>618</v>
      </c>
      <c r="AA199" s="1158">
        <v>43835.7993287037</v>
      </c>
      <c r="AB199" s="1138">
        <f t="shared" si="3"/>
        <v>126000</v>
      </c>
    </row>
    <row r="200" spans="1:28" x14ac:dyDescent="0.25">
      <c r="A200" s="1159">
        <v>110967</v>
      </c>
      <c r="B200" s="1159" t="s">
        <v>923</v>
      </c>
      <c r="C200" s="1159" t="s">
        <v>934</v>
      </c>
      <c r="D200" s="1160">
        <v>43831</v>
      </c>
      <c r="E200" s="1161">
        <v>14450000</v>
      </c>
      <c r="F200" s="1159" t="s">
        <v>387</v>
      </c>
      <c r="G200" s="1162" t="s">
        <v>611</v>
      </c>
      <c r="H200" s="1162">
        <v>998</v>
      </c>
      <c r="I200" s="1159" t="s">
        <v>612</v>
      </c>
      <c r="J200" s="1162" t="s">
        <v>14</v>
      </c>
      <c r="K200" s="1159" t="s">
        <v>76</v>
      </c>
      <c r="L200" s="1159" t="s">
        <v>923</v>
      </c>
      <c r="M200" s="1162" t="s">
        <v>14</v>
      </c>
      <c r="N200" s="1162" t="s">
        <v>473</v>
      </c>
      <c r="O200" s="1164">
        <v>35</v>
      </c>
      <c r="P200" s="1164">
        <v>0</v>
      </c>
      <c r="Q200" s="1164">
        <v>5</v>
      </c>
      <c r="R200" s="1159" t="s">
        <v>643</v>
      </c>
      <c r="S200" s="1159" t="s">
        <v>866</v>
      </c>
      <c r="T200" s="1159" t="s">
        <v>925</v>
      </c>
      <c r="U200" s="1166">
        <v>63000</v>
      </c>
      <c r="V200" s="1159" t="s">
        <v>925</v>
      </c>
      <c r="W200" s="1166">
        <v>63000</v>
      </c>
      <c r="X200" s="1159" t="s">
        <v>618</v>
      </c>
      <c r="Y200" s="1167">
        <v>43835.80700231482</v>
      </c>
      <c r="Z200" s="1159" t="s">
        <v>618</v>
      </c>
      <c r="AA200" s="1167">
        <v>43835.80715277778</v>
      </c>
      <c r="AB200" s="1138">
        <f t="shared" si="3"/>
        <v>126000</v>
      </c>
    </row>
    <row r="201" ht="24" customHeight="1" spans="1:28" x14ac:dyDescent="0.25">
      <c r="A201" s="1150">
        <v>110600</v>
      </c>
      <c r="B201" s="1150" t="s">
        <v>935</v>
      </c>
      <c r="C201" s="1150" t="s">
        <v>936</v>
      </c>
      <c r="D201" s="1151">
        <v>43724</v>
      </c>
      <c r="E201" s="1152">
        <v>51170000</v>
      </c>
      <c r="F201" s="1150" t="s">
        <v>610</v>
      </c>
      <c r="G201" s="1153" t="s">
        <v>611</v>
      </c>
      <c r="H201" s="1154">
        <v>2959</v>
      </c>
      <c r="I201" s="1150" t="s">
        <v>612</v>
      </c>
      <c r="J201" s="1153" t="s">
        <v>14</v>
      </c>
      <c r="K201" s="1150" t="s">
        <v>76</v>
      </c>
      <c r="L201" s="1150" t="s">
        <v>937</v>
      </c>
      <c r="M201" s="1153" t="s">
        <v>14</v>
      </c>
      <c r="N201" s="1153" t="s">
        <v>902</v>
      </c>
      <c r="O201" s="1155">
        <v>82</v>
      </c>
      <c r="P201" s="1155">
        <v>0</v>
      </c>
      <c r="Q201" s="1155">
        <v>5</v>
      </c>
      <c r="R201" s="1150" t="s">
        <v>690</v>
      </c>
      <c r="S201" s="1150" t="s">
        <v>648</v>
      </c>
      <c r="T201" s="1150" t="s">
        <v>938</v>
      </c>
      <c r="U201" s="1157">
        <v>280000</v>
      </c>
      <c r="V201" s="1150" t="s">
        <v>938</v>
      </c>
      <c r="W201" s="1157">
        <v>280000</v>
      </c>
      <c r="X201" s="1150" t="s">
        <v>618</v>
      </c>
      <c r="Y201" s="1158">
        <v>43724.696759259255</v>
      </c>
      <c r="Z201" s="1150" t="s">
        <v>618</v>
      </c>
      <c r="AA201" s="1158">
        <v>43897.805613425924</v>
      </c>
      <c r="AB201" s="1138">
        <f t="shared" si="3"/>
        <v>560000</v>
      </c>
    </row>
    <row r="202" ht="24" customHeight="1" spans="1:28" x14ac:dyDescent="0.25">
      <c r="A202" s="1159">
        <v>110601</v>
      </c>
      <c r="B202" s="1159" t="s">
        <v>935</v>
      </c>
      <c r="C202" s="1159" t="s">
        <v>939</v>
      </c>
      <c r="D202" s="1160">
        <v>43724</v>
      </c>
      <c r="E202" s="1161">
        <v>52120000</v>
      </c>
      <c r="F202" s="1159" t="s">
        <v>610</v>
      </c>
      <c r="G202" s="1162" t="s">
        <v>611</v>
      </c>
      <c r="H202" s="1163">
        <v>2959</v>
      </c>
      <c r="I202" s="1159" t="s">
        <v>612</v>
      </c>
      <c r="J202" s="1162" t="s">
        <v>14</v>
      </c>
      <c r="K202" s="1159" t="s">
        <v>76</v>
      </c>
      <c r="L202" s="1159" t="s">
        <v>937</v>
      </c>
      <c r="M202" s="1162" t="s">
        <v>14</v>
      </c>
      <c r="N202" s="1162" t="s">
        <v>902</v>
      </c>
      <c r="O202" s="1164">
        <v>82</v>
      </c>
      <c r="P202" s="1164">
        <v>0</v>
      </c>
      <c r="Q202" s="1164">
        <v>6</v>
      </c>
      <c r="R202" s="1159" t="s">
        <v>690</v>
      </c>
      <c r="S202" s="1159" t="s">
        <v>648</v>
      </c>
      <c r="T202" s="1159" t="s">
        <v>938</v>
      </c>
      <c r="U202" s="1166">
        <v>280000</v>
      </c>
      <c r="V202" s="1159" t="s">
        <v>938</v>
      </c>
      <c r="W202" s="1166">
        <v>280000</v>
      </c>
      <c r="X202" s="1159" t="s">
        <v>618</v>
      </c>
      <c r="Y202" s="1167">
        <v>43724.71413194445</v>
      </c>
      <c r="Z202" s="1159" t="s">
        <v>618</v>
      </c>
      <c r="AA202" s="1167">
        <v>43897.805810185186</v>
      </c>
      <c r="AB202" s="1138">
        <f t="shared" si="3"/>
        <v>560000</v>
      </c>
    </row>
    <row r="203" ht="24" customHeight="1" spans="1:28" x14ac:dyDescent="0.25">
      <c r="A203" s="1150">
        <v>110602</v>
      </c>
      <c r="B203" s="1150" t="s">
        <v>935</v>
      </c>
      <c r="C203" s="1150" t="s">
        <v>940</v>
      </c>
      <c r="D203" s="1151">
        <v>43724</v>
      </c>
      <c r="E203" s="1152">
        <v>51820000</v>
      </c>
      <c r="F203" s="1150" t="s">
        <v>610</v>
      </c>
      <c r="G203" s="1153" t="s">
        <v>611</v>
      </c>
      <c r="H203" s="1154">
        <v>2959</v>
      </c>
      <c r="I203" s="1150" t="s">
        <v>612</v>
      </c>
      <c r="J203" s="1153" t="s">
        <v>14</v>
      </c>
      <c r="K203" s="1150" t="s">
        <v>76</v>
      </c>
      <c r="L203" s="1150" t="s">
        <v>937</v>
      </c>
      <c r="M203" s="1153" t="s">
        <v>14</v>
      </c>
      <c r="N203" s="1153" t="s">
        <v>902</v>
      </c>
      <c r="O203" s="1155">
        <v>82</v>
      </c>
      <c r="P203" s="1155">
        <v>0</v>
      </c>
      <c r="Q203" s="1155">
        <v>7</v>
      </c>
      <c r="R203" s="1150" t="s">
        <v>690</v>
      </c>
      <c r="S203" s="1150" t="s">
        <v>648</v>
      </c>
      <c r="T203" s="1150" t="s">
        <v>938</v>
      </c>
      <c r="U203" s="1157">
        <v>280000</v>
      </c>
      <c r="V203" s="1150" t="s">
        <v>938</v>
      </c>
      <c r="W203" s="1157">
        <v>280000</v>
      </c>
      <c r="X203" s="1150" t="s">
        <v>618</v>
      </c>
      <c r="Y203" s="1158">
        <v>43724.71475694445</v>
      </c>
      <c r="Z203" s="1150" t="s">
        <v>618</v>
      </c>
      <c r="AA203" s="1158">
        <v>43897.80601851852</v>
      </c>
      <c r="AB203" s="1138">
        <f t="shared" si="3"/>
        <v>560000</v>
      </c>
    </row>
    <row r="204" ht="24" customHeight="1" spans="1:28" x14ac:dyDescent="0.25">
      <c r="A204" s="1159">
        <v>110597</v>
      </c>
      <c r="B204" s="1159" t="s">
        <v>935</v>
      </c>
      <c r="C204" s="1159" t="s">
        <v>941</v>
      </c>
      <c r="D204" s="1160">
        <v>43724</v>
      </c>
      <c r="E204" s="1161">
        <v>46470000</v>
      </c>
      <c r="F204" s="1159" t="s">
        <v>610</v>
      </c>
      <c r="G204" s="1162" t="s">
        <v>611</v>
      </c>
      <c r="H204" s="1163">
        <v>2959</v>
      </c>
      <c r="I204" s="1159" t="s">
        <v>612</v>
      </c>
      <c r="J204" s="1162" t="s">
        <v>14</v>
      </c>
      <c r="K204" s="1159" t="s">
        <v>76</v>
      </c>
      <c r="L204" s="1159" t="s">
        <v>937</v>
      </c>
      <c r="M204" s="1162" t="s">
        <v>14</v>
      </c>
      <c r="N204" s="1162" t="s">
        <v>902</v>
      </c>
      <c r="O204" s="1164">
        <v>82</v>
      </c>
      <c r="P204" s="1164">
        <v>0</v>
      </c>
      <c r="Q204" s="1164">
        <v>5</v>
      </c>
      <c r="R204" s="1159" t="s">
        <v>690</v>
      </c>
      <c r="S204" s="1159" t="s">
        <v>648</v>
      </c>
      <c r="T204" s="1159" t="s">
        <v>942</v>
      </c>
      <c r="U204" s="1166">
        <v>184500</v>
      </c>
      <c r="V204" s="1159" t="s">
        <v>942</v>
      </c>
      <c r="W204" s="1166">
        <v>184500</v>
      </c>
      <c r="X204" s="1159" t="s">
        <v>618</v>
      </c>
      <c r="Y204" s="1167">
        <v>43724.65957175926</v>
      </c>
      <c r="Z204" s="1159" t="s">
        <v>618</v>
      </c>
      <c r="AA204" s="1167">
        <v>43897.804872685185</v>
      </c>
      <c r="AB204" s="1138">
        <f t="shared" si="3"/>
        <v>369000</v>
      </c>
    </row>
    <row r="205" ht="24" customHeight="1" spans="1:28" x14ac:dyDescent="0.25">
      <c r="A205" s="1150">
        <v>110598</v>
      </c>
      <c r="B205" s="1150" t="s">
        <v>935</v>
      </c>
      <c r="C205" s="1150" t="s">
        <v>943</v>
      </c>
      <c r="D205" s="1151">
        <v>43724</v>
      </c>
      <c r="E205" s="1152">
        <v>47420000</v>
      </c>
      <c r="F205" s="1150" t="s">
        <v>610</v>
      </c>
      <c r="G205" s="1153" t="s">
        <v>611</v>
      </c>
      <c r="H205" s="1154">
        <v>2959</v>
      </c>
      <c r="I205" s="1150" t="s">
        <v>612</v>
      </c>
      <c r="J205" s="1153" t="s">
        <v>14</v>
      </c>
      <c r="K205" s="1150" t="s">
        <v>76</v>
      </c>
      <c r="L205" s="1150" t="s">
        <v>937</v>
      </c>
      <c r="M205" s="1153" t="s">
        <v>14</v>
      </c>
      <c r="N205" s="1153" t="s">
        <v>902</v>
      </c>
      <c r="O205" s="1155">
        <v>82</v>
      </c>
      <c r="P205" s="1155">
        <v>0</v>
      </c>
      <c r="Q205" s="1155">
        <v>6</v>
      </c>
      <c r="R205" s="1150" t="s">
        <v>690</v>
      </c>
      <c r="S205" s="1150" t="s">
        <v>648</v>
      </c>
      <c r="T205" s="1150" t="s">
        <v>942</v>
      </c>
      <c r="U205" s="1157">
        <v>184500</v>
      </c>
      <c r="V205" s="1150" t="s">
        <v>942</v>
      </c>
      <c r="W205" s="1157">
        <v>184500</v>
      </c>
      <c r="X205" s="1150" t="s">
        <v>618</v>
      </c>
      <c r="Y205" s="1158">
        <v>43724.69331018519</v>
      </c>
      <c r="Z205" s="1150" t="s">
        <v>618</v>
      </c>
      <c r="AA205" s="1158">
        <v>43897.80519675926</v>
      </c>
      <c r="AB205" s="1138">
        <f t="shared" si="3"/>
        <v>369000</v>
      </c>
    </row>
    <row r="206" ht="24" customHeight="1" spans="1:28" x14ac:dyDescent="0.25">
      <c r="A206" s="1159">
        <v>110599</v>
      </c>
      <c r="B206" s="1159" t="s">
        <v>935</v>
      </c>
      <c r="C206" s="1159" t="s">
        <v>944</v>
      </c>
      <c r="D206" s="1160">
        <v>43724</v>
      </c>
      <c r="E206" s="1161">
        <v>47120000</v>
      </c>
      <c r="F206" s="1159" t="s">
        <v>610</v>
      </c>
      <c r="G206" s="1162" t="s">
        <v>611</v>
      </c>
      <c r="H206" s="1163">
        <v>2959</v>
      </c>
      <c r="I206" s="1159" t="s">
        <v>612</v>
      </c>
      <c r="J206" s="1162" t="s">
        <v>14</v>
      </c>
      <c r="K206" s="1159" t="s">
        <v>76</v>
      </c>
      <c r="L206" s="1159" t="s">
        <v>937</v>
      </c>
      <c r="M206" s="1162" t="s">
        <v>14</v>
      </c>
      <c r="N206" s="1162" t="s">
        <v>902</v>
      </c>
      <c r="O206" s="1164">
        <v>82</v>
      </c>
      <c r="P206" s="1164">
        <v>0</v>
      </c>
      <c r="Q206" s="1164">
        <v>7</v>
      </c>
      <c r="R206" s="1159" t="s">
        <v>690</v>
      </c>
      <c r="S206" s="1159" t="s">
        <v>648</v>
      </c>
      <c r="T206" s="1159" t="s">
        <v>942</v>
      </c>
      <c r="U206" s="1166">
        <v>184500</v>
      </c>
      <c r="V206" s="1159" t="s">
        <v>942</v>
      </c>
      <c r="W206" s="1166">
        <v>184500</v>
      </c>
      <c r="X206" s="1159" t="s">
        <v>618</v>
      </c>
      <c r="Y206" s="1167">
        <v>43724.695231481484</v>
      </c>
      <c r="Z206" s="1159" t="s">
        <v>618</v>
      </c>
      <c r="AA206" s="1167">
        <v>43897.80535879629</v>
      </c>
      <c r="AB206" s="1138">
        <f t="shared" si="3"/>
        <v>369000</v>
      </c>
    </row>
    <row r="207" spans="1:28" x14ac:dyDescent="0.25">
      <c r="A207" s="1150">
        <v>110372</v>
      </c>
      <c r="B207" s="1150" t="s">
        <v>945</v>
      </c>
      <c r="C207" s="1150" t="s">
        <v>946</v>
      </c>
      <c r="D207" s="1151">
        <v>43663</v>
      </c>
      <c r="E207" s="1152">
        <v>20580000</v>
      </c>
      <c r="F207" s="1150" t="s">
        <v>387</v>
      </c>
      <c r="G207" s="1153" t="s">
        <v>611</v>
      </c>
      <c r="H207" s="1154">
        <v>1598</v>
      </c>
      <c r="I207" s="1150" t="s">
        <v>612</v>
      </c>
      <c r="J207" s="1153" t="s">
        <v>14</v>
      </c>
      <c r="K207" s="1150" t="s">
        <v>18</v>
      </c>
      <c r="L207" s="1150" t="s">
        <v>945</v>
      </c>
      <c r="M207" s="1153" t="s">
        <v>14</v>
      </c>
      <c r="N207" s="1153" t="s">
        <v>410</v>
      </c>
      <c r="O207" s="1155">
        <v>45</v>
      </c>
      <c r="P207" s="1156"/>
      <c r="Q207" s="1155">
        <v>5</v>
      </c>
      <c r="R207" s="1150" t="s">
        <v>710</v>
      </c>
      <c r="S207" s="1150" t="s">
        <v>625</v>
      </c>
      <c r="T207" s="1150" t="s">
        <v>947</v>
      </c>
      <c r="U207" s="1157">
        <v>130000</v>
      </c>
      <c r="V207" s="1150" t="s">
        <v>947</v>
      </c>
      <c r="W207" s="1157">
        <v>130000</v>
      </c>
      <c r="X207" s="1150" t="s">
        <v>618</v>
      </c>
      <c r="Y207" s="1158">
        <v>43663.545219907406</v>
      </c>
      <c r="Z207" s="1150" t="s">
        <v>618</v>
      </c>
      <c r="AA207" s="1158">
        <v>43900.553506944445</v>
      </c>
      <c r="AB207" s="1138">
        <f t="shared" si="3"/>
        <v>260000</v>
      </c>
    </row>
    <row r="208" spans="1:28" x14ac:dyDescent="0.25">
      <c r="A208" s="1159">
        <v>110371</v>
      </c>
      <c r="B208" s="1159" t="s">
        <v>945</v>
      </c>
      <c r="C208" s="1159" t="s">
        <v>948</v>
      </c>
      <c r="D208" s="1160">
        <v>43663</v>
      </c>
      <c r="E208" s="1161">
        <v>17550000</v>
      </c>
      <c r="F208" s="1159" t="s">
        <v>387</v>
      </c>
      <c r="G208" s="1162" t="s">
        <v>611</v>
      </c>
      <c r="H208" s="1163">
        <v>1598</v>
      </c>
      <c r="I208" s="1159" t="s">
        <v>612</v>
      </c>
      <c r="J208" s="1162" t="s">
        <v>14</v>
      </c>
      <c r="K208" s="1159" t="s">
        <v>18</v>
      </c>
      <c r="L208" s="1159" t="s">
        <v>945</v>
      </c>
      <c r="M208" s="1162" t="s">
        <v>14</v>
      </c>
      <c r="N208" s="1162" t="s">
        <v>410</v>
      </c>
      <c r="O208" s="1164">
        <v>45</v>
      </c>
      <c r="P208" s="1165"/>
      <c r="Q208" s="1164">
        <v>5</v>
      </c>
      <c r="R208" s="1159" t="s">
        <v>710</v>
      </c>
      <c r="S208" s="1159" t="s">
        <v>625</v>
      </c>
      <c r="T208" s="1159" t="s">
        <v>949</v>
      </c>
      <c r="U208" s="1166">
        <v>90000</v>
      </c>
      <c r="V208" s="1159" t="s">
        <v>949</v>
      </c>
      <c r="W208" s="1166">
        <v>90000</v>
      </c>
      <c r="X208" s="1159" t="s">
        <v>618</v>
      </c>
      <c r="Y208" s="1167">
        <v>43663.48594907408</v>
      </c>
      <c r="Z208" s="1159" t="s">
        <v>618</v>
      </c>
      <c r="AA208" s="1167">
        <v>43900.55335648148</v>
      </c>
      <c r="AB208" s="1138">
        <f t="shared" si="3"/>
        <v>180000</v>
      </c>
    </row>
    <row r="209" spans="1:28" x14ac:dyDescent="0.25">
      <c r="A209" s="1150">
        <v>110370</v>
      </c>
      <c r="B209" s="1150" t="s">
        <v>945</v>
      </c>
      <c r="C209" s="1150" t="s">
        <v>950</v>
      </c>
      <c r="D209" s="1151">
        <v>43663</v>
      </c>
      <c r="E209" s="1152">
        <v>15860000</v>
      </c>
      <c r="F209" s="1150" t="s">
        <v>387</v>
      </c>
      <c r="G209" s="1153" t="s">
        <v>611</v>
      </c>
      <c r="H209" s="1154">
        <v>1598</v>
      </c>
      <c r="I209" s="1150" t="s">
        <v>612</v>
      </c>
      <c r="J209" s="1153" t="s">
        <v>14</v>
      </c>
      <c r="K209" s="1150" t="s">
        <v>18</v>
      </c>
      <c r="L209" s="1150" t="s">
        <v>945</v>
      </c>
      <c r="M209" s="1153" t="s">
        <v>14</v>
      </c>
      <c r="N209" s="1153" t="s">
        <v>410</v>
      </c>
      <c r="O209" s="1155">
        <v>45</v>
      </c>
      <c r="P209" s="1156"/>
      <c r="Q209" s="1155">
        <v>5</v>
      </c>
      <c r="R209" s="1150" t="s">
        <v>710</v>
      </c>
      <c r="S209" s="1150" t="s">
        <v>625</v>
      </c>
      <c r="T209" s="1150" t="s">
        <v>949</v>
      </c>
      <c r="U209" s="1157">
        <v>90000</v>
      </c>
      <c r="V209" s="1150" t="s">
        <v>949</v>
      </c>
      <c r="W209" s="1157">
        <v>90000</v>
      </c>
      <c r="X209" s="1150" t="s">
        <v>618</v>
      </c>
      <c r="Y209" s="1158">
        <v>43663.40908564815</v>
      </c>
      <c r="Z209" s="1150" t="s">
        <v>618</v>
      </c>
      <c r="AA209" s="1158">
        <v>43900.54708333334</v>
      </c>
      <c r="AB209" s="1138">
        <f t="shared" si="3"/>
        <v>180000</v>
      </c>
    </row>
    <row r="210" spans="1:28" x14ac:dyDescent="0.25">
      <c r="A210" s="1159">
        <v>100991</v>
      </c>
      <c r="B210" s="1159" t="s">
        <v>951</v>
      </c>
      <c r="C210" s="1159" t="s">
        <v>952</v>
      </c>
      <c r="D210" s="1160">
        <v>41802</v>
      </c>
      <c r="E210" s="1161">
        <v>37920000</v>
      </c>
      <c r="F210" s="1159" t="s">
        <v>610</v>
      </c>
      <c r="G210" s="1162" t="s">
        <v>611</v>
      </c>
      <c r="H210" s="1163">
        <v>2959</v>
      </c>
      <c r="I210" s="1159" t="s">
        <v>612</v>
      </c>
      <c r="J210" s="1162" t="s">
        <v>14</v>
      </c>
      <c r="K210" s="1159" t="s">
        <v>18</v>
      </c>
      <c r="L210" s="1159" t="s">
        <v>951</v>
      </c>
      <c r="M210" s="1162" t="s">
        <v>14</v>
      </c>
      <c r="N210" s="1162" t="s">
        <v>902</v>
      </c>
      <c r="O210" s="1164">
        <v>78</v>
      </c>
      <c r="P210" s="1164">
        <v>0</v>
      </c>
      <c r="Q210" s="1164">
        <v>7</v>
      </c>
      <c r="R210" s="1159" t="s">
        <v>624</v>
      </c>
      <c r="S210" s="1159" t="s">
        <v>625</v>
      </c>
      <c r="T210" s="1159" t="s">
        <v>953</v>
      </c>
      <c r="U210" s="1166">
        <v>184800</v>
      </c>
      <c r="V210" s="1159" t="s">
        <v>953</v>
      </c>
      <c r="W210" s="1166">
        <v>184800</v>
      </c>
      <c r="X210" s="1159" t="s">
        <v>634</v>
      </c>
      <c r="Y210" s="1167">
        <v>41802.62170138889</v>
      </c>
      <c r="Z210" s="1159" t="s">
        <v>635</v>
      </c>
      <c r="AA210" s="1167">
        <v>42010.72457175926</v>
      </c>
      <c r="AB210" s="1138">
        <f t="shared" si="3"/>
        <v>369600</v>
      </c>
    </row>
    <row r="211" spans="1:28" x14ac:dyDescent="0.25">
      <c r="A211" s="1150">
        <v>100992</v>
      </c>
      <c r="B211" s="1150" t="s">
        <v>951</v>
      </c>
      <c r="C211" s="1150" t="s">
        <v>954</v>
      </c>
      <c r="D211" s="1151">
        <v>41802</v>
      </c>
      <c r="E211" s="1152">
        <v>39460000</v>
      </c>
      <c r="F211" s="1150" t="s">
        <v>610</v>
      </c>
      <c r="G211" s="1153" t="s">
        <v>611</v>
      </c>
      <c r="H211" s="1154">
        <v>2959</v>
      </c>
      <c r="I211" s="1150" t="s">
        <v>612</v>
      </c>
      <c r="J211" s="1153" t="s">
        <v>14</v>
      </c>
      <c r="K211" s="1150" t="s">
        <v>18</v>
      </c>
      <c r="L211" s="1150" t="s">
        <v>951</v>
      </c>
      <c r="M211" s="1153" t="s">
        <v>14</v>
      </c>
      <c r="N211" s="1153" t="s">
        <v>902</v>
      </c>
      <c r="O211" s="1155">
        <v>78</v>
      </c>
      <c r="P211" s="1155">
        <v>0</v>
      </c>
      <c r="Q211" s="1155">
        <v>7</v>
      </c>
      <c r="R211" s="1150" t="s">
        <v>624</v>
      </c>
      <c r="S211" s="1150" t="s">
        <v>625</v>
      </c>
      <c r="T211" s="1150" t="s">
        <v>953</v>
      </c>
      <c r="U211" s="1157">
        <v>184800</v>
      </c>
      <c r="V211" s="1150" t="s">
        <v>953</v>
      </c>
      <c r="W211" s="1157">
        <v>184800</v>
      </c>
      <c r="X211" s="1150" t="s">
        <v>634</v>
      </c>
      <c r="Y211" s="1158">
        <v>41802.62228009259</v>
      </c>
      <c r="Z211" s="1150" t="s">
        <v>776</v>
      </c>
      <c r="AA211" s="1158">
        <v>41883.46487268519</v>
      </c>
      <c r="AB211" s="1138">
        <f t="shared" si="3"/>
        <v>369600</v>
      </c>
    </row>
    <row r="212" spans="1:28" x14ac:dyDescent="0.25">
      <c r="A212" s="1159">
        <v>106806</v>
      </c>
      <c r="B212" s="1159" t="s">
        <v>951</v>
      </c>
      <c r="C212" s="1159" t="s">
        <v>955</v>
      </c>
      <c r="D212" s="1160">
        <v>41885</v>
      </c>
      <c r="E212" s="1161">
        <v>37920000</v>
      </c>
      <c r="F212" s="1159" t="s">
        <v>610</v>
      </c>
      <c r="G212" s="1162" t="s">
        <v>611</v>
      </c>
      <c r="H212" s="1163">
        <v>2959</v>
      </c>
      <c r="I212" s="1159" t="s">
        <v>612</v>
      </c>
      <c r="J212" s="1162" t="s">
        <v>14</v>
      </c>
      <c r="K212" s="1159" t="s">
        <v>18</v>
      </c>
      <c r="L212" s="1159" t="s">
        <v>951</v>
      </c>
      <c r="M212" s="1162" t="s">
        <v>14</v>
      </c>
      <c r="N212" s="1162" t="s">
        <v>902</v>
      </c>
      <c r="O212" s="1164">
        <v>78</v>
      </c>
      <c r="P212" s="1164">
        <v>0</v>
      </c>
      <c r="Q212" s="1164">
        <v>7</v>
      </c>
      <c r="R212" s="1159" t="s">
        <v>624</v>
      </c>
      <c r="S212" s="1159" t="s">
        <v>625</v>
      </c>
      <c r="T212" s="1159" t="s">
        <v>953</v>
      </c>
      <c r="U212" s="1166">
        <v>184800</v>
      </c>
      <c r="V212" s="1159" t="s">
        <v>953</v>
      </c>
      <c r="W212" s="1166">
        <v>184800</v>
      </c>
      <c r="X212" s="1159" t="s">
        <v>776</v>
      </c>
      <c r="Y212" s="1167">
        <v>41885.55013888889</v>
      </c>
      <c r="Z212" s="1159" t="s">
        <v>635</v>
      </c>
      <c r="AA212" s="1167">
        <v>42010.72769675926</v>
      </c>
      <c r="AB212" s="1138">
        <f t="shared" si="3"/>
        <v>369600</v>
      </c>
    </row>
    <row r="213" spans="1:28" x14ac:dyDescent="0.25">
      <c r="A213" s="1150">
        <v>106807</v>
      </c>
      <c r="B213" s="1150" t="s">
        <v>951</v>
      </c>
      <c r="C213" s="1150" t="s">
        <v>956</v>
      </c>
      <c r="D213" s="1151">
        <v>41885</v>
      </c>
      <c r="E213" s="1152">
        <v>38980000</v>
      </c>
      <c r="F213" s="1150" t="s">
        <v>610</v>
      </c>
      <c r="G213" s="1153" t="s">
        <v>611</v>
      </c>
      <c r="H213" s="1154">
        <v>2959</v>
      </c>
      <c r="I213" s="1150" t="s">
        <v>612</v>
      </c>
      <c r="J213" s="1153" t="s">
        <v>14</v>
      </c>
      <c r="K213" s="1150" t="s">
        <v>18</v>
      </c>
      <c r="L213" s="1150" t="s">
        <v>951</v>
      </c>
      <c r="M213" s="1153" t="s">
        <v>14</v>
      </c>
      <c r="N213" s="1153" t="s">
        <v>902</v>
      </c>
      <c r="O213" s="1155">
        <v>78</v>
      </c>
      <c r="P213" s="1155">
        <v>0</v>
      </c>
      <c r="Q213" s="1155">
        <v>7</v>
      </c>
      <c r="R213" s="1150" t="s">
        <v>624</v>
      </c>
      <c r="S213" s="1150" t="s">
        <v>625</v>
      </c>
      <c r="T213" s="1150" t="s">
        <v>953</v>
      </c>
      <c r="U213" s="1157">
        <v>184800</v>
      </c>
      <c r="V213" s="1150" t="s">
        <v>953</v>
      </c>
      <c r="W213" s="1157">
        <v>184800</v>
      </c>
      <c r="X213" s="1150" t="s">
        <v>776</v>
      </c>
      <c r="Y213" s="1158">
        <v>41885.55074074074</v>
      </c>
      <c r="Z213" s="1150" t="s">
        <v>635</v>
      </c>
      <c r="AA213" s="1158">
        <v>42010.727858796294</v>
      </c>
      <c r="AB213" s="1138">
        <f t="shared" si="3"/>
        <v>369600</v>
      </c>
    </row>
    <row r="214" spans="1:28" x14ac:dyDescent="0.25">
      <c r="A214" s="1159">
        <v>110280</v>
      </c>
      <c r="B214" s="1159" t="s">
        <v>957</v>
      </c>
      <c r="C214" s="1159" t="s">
        <v>958</v>
      </c>
      <c r="D214" s="1160">
        <v>43595</v>
      </c>
      <c r="E214" s="1161">
        <v>20440000</v>
      </c>
      <c r="F214" s="1159" t="s">
        <v>387</v>
      </c>
      <c r="G214" s="1162" t="s">
        <v>611</v>
      </c>
      <c r="H214" s="1163">
        <v>1353</v>
      </c>
      <c r="I214" s="1159" t="s">
        <v>612</v>
      </c>
      <c r="J214" s="1162" t="s">
        <v>14</v>
      </c>
      <c r="K214" s="1159" t="s">
        <v>18</v>
      </c>
      <c r="L214" s="1159" t="s">
        <v>957</v>
      </c>
      <c r="M214" s="1162" t="s">
        <v>14</v>
      </c>
      <c r="N214" s="1162" t="s">
        <v>623</v>
      </c>
      <c r="O214" s="1164">
        <v>50</v>
      </c>
      <c r="P214" s="1165"/>
      <c r="Q214" s="1164">
        <v>5</v>
      </c>
      <c r="R214" s="1159" t="s">
        <v>632</v>
      </c>
      <c r="S214" s="1159" t="s">
        <v>625</v>
      </c>
      <c r="T214" s="1159" t="s">
        <v>959</v>
      </c>
      <c r="U214" s="1166">
        <v>119300</v>
      </c>
      <c r="V214" s="1159" t="s">
        <v>959</v>
      </c>
      <c r="W214" s="1166">
        <v>119300</v>
      </c>
      <c r="X214" s="1159" t="s">
        <v>618</v>
      </c>
      <c r="Y214" s="1167">
        <v>43595.49590277778</v>
      </c>
      <c r="Z214" s="1159" t="s">
        <v>618</v>
      </c>
      <c r="AA214" s="1167">
        <v>43900.54188657408</v>
      </c>
      <c r="AB214" s="1138">
        <f t="shared" si="3"/>
        <v>238600</v>
      </c>
    </row>
    <row r="215" spans="1:28" x14ac:dyDescent="0.25">
      <c r="A215" s="1150">
        <v>110767</v>
      </c>
      <c r="B215" s="1150" t="s">
        <v>957</v>
      </c>
      <c r="C215" s="1150" t="s">
        <v>960</v>
      </c>
      <c r="D215" s="1151">
        <v>43763</v>
      </c>
      <c r="E215" s="1152">
        <v>22390000</v>
      </c>
      <c r="F215" s="1150" t="s">
        <v>387</v>
      </c>
      <c r="G215" s="1153" t="s">
        <v>611</v>
      </c>
      <c r="H215" s="1154">
        <v>1353</v>
      </c>
      <c r="I215" s="1150" t="s">
        <v>612</v>
      </c>
      <c r="J215" s="1153" t="s">
        <v>14</v>
      </c>
      <c r="K215" s="1150" t="s">
        <v>18</v>
      </c>
      <c r="L215" s="1150" t="s">
        <v>957</v>
      </c>
      <c r="M215" s="1153" t="s">
        <v>14</v>
      </c>
      <c r="N215" s="1153" t="s">
        <v>623</v>
      </c>
      <c r="O215" s="1155">
        <v>50</v>
      </c>
      <c r="P215" s="1156"/>
      <c r="Q215" s="1155">
        <v>5</v>
      </c>
      <c r="R215" s="1150" t="s">
        <v>632</v>
      </c>
      <c r="S215" s="1150" t="s">
        <v>625</v>
      </c>
      <c r="T215" s="1150" t="s">
        <v>959</v>
      </c>
      <c r="U215" s="1157">
        <v>119300</v>
      </c>
      <c r="V215" s="1150" t="s">
        <v>959</v>
      </c>
      <c r="W215" s="1157">
        <v>119300</v>
      </c>
      <c r="X215" s="1150" t="s">
        <v>618</v>
      </c>
      <c r="Y215" s="1158">
        <v>43763.5796412037</v>
      </c>
      <c r="Z215" s="1150" t="s">
        <v>618</v>
      </c>
      <c r="AA215" s="1158">
        <v>43900.54203703704</v>
      </c>
      <c r="AB215" s="1138">
        <f t="shared" si="3"/>
        <v>238600</v>
      </c>
    </row>
    <row r="216" ht="24" customHeight="1" spans="1:28" x14ac:dyDescent="0.25">
      <c r="A216" s="1159">
        <v>111047</v>
      </c>
      <c r="B216" s="1159" t="s">
        <v>957</v>
      </c>
      <c r="C216" s="1159" t="s">
        <v>961</v>
      </c>
      <c r="D216" s="1160">
        <v>43831</v>
      </c>
      <c r="E216" s="1161">
        <v>25680000</v>
      </c>
      <c r="F216" s="1159" t="s">
        <v>387</v>
      </c>
      <c r="G216" s="1162" t="s">
        <v>848</v>
      </c>
      <c r="H216" s="1163">
        <v>1591</v>
      </c>
      <c r="I216" s="1159" t="s">
        <v>629</v>
      </c>
      <c r="J216" s="1162" t="s">
        <v>14</v>
      </c>
      <c r="K216" s="1159" t="s">
        <v>18</v>
      </c>
      <c r="L216" s="1159" t="s">
        <v>957</v>
      </c>
      <c r="M216" s="1162" t="s">
        <v>14</v>
      </c>
      <c r="N216" s="1162" t="s">
        <v>623</v>
      </c>
      <c r="O216" s="1164">
        <v>50</v>
      </c>
      <c r="P216" s="1164">
        <v>0</v>
      </c>
      <c r="Q216" s="1164">
        <v>5</v>
      </c>
      <c r="R216" s="1159" t="s">
        <v>643</v>
      </c>
      <c r="S216" s="1159" t="s">
        <v>625</v>
      </c>
      <c r="T216" s="1159" t="s">
        <v>962</v>
      </c>
      <c r="U216" s="1166">
        <v>150000</v>
      </c>
      <c r="V216" s="1159" t="s">
        <v>962</v>
      </c>
      <c r="W216" s="1166">
        <v>150000</v>
      </c>
      <c r="X216" s="1159" t="s">
        <v>618</v>
      </c>
      <c r="Y216" s="1167">
        <v>43847.90292824074</v>
      </c>
      <c r="Z216" s="1159" t="s">
        <v>618</v>
      </c>
      <c r="AA216" s="1167">
        <v>43900.54325231482</v>
      </c>
      <c r="AB216" s="1138">
        <f t="shared" si="3"/>
        <v>300000</v>
      </c>
    </row>
    <row r="217" spans="1:28" x14ac:dyDescent="0.25">
      <c r="A217" s="1150">
        <v>110770</v>
      </c>
      <c r="B217" s="1150" t="s">
        <v>957</v>
      </c>
      <c r="C217" s="1150" t="s">
        <v>963</v>
      </c>
      <c r="D217" s="1151">
        <v>43763</v>
      </c>
      <c r="E217" s="1152">
        <v>21060000</v>
      </c>
      <c r="F217" s="1150" t="s">
        <v>387</v>
      </c>
      <c r="G217" s="1153" t="s">
        <v>848</v>
      </c>
      <c r="H217" s="1154">
        <v>1591</v>
      </c>
      <c r="I217" s="1150" t="s">
        <v>629</v>
      </c>
      <c r="J217" s="1153" t="s">
        <v>14</v>
      </c>
      <c r="K217" s="1150" t="s">
        <v>18</v>
      </c>
      <c r="L217" s="1150" t="s">
        <v>957</v>
      </c>
      <c r="M217" s="1153" t="s">
        <v>14</v>
      </c>
      <c r="N217" s="1153" t="s">
        <v>623</v>
      </c>
      <c r="O217" s="1155">
        <v>50</v>
      </c>
      <c r="P217" s="1155">
        <v>0</v>
      </c>
      <c r="Q217" s="1155">
        <v>5</v>
      </c>
      <c r="R217" s="1150" t="s">
        <v>643</v>
      </c>
      <c r="S217" s="1150" t="s">
        <v>625</v>
      </c>
      <c r="T217" s="1150" t="s">
        <v>962</v>
      </c>
      <c r="U217" s="1157">
        <v>150000</v>
      </c>
      <c r="V217" s="1150" t="s">
        <v>962</v>
      </c>
      <c r="W217" s="1157">
        <v>150000</v>
      </c>
      <c r="X217" s="1150" t="s">
        <v>618</v>
      </c>
      <c r="Y217" s="1158">
        <v>43763.592511574076</v>
      </c>
      <c r="Z217" s="1150" t="s">
        <v>618</v>
      </c>
      <c r="AA217" s="1158">
        <v>43900.542337962965</v>
      </c>
      <c r="AB217" s="1138">
        <f t="shared" si="3"/>
        <v>300000</v>
      </c>
    </row>
    <row r="218" spans="1:28" x14ac:dyDescent="0.25">
      <c r="A218" s="1159">
        <v>110772</v>
      </c>
      <c r="B218" s="1159" t="s">
        <v>957</v>
      </c>
      <c r="C218" s="1159" t="s">
        <v>964</v>
      </c>
      <c r="D218" s="1160">
        <v>43763</v>
      </c>
      <c r="E218" s="1161">
        <v>23360000</v>
      </c>
      <c r="F218" s="1159" t="s">
        <v>387</v>
      </c>
      <c r="G218" s="1162" t="s">
        <v>848</v>
      </c>
      <c r="H218" s="1163">
        <v>1591</v>
      </c>
      <c r="I218" s="1159" t="s">
        <v>629</v>
      </c>
      <c r="J218" s="1162" t="s">
        <v>14</v>
      </c>
      <c r="K218" s="1159" t="s">
        <v>18</v>
      </c>
      <c r="L218" s="1159" t="s">
        <v>957</v>
      </c>
      <c r="M218" s="1162" t="s">
        <v>14</v>
      </c>
      <c r="N218" s="1162" t="s">
        <v>623</v>
      </c>
      <c r="O218" s="1164">
        <v>50</v>
      </c>
      <c r="P218" s="1164">
        <v>0</v>
      </c>
      <c r="Q218" s="1164">
        <v>5</v>
      </c>
      <c r="R218" s="1159" t="s">
        <v>643</v>
      </c>
      <c r="S218" s="1159" t="s">
        <v>625</v>
      </c>
      <c r="T218" s="1159" t="s">
        <v>962</v>
      </c>
      <c r="U218" s="1166">
        <v>150000</v>
      </c>
      <c r="V218" s="1159" t="s">
        <v>962</v>
      </c>
      <c r="W218" s="1166">
        <v>150000</v>
      </c>
      <c r="X218" s="1159" t="s">
        <v>618</v>
      </c>
      <c r="Y218" s="1167">
        <v>43763.596875</v>
      </c>
      <c r="Z218" s="1159" t="s">
        <v>618</v>
      </c>
      <c r="AA218" s="1167">
        <v>43900.54252314815</v>
      </c>
      <c r="AB218" s="1138">
        <f t="shared" si="3"/>
        <v>300000</v>
      </c>
    </row>
    <row r="219" ht="24" customHeight="1" spans="1:28" x14ac:dyDescent="0.25">
      <c r="A219" s="1150">
        <v>111048</v>
      </c>
      <c r="B219" s="1150" t="s">
        <v>957</v>
      </c>
      <c r="C219" s="1150" t="s">
        <v>965</v>
      </c>
      <c r="D219" s="1151">
        <v>43831</v>
      </c>
      <c r="E219" s="1152">
        <v>25420000</v>
      </c>
      <c r="F219" s="1150" t="s">
        <v>387</v>
      </c>
      <c r="G219" s="1153" t="s">
        <v>848</v>
      </c>
      <c r="H219" s="1154">
        <v>1591</v>
      </c>
      <c r="I219" s="1150" t="s">
        <v>629</v>
      </c>
      <c r="J219" s="1153" t="s">
        <v>14</v>
      </c>
      <c r="K219" s="1150" t="s">
        <v>18</v>
      </c>
      <c r="L219" s="1150" t="s">
        <v>957</v>
      </c>
      <c r="M219" s="1153" t="s">
        <v>14</v>
      </c>
      <c r="N219" s="1153" t="s">
        <v>623</v>
      </c>
      <c r="O219" s="1155">
        <v>50</v>
      </c>
      <c r="P219" s="1155">
        <v>0</v>
      </c>
      <c r="Q219" s="1155">
        <v>5</v>
      </c>
      <c r="R219" s="1150" t="s">
        <v>643</v>
      </c>
      <c r="S219" s="1150" t="s">
        <v>625</v>
      </c>
      <c r="T219" s="1150" t="s">
        <v>962</v>
      </c>
      <c r="U219" s="1157">
        <v>150000</v>
      </c>
      <c r="V219" s="1150" t="s">
        <v>962</v>
      </c>
      <c r="W219" s="1157">
        <v>150000</v>
      </c>
      <c r="X219" s="1150" t="s">
        <v>618</v>
      </c>
      <c r="Y219" s="1158">
        <v>43847.909155092595</v>
      </c>
      <c r="Z219" s="1150" t="s">
        <v>618</v>
      </c>
      <c r="AA219" s="1158">
        <v>43900.542974537035</v>
      </c>
      <c r="AB219" s="1138">
        <f t="shared" si="3"/>
        <v>300000</v>
      </c>
    </row>
    <row r="220" spans="1:28" x14ac:dyDescent="0.25">
      <c r="A220" s="1159">
        <v>110349</v>
      </c>
      <c r="B220" s="1159" t="s">
        <v>957</v>
      </c>
      <c r="C220" s="1159" t="s">
        <v>966</v>
      </c>
      <c r="D220" s="1160">
        <v>43651</v>
      </c>
      <c r="E220" s="1161">
        <v>28380000</v>
      </c>
      <c r="F220" s="1159" t="s">
        <v>387</v>
      </c>
      <c r="G220" s="1162" t="s">
        <v>848</v>
      </c>
      <c r="H220" s="1163">
        <v>1998</v>
      </c>
      <c r="I220" s="1159" t="s">
        <v>612</v>
      </c>
      <c r="J220" s="1162" t="s">
        <v>14</v>
      </c>
      <c r="K220" s="1159" t="s">
        <v>18</v>
      </c>
      <c r="L220" s="1159" t="s">
        <v>967</v>
      </c>
      <c r="M220" s="1162" t="s">
        <v>14</v>
      </c>
      <c r="N220" s="1162" t="s">
        <v>661</v>
      </c>
      <c r="O220" s="1164">
        <v>50</v>
      </c>
      <c r="P220" s="1165"/>
      <c r="Q220" s="1164">
        <v>5</v>
      </c>
      <c r="R220" s="1159" t="s">
        <v>624</v>
      </c>
      <c r="S220" s="1159" t="s">
        <v>625</v>
      </c>
      <c r="T220" s="1159" t="s">
        <v>626</v>
      </c>
      <c r="U220" s="1166">
        <v>150000</v>
      </c>
      <c r="V220" s="1159" t="s">
        <v>626</v>
      </c>
      <c r="W220" s="1166">
        <v>150000</v>
      </c>
      <c r="X220" s="1159" t="s">
        <v>618</v>
      </c>
      <c r="Y220" s="1167">
        <v>43651.56488425926</v>
      </c>
      <c r="Z220" s="1159" t="s">
        <v>618</v>
      </c>
      <c r="AA220" s="1167">
        <v>43900.54489583333</v>
      </c>
      <c r="AB220" s="1138">
        <f t="shared" si="3"/>
        <v>300000</v>
      </c>
    </row>
    <row r="221" spans="1:28" x14ac:dyDescent="0.25">
      <c r="A221" s="1150">
        <v>110343</v>
      </c>
      <c r="B221" s="1150" t="s">
        <v>968</v>
      </c>
      <c r="C221" s="1150" t="s">
        <v>969</v>
      </c>
      <c r="D221" s="1151">
        <v>43647</v>
      </c>
      <c r="E221" s="1152">
        <v>45930000</v>
      </c>
      <c r="F221" s="1150" t="s">
        <v>759</v>
      </c>
      <c r="G221" s="1153" t="s">
        <v>611</v>
      </c>
      <c r="H221" s="1153">
        <v>174</v>
      </c>
      <c r="I221" s="1150" t="s">
        <v>612</v>
      </c>
      <c r="J221" s="1153" t="s">
        <v>14</v>
      </c>
      <c r="K221" s="1150" t="s">
        <v>849</v>
      </c>
      <c r="L221" s="1150" t="s">
        <v>968</v>
      </c>
      <c r="M221" s="1153" t="s">
        <v>14</v>
      </c>
      <c r="N221" s="1153" t="s">
        <v>712</v>
      </c>
      <c r="O221" s="1155">
        <v>60</v>
      </c>
      <c r="P221" s="1156"/>
      <c r="Q221" s="1155">
        <v>5</v>
      </c>
      <c r="R221" s="1150" t="s">
        <v>632</v>
      </c>
      <c r="S221" s="1150" t="s">
        <v>910</v>
      </c>
      <c r="T221" s="1150" t="s">
        <v>771</v>
      </c>
      <c r="U221" s="1157">
        <v>142800</v>
      </c>
      <c r="V221" s="1150" t="s">
        <v>771</v>
      </c>
      <c r="W221" s="1157">
        <v>142800</v>
      </c>
      <c r="X221" s="1150" t="s">
        <v>618</v>
      </c>
      <c r="Y221" s="1158">
        <v>43647.63972222222</v>
      </c>
      <c r="Z221" s="1150" t="s">
        <v>618</v>
      </c>
      <c r="AA221" s="1158">
        <v>43859.537627314814</v>
      </c>
      <c r="AB221" s="1138">
        <f t="shared" si="3"/>
        <v>285600</v>
      </c>
    </row>
    <row r="222" spans="1:28" x14ac:dyDescent="0.25">
      <c r="A222" s="1159">
        <v>110344</v>
      </c>
      <c r="B222" s="1159" t="s">
        <v>968</v>
      </c>
      <c r="C222" s="1159" t="s">
        <v>970</v>
      </c>
      <c r="D222" s="1160">
        <v>43647</v>
      </c>
      <c r="E222" s="1161">
        <v>46930000</v>
      </c>
      <c r="F222" s="1159" t="s">
        <v>759</v>
      </c>
      <c r="G222" s="1162" t="s">
        <v>611</v>
      </c>
      <c r="H222" s="1162">
        <v>174</v>
      </c>
      <c r="I222" s="1159" t="s">
        <v>612</v>
      </c>
      <c r="J222" s="1162" t="s">
        <v>14</v>
      </c>
      <c r="K222" s="1159" t="s">
        <v>849</v>
      </c>
      <c r="L222" s="1159" t="s">
        <v>968</v>
      </c>
      <c r="M222" s="1162" t="s">
        <v>14</v>
      </c>
      <c r="N222" s="1162" t="s">
        <v>712</v>
      </c>
      <c r="O222" s="1164">
        <v>60</v>
      </c>
      <c r="P222" s="1165"/>
      <c r="Q222" s="1164">
        <v>5</v>
      </c>
      <c r="R222" s="1159" t="s">
        <v>632</v>
      </c>
      <c r="S222" s="1159" t="s">
        <v>910</v>
      </c>
      <c r="T222" s="1159" t="s">
        <v>771</v>
      </c>
      <c r="U222" s="1166">
        <v>142800</v>
      </c>
      <c r="V222" s="1159" t="s">
        <v>771</v>
      </c>
      <c r="W222" s="1166">
        <v>142800</v>
      </c>
      <c r="X222" s="1159" t="s">
        <v>618</v>
      </c>
      <c r="Y222" s="1167">
        <v>43647.720983796295</v>
      </c>
      <c r="Z222" s="1159" t="s">
        <v>618</v>
      </c>
      <c r="AA222" s="1167">
        <v>43859.53770833333</v>
      </c>
      <c r="AB222" s="1138">
        <f t="shared" si="3"/>
        <v>285600</v>
      </c>
    </row>
    <row r="223" spans="1:28" x14ac:dyDescent="0.25">
      <c r="A223" s="1150">
        <v>110345</v>
      </c>
      <c r="B223" s="1150" t="s">
        <v>968</v>
      </c>
      <c r="C223" s="1150" t="s">
        <v>971</v>
      </c>
      <c r="D223" s="1151">
        <v>43647</v>
      </c>
      <c r="E223" s="1152">
        <v>48140000</v>
      </c>
      <c r="F223" s="1150" t="s">
        <v>759</v>
      </c>
      <c r="G223" s="1153" t="s">
        <v>611</v>
      </c>
      <c r="H223" s="1153">
        <v>174</v>
      </c>
      <c r="I223" s="1150" t="s">
        <v>612</v>
      </c>
      <c r="J223" s="1153" t="s">
        <v>14</v>
      </c>
      <c r="K223" s="1150" t="s">
        <v>849</v>
      </c>
      <c r="L223" s="1150" t="s">
        <v>968</v>
      </c>
      <c r="M223" s="1153" t="s">
        <v>14</v>
      </c>
      <c r="N223" s="1153" t="s">
        <v>712</v>
      </c>
      <c r="O223" s="1155">
        <v>60</v>
      </c>
      <c r="P223" s="1156"/>
      <c r="Q223" s="1155">
        <v>5</v>
      </c>
      <c r="R223" s="1150" t="s">
        <v>632</v>
      </c>
      <c r="S223" s="1150" t="s">
        <v>910</v>
      </c>
      <c r="T223" s="1150" t="s">
        <v>771</v>
      </c>
      <c r="U223" s="1157">
        <v>142800</v>
      </c>
      <c r="V223" s="1150" t="s">
        <v>771</v>
      </c>
      <c r="W223" s="1157">
        <v>142800</v>
      </c>
      <c r="X223" s="1150" t="s">
        <v>618</v>
      </c>
      <c r="Y223" s="1158">
        <v>43647.721875</v>
      </c>
      <c r="Z223" s="1150" t="s">
        <v>618</v>
      </c>
      <c r="AA223" s="1158">
        <v>43859.537777777776</v>
      </c>
      <c r="AB223" s="1138">
        <f t="shared" si="3"/>
        <v>285600</v>
      </c>
    </row>
    <row r="224" spans="1:28" x14ac:dyDescent="0.25">
      <c r="A224" s="1159">
        <v>110473</v>
      </c>
      <c r="B224" s="1159" t="s">
        <v>972</v>
      </c>
      <c r="C224" s="1159" t="s">
        <v>973</v>
      </c>
      <c r="D224" s="1160">
        <v>43682</v>
      </c>
      <c r="E224" s="1161">
        <v>23840000</v>
      </c>
      <c r="F224" s="1159" t="s">
        <v>387</v>
      </c>
      <c r="G224" s="1162" t="s">
        <v>611</v>
      </c>
      <c r="H224" s="1163">
        <v>1591</v>
      </c>
      <c r="I224" s="1159" t="s">
        <v>612</v>
      </c>
      <c r="J224" s="1162" t="s">
        <v>14</v>
      </c>
      <c r="K224" s="1159" t="s">
        <v>76</v>
      </c>
      <c r="L224" s="1159" t="s">
        <v>972</v>
      </c>
      <c r="M224" s="1162" t="s">
        <v>14</v>
      </c>
      <c r="N224" s="1162" t="s">
        <v>837</v>
      </c>
      <c r="O224" s="1164">
        <v>50</v>
      </c>
      <c r="P224" s="1165"/>
      <c r="Q224" s="1164">
        <v>5</v>
      </c>
      <c r="R224" s="1159" t="s">
        <v>690</v>
      </c>
      <c r="S224" s="1159" t="s">
        <v>974</v>
      </c>
      <c r="T224" s="1159" t="s">
        <v>663</v>
      </c>
      <c r="U224" s="1166">
        <v>174000</v>
      </c>
      <c r="V224" s="1159" t="s">
        <v>663</v>
      </c>
      <c r="W224" s="1166">
        <v>174000</v>
      </c>
      <c r="X224" s="1159" t="s">
        <v>618</v>
      </c>
      <c r="Y224" s="1167">
        <v>43682.92181712963</v>
      </c>
      <c r="Z224" s="1159" t="s">
        <v>618</v>
      </c>
      <c r="AA224" s="1167">
        <v>43897.8149537037</v>
      </c>
      <c r="AB224" s="1138">
        <f t="shared" si="3"/>
        <v>348000</v>
      </c>
    </row>
    <row r="225" spans="1:28" x14ac:dyDescent="0.25">
      <c r="A225" s="1150">
        <v>110474</v>
      </c>
      <c r="B225" s="1150" t="s">
        <v>972</v>
      </c>
      <c r="C225" s="1150" t="s">
        <v>975</v>
      </c>
      <c r="D225" s="1151">
        <v>43682</v>
      </c>
      <c r="E225" s="1152">
        <v>25640000</v>
      </c>
      <c r="F225" s="1150" t="s">
        <v>387</v>
      </c>
      <c r="G225" s="1153" t="s">
        <v>611</v>
      </c>
      <c r="H225" s="1154">
        <v>1591</v>
      </c>
      <c r="I225" s="1150" t="s">
        <v>612</v>
      </c>
      <c r="J225" s="1153" t="s">
        <v>14</v>
      </c>
      <c r="K225" s="1150" t="s">
        <v>76</v>
      </c>
      <c r="L225" s="1150" t="s">
        <v>972</v>
      </c>
      <c r="M225" s="1153" t="s">
        <v>14</v>
      </c>
      <c r="N225" s="1153" t="s">
        <v>837</v>
      </c>
      <c r="O225" s="1155">
        <v>50</v>
      </c>
      <c r="P225" s="1156"/>
      <c r="Q225" s="1155">
        <v>5</v>
      </c>
      <c r="R225" s="1150" t="s">
        <v>690</v>
      </c>
      <c r="S225" s="1150" t="s">
        <v>974</v>
      </c>
      <c r="T225" s="1150" t="s">
        <v>663</v>
      </c>
      <c r="U225" s="1157">
        <v>174000</v>
      </c>
      <c r="V225" s="1150" t="s">
        <v>663</v>
      </c>
      <c r="W225" s="1157">
        <v>174000</v>
      </c>
      <c r="X225" s="1150" t="s">
        <v>618</v>
      </c>
      <c r="Y225" s="1158">
        <v>43682.924733796295</v>
      </c>
      <c r="Z225" s="1150" t="s">
        <v>618</v>
      </c>
      <c r="AA225" s="1158">
        <v>43897.81520833333</v>
      </c>
      <c r="AB225" s="1138">
        <f t="shared" si="3"/>
        <v>348000</v>
      </c>
    </row>
    <row r="226" spans="1:28" x14ac:dyDescent="0.25">
      <c r="A226" s="1159">
        <v>110462</v>
      </c>
      <c r="B226" s="1159" t="s">
        <v>972</v>
      </c>
      <c r="C226" s="1159" t="s">
        <v>976</v>
      </c>
      <c r="D226" s="1160">
        <v>43682</v>
      </c>
      <c r="E226" s="1161">
        <v>18810000</v>
      </c>
      <c r="F226" s="1159" t="s">
        <v>387</v>
      </c>
      <c r="G226" s="1162" t="s">
        <v>611</v>
      </c>
      <c r="H226" s="1163">
        <v>1591</v>
      </c>
      <c r="I226" s="1159" t="s">
        <v>612</v>
      </c>
      <c r="J226" s="1162" t="s">
        <v>14</v>
      </c>
      <c r="K226" s="1159" t="s">
        <v>76</v>
      </c>
      <c r="L226" s="1159" t="s">
        <v>972</v>
      </c>
      <c r="M226" s="1162" t="s">
        <v>14</v>
      </c>
      <c r="N226" s="1162" t="s">
        <v>837</v>
      </c>
      <c r="O226" s="1164">
        <v>50</v>
      </c>
      <c r="P226" s="1165"/>
      <c r="Q226" s="1164">
        <v>5</v>
      </c>
      <c r="R226" s="1159" t="s">
        <v>690</v>
      </c>
      <c r="S226" s="1159" t="s">
        <v>974</v>
      </c>
      <c r="T226" s="1159" t="s">
        <v>763</v>
      </c>
      <c r="U226" s="1166">
        <v>109400</v>
      </c>
      <c r="V226" s="1159" t="s">
        <v>763</v>
      </c>
      <c r="W226" s="1166">
        <v>109400</v>
      </c>
      <c r="X226" s="1159" t="s">
        <v>618</v>
      </c>
      <c r="Y226" s="1167">
        <v>43682.630995370375</v>
      </c>
      <c r="Z226" s="1159" t="s">
        <v>618</v>
      </c>
      <c r="AA226" s="1167">
        <v>43897.80863425926</v>
      </c>
      <c r="AB226" s="1138">
        <f t="shared" si="3"/>
        <v>218800</v>
      </c>
    </row>
    <row r="227" spans="1:28" x14ac:dyDescent="0.25">
      <c r="A227" s="1150">
        <v>110463</v>
      </c>
      <c r="B227" s="1150" t="s">
        <v>972</v>
      </c>
      <c r="C227" s="1150" t="s">
        <v>977</v>
      </c>
      <c r="D227" s="1151">
        <v>43682</v>
      </c>
      <c r="E227" s="1152">
        <v>20610000</v>
      </c>
      <c r="F227" s="1150" t="s">
        <v>387</v>
      </c>
      <c r="G227" s="1153" t="s">
        <v>611</v>
      </c>
      <c r="H227" s="1154">
        <v>1591</v>
      </c>
      <c r="I227" s="1150" t="s">
        <v>612</v>
      </c>
      <c r="J227" s="1153" t="s">
        <v>14</v>
      </c>
      <c r="K227" s="1150" t="s">
        <v>76</v>
      </c>
      <c r="L227" s="1150" t="s">
        <v>972</v>
      </c>
      <c r="M227" s="1153" t="s">
        <v>14</v>
      </c>
      <c r="N227" s="1153" t="s">
        <v>837</v>
      </c>
      <c r="O227" s="1155">
        <v>50</v>
      </c>
      <c r="P227" s="1156"/>
      <c r="Q227" s="1155">
        <v>5</v>
      </c>
      <c r="R227" s="1150" t="s">
        <v>690</v>
      </c>
      <c r="S227" s="1150" t="s">
        <v>974</v>
      </c>
      <c r="T227" s="1150" t="s">
        <v>763</v>
      </c>
      <c r="U227" s="1157">
        <v>109400</v>
      </c>
      <c r="V227" s="1150" t="s">
        <v>763</v>
      </c>
      <c r="W227" s="1157">
        <v>109400</v>
      </c>
      <c r="X227" s="1150" t="s">
        <v>618</v>
      </c>
      <c r="Y227" s="1158">
        <v>43682.68228009259</v>
      </c>
      <c r="Z227" s="1150" t="s">
        <v>618</v>
      </c>
      <c r="AA227" s="1158">
        <v>43897.80905092593</v>
      </c>
      <c r="AB227" s="1138">
        <f t="shared" si="3"/>
        <v>218800</v>
      </c>
    </row>
    <row r="228" spans="1:28" x14ac:dyDescent="0.25">
      <c r="A228" s="1159">
        <v>110469</v>
      </c>
      <c r="B228" s="1159" t="s">
        <v>972</v>
      </c>
      <c r="C228" s="1159" t="s">
        <v>978</v>
      </c>
      <c r="D228" s="1160">
        <v>43682</v>
      </c>
      <c r="E228" s="1161">
        <v>21830000</v>
      </c>
      <c r="F228" s="1159" t="s">
        <v>387</v>
      </c>
      <c r="G228" s="1162" t="s">
        <v>611</v>
      </c>
      <c r="H228" s="1163">
        <v>1591</v>
      </c>
      <c r="I228" s="1159" t="s">
        <v>612</v>
      </c>
      <c r="J228" s="1162" t="s">
        <v>14</v>
      </c>
      <c r="K228" s="1159" t="s">
        <v>76</v>
      </c>
      <c r="L228" s="1159" t="s">
        <v>972</v>
      </c>
      <c r="M228" s="1162" t="s">
        <v>14</v>
      </c>
      <c r="N228" s="1162" t="s">
        <v>837</v>
      </c>
      <c r="O228" s="1164">
        <v>50</v>
      </c>
      <c r="P228" s="1165"/>
      <c r="Q228" s="1164">
        <v>5</v>
      </c>
      <c r="R228" s="1159" t="s">
        <v>690</v>
      </c>
      <c r="S228" s="1159" t="s">
        <v>974</v>
      </c>
      <c r="T228" s="1159" t="s">
        <v>667</v>
      </c>
      <c r="U228" s="1166">
        <v>131000</v>
      </c>
      <c r="V228" s="1159" t="s">
        <v>667</v>
      </c>
      <c r="W228" s="1166">
        <v>131000</v>
      </c>
      <c r="X228" s="1159" t="s">
        <v>618</v>
      </c>
      <c r="Y228" s="1167">
        <v>43682.699375</v>
      </c>
      <c r="Z228" s="1159" t="s">
        <v>618</v>
      </c>
      <c r="AA228" s="1167">
        <v>43897.80997685185</v>
      </c>
      <c r="AB228" s="1138">
        <f t="shared" si="3"/>
        <v>262000</v>
      </c>
    </row>
    <row r="229" spans="1:28" x14ac:dyDescent="0.25">
      <c r="A229" s="1150">
        <v>110470</v>
      </c>
      <c r="B229" s="1150" t="s">
        <v>972</v>
      </c>
      <c r="C229" s="1150" t="s">
        <v>979</v>
      </c>
      <c r="D229" s="1151">
        <v>43682</v>
      </c>
      <c r="E229" s="1152">
        <v>23630000</v>
      </c>
      <c r="F229" s="1150" t="s">
        <v>387</v>
      </c>
      <c r="G229" s="1153" t="s">
        <v>611</v>
      </c>
      <c r="H229" s="1154">
        <v>1591</v>
      </c>
      <c r="I229" s="1150" t="s">
        <v>612</v>
      </c>
      <c r="J229" s="1153" t="s">
        <v>14</v>
      </c>
      <c r="K229" s="1150" t="s">
        <v>76</v>
      </c>
      <c r="L229" s="1150" t="s">
        <v>972</v>
      </c>
      <c r="M229" s="1153" t="s">
        <v>14</v>
      </c>
      <c r="N229" s="1153" t="s">
        <v>837</v>
      </c>
      <c r="O229" s="1155">
        <v>50</v>
      </c>
      <c r="P229" s="1156"/>
      <c r="Q229" s="1155">
        <v>5</v>
      </c>
      <c r="R229" s="1150" t="s">
        <v>690</v>
      </c>
      <c r="S229" s="1150" t="s">
        <v>974</v>
      </c>
      <c r="T229" s="1150" t="s">
        <v>667</v>
      </c>
      <c r="U229" s="1157">
        <v>131000</v>
      </c>
      <c r="V229" s="1150" t="s">
        <v>667</v>
      </c>
      <c r="W229" s="1157">
        <v>131000</v>
      </c>
      <c r="X229" s="1150" t="s">
        <v>618</v>
      </c>
      <c r="Y229" s="1158">
        <v>43682.916400462964</v>
      </c>
      <c r="Z229" s="1150" t="s">
        <v>618</v>
      </c>
      <c r="AA229" s="1158">
        <v>43897.81350694444</v>
      </c>
      <c r="AB229" s="1138">
        <f t="shared" si="3"/>
        <v>262000</v>
      </c>
    </row>
    <row r="230" ht="24" customHeight="1" spans="1:28" x14ac:dyDescent="0.25">
      <c r="A230" s="1159">
        <v>110475</v>
      </c>
      <c r="B230" s="1159" t="s">
        <v>972</v>
      </c>
      <c r="C230" s="1159" t="s">
        <v>980</v>
      </c>
      <c r="D230" s="1160">
        <v>43682</v>
      </c>
      <c r="E230" s="1161">
        <v>25700000</v>
      </c>
      <c r="F230" s="1159" t="s">
        <v>610</v>
      </c>
      <c r="G230" s="1162" t="s">
        <v>611</v>
      </c>
      <c r="H230" s="1163">
        <v>1598</v>
      </c>
      <c r="I230" s="1159" t="s">
        <v>612</v>
      </c>
      <c r="J230" s="1162" t="s">
        <v>14</v>
      </c>
      <c r="K230" s="1159" t="s">
        <v>76</v>
      </c>
      <c r="L230" s="1159" t="s">
        <v>972</v>
      </c>
      <c r="M230" s="1162" t="s">
        <v>14</v>
      </c>
      <c r="N230" s="1162" t="s">
        <v>837</v>
      </c>
      <c r="O230" s="1164">
        <v>50</v>
      </c>
      <c r="P230" s="1165"/>
      <c r="Q230" s="1164">
        <v>5</v>
      </c>
      <c r="R230" s="1159" t="s">
        <v>690</v>
      </c>
      <c r="S230" s="1159" t="s">
        <v>974</v>
      </c>
      <c r="T230" s="1159" t="s">
        <v>663</v>
      </c>
      <c r="U230" s="1166">
        <v>174000</v>
      </c>
      <c r="V230" s="1159" t="s">
        <v>663</v>
      </c>
      <c r="W230" s="1166">
        <v>174000</v>
      </c>
      <c r="X230" s="1159" t="s">
        <v>618</v>
      </c>
      <c r="Y230" s="1167">
        <v>43682.92607638889</v>
      </c>
      <c r="Z230" s="1159" t="s">
        <v>618</v>
      </c>
      <c r="AA230" s="1167">
        <v>43897.815416666665</v>
      </c>
      <c r="AB230" s="1138">
        <f t="shared" si="3"/>
        <v>348000</v>
      </c>
    </row>
    <row r="231" ht="24" customHeight="1" spans="1:28" x14ac:dyDescent="0.25">
      <c r="A231" s="1150">
        <v>110476</v>
      </c>
      <c r="B231" s="1150" t="s">
        <v>972</v>
      </c>
      <c r="C231" s="1150" t="s">
        <v>981</v>
      </c>
      <c r="D231" s="1151">
        <v>43682</v>
      </c>
      <c r="E231" s="1152">
        <v>27500000</v>
      </c>
      <c r="F231" s="1150" t="s">
        <v>610</v>
      </c>
      <c r="G231" s="1153" t="s">
        <v>611</v>
      </c>
      <c r="H231" s="1154">
        <v>1598</v>
      </c>
      <c r="I231" s="1150" t="s">
        <v>612</v>
      </c>
      <c r="J231" s="1153" t="s">
        <v>14</v>
      </c>
      <c r="K231" s="1150" t="s">
        <v>76</v>
      </c>
      <c r="L231" s="1150" t="s">
        <v>972</v>
      </c>
      <c r="M231" s="1153" t="s">
        <v>14</v>
      </c>
      <c r="N231" s="1153" t="s">
        <v>837</v>
      </c>
      <c r="O231" s="1155">
        <v>50</v>
      </c>
      <c r="P231" s="1156"/>
      <c r="Q231" s="1155">
        <v>5</v>
      </c>
      <c r="R231" s="1150" t="s">
        <v>690</v>
      </c>
      <c r="S231" s="1150" t="s">
        <v>974</v>
      </c>
      <c r="T231" s="1150" t="s">
        <v>663</v>
      </c>
      <c r="U231" s="1157">
        <v>174000</v>
      </c>
      <c r="V231" s="1150" t="s">
        <v>663</v>
      </c>
      <c r="W231" s="1157">
        <v>174000</v>
      </c>
      <c r="X231" s="1150" t="s">
        <v>618</v>
      </c>
      <c r="Y231" s="1158">
        <v>43682.92804398148</v>
      </c>
      <c r="Z231" s="1150" t="s">
        <v>618</v>
      </c>
      <c r="AA231" s="1158">
        <v>43897.81575231481</v>
      </c>
      <c r="AB231" s="1138">
        <f t="shared" si="3"/>
        <v>348000</v>
      </c>
    </row>
    <row r="232" spans="1:28" x14ac:dyDescent="0.25">
      <c r="A232" s="1159">
        <v>110467</v>
      </c>
      <c r="B232" s="1159" t="s">
        <v>972</v>
      </c>
      <c r="C232" s="1159" t="s">
        <v>982</v>
      </c>
      <c r="D232" s="1160">
        <v>43682</v>
      </c>
      <c r="E232" s="1161">
        <v>20680000</v>
      </c>
      <c r="F232" s="1159" t="s">
        <v>610</v>
      </c>
      <c r="G232" s="1162" t="s">
        <v>611</v>
      </c>
      <c r="H232" s="1163">
        <v>1598</v>
      </c>
      <c r="I232" s="1159" t="s">
        <v>612</v>
      </c>
      <c r="J232" s="1162" t="s">
        <v>14</v>
      </c>
      <c r="K232" s="1159" t="s">
        <v>76</v>
      </c>
      <c r="L232" s="1159" t="s">
        <v>972</v>
      </c>
      <c r="M232" s="1162" t="s">
        <v>14</v>
      </c>
      <c r="N232" s="1162" t="s">
        <v>837</v>
      </c>
      <c r="O232" s="1164">
        <v>50</v>
      </c>
      <c r="P232" s="1165"/>
      <c r="Q232" s="1164">
        <v>5</v>
      </c>
      <c r="R232" s="1159" t="s">
        <v>690</v>
      </c>
      <c r="S232" s="1159" t="s">
        <v>974</v>
      </c>
      <c r="T232" s="1159" t="s">
        <v>763</v>
      </c>
      <c r="U232" s="1166">
        <v>109400</v>
      </c>
      <c r="V232" s="1159" t="s">
        <v>763</v>
      </c>
      <c r="W232" s="1166">
        <v>109400</v>
      </c>
      <c r="X232" s="1159" t="s">
        <v>618</v>
      </c>
      <c r="Y232" s="1167">
        <v>43682.68613425926</v>
      </c>
      <c r="Z232" s="1159" t="s">
        <v>618</v>
      </c>
      <c r="AA232" s="1167">
        <v>43897.8094212963</v>
      </c>
      <c r="AB232" s="1138">
        <f t="shared" si="3"/>
        <v>218800</v>
      </c>
    </row>
    <row r="233" spans="1:28" x14ac:dyDescent="0.25">
      <c r="A233" s="1150">
        <v>110468</v>
      </c>
      <c r="B233" s="1150" t="s">
        <v>972</v>
      </c>
      <c r="C233" s="1150" t="s">
        <v>983</v>
      </c>
      <c r="D233" s="1151">
        <v>43682</v>
      </c>
      <c r="E233" s="1152">
        <v>22480000</v>
      </c>
      <c r="F233" s="1150" t="s">
        <v>610</v>
      </c>
      <c r="G233" s="1153" t="s">
        <v>611</v>
      </c>
      <c r="H233" s="1154">
        <v>1598</v>
      </c>
      <c r="I233" s="1150" t="s">
        <v>612</v>
      </c>
      <c r="J233" s="1153" t="s">
        <v>14</v>
      </c>
      <c r="K233" s="1150" t="s">
        <v>76</v>
      </c>
      <c r="L233" s="1150" t="s">
        <v>972</v>
      </c>
      <c r="M233" s="1153" t="s">
        <v>14</v>
      </c>
      <c r="N233" s="1153" t="s">
        <v>837</v>
      </c>
      <c r="O233" s="1155">
        <v>50</v>
      </c>
      <c r="P233" s="1156"/>
      <c r="Q233" s="1155">
        <v>5</v>
      </c>
      <c r="R233" s="1150" t="s">
        <v>690</v>
      </c>
      <c r="S233" s="1150" t="s">
        <v>974</v>
      </c>
      <c r="T233" s="1150" t="s">
        <v>763</v>
      </c>
      <c r="U233" s="1157">
        <v>109400</v>
      </c>
      <c r="V233" s="1150" t="s">
        <v>763</v>
      </c>
      <c r="W233" s="1157">
        <v>109400</v>
      </c>
      <c r="X233" s="1150" t="s">
        <v>618</v>
      </c>
      <c r="Y233" s="1158">
        <v>43682.69795138889</v>
      </c>
      <c r="Z233" s="1150" t="s">
        <v>618</v>
      </c>
      <c r="AA233" s="1158">
        <v>43897.8097337963</v>
      </c>
      <c r="AB233" s="1138">
        <f t="shared" si="3"/>
        <v>218800</v>
      </c>
    </row>
    <row r="234" ht="24" customHeight="1" spans="1:28" x14ac:dyDescent="0.25">
      <c r="A234" s="1159">
        <v>110471</v>
      </c>
      <c r="B234" s="1159" t="s">
        <v>972</v>
      </c>
      <c r="C234" s="1159" t="s">
        <v>984</v>
      </c>
      <c r="D234" s="1160">
        <v>43682</v>
      </c>
      <c r="E234" s="1161">
        <v>23690000</v>
      </c>
      <c r="F234" s="1159" t="s">
        <v>610</v>
      </c>
      <c r="G234" s="1162" t="s">
        <v>611</v>
      </c>
      <c r="H234" s="1163">
        <v>1598</v>
      </c>
      <c r="I234" s="1159" t="s">
        <v>612</v>
      </c>
      <c r="J234" s="1162" t="s">
        <v>14</v>
      </c>
      <c r="K234" s="1159" t="s">
        <v>76</v>
      </c>
      <c r="L234" s="1159" t="s">
        <v>972</v>
      </c>
      <c r="M234" s="1162" t="s">
        <v>14</v>
      </c>
      <c r="N234" s="1162" t="s">
        <v>837</v>
      </c>
      <c r="O234" s="1164">
        <v>50</v>
      </c>
      <c r="P234" s="1165"/>
      <c r="Q234" s="1164">
        <v>5</v>
      </c>
      <c r="R234" s="1159" t="s">
        <v>690</v>
      </c>
      <c r="S234" s="1159" t="s">
        <v>974</v>
      </c>
      <c r="T234" s="1159" t="s">
        <v>667</v>
      </c>
      <c r="U234" s="1166">
        <v>131000</v>
      </c>
      <c r="V234" s="1159" t="s">
        <v>667</v>
      </c>
      <c r="W234" s="1166">
        <v>131000</v>
      </c>
      <c r="X234" s="1159" t="s">
        <v>618</v>
      </c>
      <c r="Y234" s="1167">
        <v>43682.91803240741</v>
      </c>
      <c r="Z234" s="1159" t="s">
        <v>618</v>
      </c>
      <c r="AA234" s="1167">
        <v>43897.81439814815</v>
      </c>
      <c r="AB234" s="1138">
        <f t="shared" si="3"/>
        <v>262000</v>
      </c>
    </row>
    <row r="235" ht="24" customHeight="1" spans="1:28" x14ac:dyDescent="0.25">
      <c r="A235" s="1150">
        <v>110472</v>
      </c>
      <c r="B235" s="1150" t="s">
        <v>972</v>
      </c>
      <c r="C235" s="1150" t="s">
        <v>985</v>
      </c>
      <c r="D235" s="1151">
        <v>43682</v>
      </c>
      <c r="E235" s="1152">
        <v>25490000</v>
      </c>
      <c r="F235" s="1150" t="s">
        <v>610</v>
      </c>
      <c r="G235" s="1153" t="s">
        <v>611</v>
      </c>
      <c r="H235" s="1154">
        <v>1598</v>
      </c>
      <c r="I235" s="1150" t="s">
        <v>612</v>
      </c>
      <c r="J235" s="1153" t="s">
        <v>14</v>
      </c>
      <c r="K235" s="1150" t="s">
        <v>76</v>
      </c>
      <c r="L235" s="1150" t="s">
        <v>972</v>
      </c>
      <c r="M235" s="1153" t="s">
        <v>14</v>
      </c>
      <c r="N235" s="1153" t="s">
        <v>837</v>
      </c>
      <c r="O235" s="1155">
        <v>50</v>
      </c>
      <c r="P235" s="1156"/>
      <c r="Q235" s="1155">
        <v>5</v>
      </c>
      <c r="R235" s="1150" t="s">
        <v>690</v>
      </c>
      <c r="S235" s="1150" t="s">
        <v>974</v>
      </c>
      <c r="T235" s="1150" t="s">
        <v>667</v>
      </c>
      <c r="U235" s="1157">
        <v>131000</v>
      </c>
      <c r="V235" s="1150" t="s">
        <v>667</v>
      </c>
      <c r="W235" s="1157">
        <v>131000</v>
      </c>
      <c r="X235" s="1150" t="s">
        <v>618</v>
      </c>
      <c r="Y235" s="1158">
        <v>43682.91994212963</v>
      </c>
      <c r="Z235" s="1150" t="s">
        <v>618</v>
      </c>
      <c r="AA235" s="1158">
        <v>43897.814664351856</v>
      </c>
      <c r="AB235" s="1138">
        <f t="shared" si="3"/>
        <v>262000</v>
      </c>
    </row>
    <row r="236" spans="1:28" x14ac:dyDescent="0.25">
      <c r="A236" s="1159">
        <v>110625</v>
      </c>
      <c r="B236" s="1159" t="s">
        <v>986</v>
      </c>
      <c r="C236" s="1159" t="s">
        <v>987</v>
      </c>
      <c r="D236" s="1160">
        <v>43739</v>
      </c>
      <c r="E236" s="1161">
        <v>23700000</v>
      </c>
      <c r="F236" s="1159" t="s">
        <v>404</v>
      </c>
      <c r="G236" s="1162" t="s">
        <v>611</v>
      </c>
      <c r="H236" s="1163">
        <v>2359</v>
      </c>
      <c r="I236" s="1159" t="s">
        <v>629</v>
      </c>
      <c r="J236" s="1162" t="s">
        <v>14</v>
      </c>
      <c r="K236" s="1159" t="s">
        <v>18</v>
      </c>
      <c r="L236" s="1159" t="s">
        <v>988</v>
      </c>
      <c r="M236" s="1162" t="s">
        <v>14</v>
      </c>
      <c r="N236" s="1162" t="s">
        <v>989</v>
      </c>
      <c r="O236" s="1164">
        <v>83</v>
      </c>
      <c r="P236" s="1164">
        <v>0</v>
      </c>
      <c r="Q236" s="1164">
        <v>12</v>
      </c>
      <c r="R236" s="1159" t="s">
        <v>624</v>
      </c>
      <c r="S236" s="1159" t="s">
        <v>625</v>
      </c>
      <c r="T236" s="1159" t="s">
        <v>990</v>
      </c>
      <c r="U236" s="1166">
        <v>135000</v>
      </c>
      <c r="V236" s="1159" t="s">
        <v>990</v>
      </c>
      <c r="W236" s="1166">
        <v>135000</v>
      </c>
      <c r="X236" s="1159" t="s">
        <v>618</v>
      </c>
      <c r="Y236" s="1167">
        <v>43739.42310185185</v>
      </c>
      <c r="Z236" s="1159" t="s">
        <v>618</v>
      </c>
      <c r="AA236" s="1167">
        <v>43739.43611111111</v>
      </c>
      <c r="AB236" s="1138">
        <f t="shared" si="3"/>
        <v>270000</v>
      </c>
    </row>
    <row r="237" ht="24" customHeight="1" spans="1:28" x14ac:dyDescent="0.25">
      <c r="A237" s="1150">
        <v>109129</v>
      </c>
      <c r="B237" s="1150" t="s">
        <v>986</v>
      </c>
      <c r="C237" s="1150" t="s">
        <v>991</v>
      </c>
      <c r="D237" s="1151">
        <v>43090</v>
      </c>
      <c r="E237" s="1152">
        <v>30900000</v>
      </c>
      <c r="F237" s="1150" t="s">
        <v>610</v>
      </c>
      <c r="G237" s="1153" t="s">
        <v>611</v>
      </c>
      <c r="H237" s="1154">
        <v>2497</v>
      </c>
      <c r="I237" s="1150" t="s">
        <v>612</v>
      </c>
      <c r="J237" s="1153" t="s">
        <v>14</v>
      </c>
      <c r="K237" s="1150" t="s">
        <v>18</v>
      </c>
      <c r="L237" s="1150" t="s">
        <v>988</v>
      </c>
      <c r="M237" s="1153" t="s">
        <v>14</v>
      </c>
      <c r="N237" s="1153" t="s">
        <v>989</v>
      </c>
      <c r="O237" s="1155">
        <v>75</v>
      </c>
      <c r="P237" s="1155">
        <v>0</v>
      </c>
      <c r="Q237" s="1155">
        <v>9</v>
      </c>
      <c r="R237" s="1150" t="s">
        <v>662</v>
      </c>
      <c r="S237" s="1150" t="s">
        <v>625</v>
      </c>
      <c r="T237" s="1150" t="s">
        <v>990</v>
      </c>
      <c r="U237" s="1157">
        <v>135000</v>
      </c>
      <c r="V237" s="1150" t="s">
        <v>990</v>
      </c>
      <c r="W237" s="1157">
        <v>135000</v>
      </c>
      <c r="X237" s="1150" t="s">
        <v>721</v>
      </c>
      <c r="Y237" s="1158">
        <v>43090.40354166667</v>
      </c>
      <c r="Z237" s="1150" t="s">
        <v>618</v>
      </c>
      <c r="AA237" s="1158">
        <v>43699.691504629634</v>
      </c>
      <c r="AB237" s="1138">
        <f t="shared" si="3"/>
        <v>270000</v>
      </c>
    </row>
    <row r="238" ht="24" customHeight="1" spans="1:28" x14ac:dyDescent="0.25">
      <c r="A238" s="1159">
        <v>109127</v>
      </c>
      <c r="B238" s="1159" t="s">
        <v>986</v>
      </c>
      <c r="C238" s="1159" t="s">
        <v>992</v>
      </c>
      <c r="D238" s="1160">
        <v>43090</v>
      </c>
      <c r="E238" s="1161">
        <v>27200000</v>
      </c>
      <c r="F238" s="1159" t="s">
        <v>610</v>
      </c>
      <c r="G238" s="1162" t="s">
        <v>611</v>
      </c>
      <c r="H238" s="1163">
        <v>2497</v>
      </c>
      <c r="I238" s="1159" t="s">
        <v>612</v>
      </c>
      <c r="J238" s="1162" t="s">
        <v>14</v>
      </c>
      <c r="K238" s="1159" t="s">
        <v>18</v>
      </c>
      <c r="L238" s="1159" t="s">
        <v>988</v>
      </c>
      <c r="M238" s="1162" t="s">
        <v>14</v>
      </c>
      <c r="N238" s="1162" t="s">
        <v>989</v>
      </c>
      <c r="O238" s="1164">
        <v>75</v>
      </c>
      <c r="P238" s="1164">
        <v>0</v>
      </c>
      <c r="Q238" s="1164">
        <v>9</v>
      </c>
      <c r="R238" s="1159" t="s">
        <v>662</v>
      </c>
      <c r="S238" s="1159" t="s">
        <v>625</v>
      </c>
      <c r="T238" s="1159" t="s">
        <v>990</v>
      </c>
      <c r="U238" s="1166">
        <v>135000</v>
      </c>
      <c r="V238" s="1159" t="s">
        <v>990</v>
      </c>
      <c r="W238" s="1166">
        <v>135000</v>
      </c>
      <c r="X238" s="1159" t="s">
        <v>721</v>
      </c>
      <c r="Y238" s="1167">
        <v>43090.40104166667</v>
      </c>
      <c r="Z238" s="1159" t="s">
        <v>618</v>
      </c>
      <c r="AA238" s="1167">
        <v>43699.69125</v>
      </c>
      <c r="AB238" s="1138">
        <f t="shared" si="3"/>
        <v>270000</v>
      </c>
    </row>
    <row r="239" ht="24" customHeight="1" spans="1:28" x14ac:dyDescent="0.25">
      <c r="A239" s="1150">
        <v>109128</v>
      </c>
      <c r="B239" s="1150" t="s">
        <v>986</v>
      </c>
      <c r="C239" s="1150" t="s">
        <v>993</v>
      </c>
      <c r="D239" s="1151">
        <v>43090</v>
      </c>
      <c r="E239" s="1152">
        <v>28650000</v>
      </c>
      <c r="F239" s="1150" t="s">
        <v>610</v>
      </c>
      <c r="G239" s="1153" t="s">
        <v>611</v>
      </c>
      <c r="H239" s="1154">
        <v>2497</v>
      </c>
      <c r="I239" s="1150" t="s">
        <v>612</v>
      </c>
      <c r="J239" s="1153" t="s">
        <v>14</v>
      </c>
      <c r="K239" s="1150" t="s">
        <v>18</v>
      </c>
      <c r="L239" s="1150" t="s">
        <v>988</v>
      </c>
      <c r="M239" s="1153" t="s">
        <v>14</v>
      </c>
      <c r="N239" s="1153" t="s">
        <v>989</v>
      </c>
      <c r="O239" s="1155">
        <v>75</v>
      </c>
      <c r="P239" s="1155">
        <v>0</v>
      </c>
      <c r="Q239" s="1155">
        <v>9</v>
      </c>
      <c r="R239" s="1150" t="s">
        <v>662</v>
      </c>
      <c r="S239" s="1150" t="s">
        <v>625</v>
      </c>
      <c r="T239" s="1150" t="s">
        <v>990</v>
      </c>
      <c r="U239" s="1157">
        <v>135000</v>
      </c>
      <c r="V239" s="1150" t="s">
        <v>990</v>
      </c>
      <c r="W239" s="1157">
        <v>135000</v>
      </c>
      <c r="X239" s="1150" t="s">
        <v>721</v>
      </c>
      <c r="Y239" s="1158">
        <v>43090.402453703704</v>
      </c>
      <c r="Z239" s="1150" t="s">
        <v>618</v>
      </c>
      <c r="AA239" s="1158">
        <v>43699.69137731481</v>
      </c>
      <c r="AB239" s="1138">
        <f t="shared" si="3"/>
        <v>270000</v>
      </c>
    </row>
    <row r="240" ht="24" customHeight="1" spans="1:28" x14ac:dyDescent="0.25">
      <c r="A240" s="1159">
        <v>109134</v>
      </c>
      <c r="B240" s="1159" t="s">
        <v>986</v>
      </c>
      <c r="C240" s="1159" t="s">
        <v>994</v>
      </c>
      <c r="D240" s="1160">
        <v>43090</v>
      </c>
      <c r="E240" s="1161">
        <v>32800000</v>
      </c>
      <c r="F240" s="1159" t="s">
        <v>610</v>
      </c>
      <c r="G240" s="1162" t="s">
        <v>611</v>
      </c>
      <c r="H240" s="1163">
        <v>2497</v>
      </c>
      <c r="I240" s="1159" t="s">
        <v>612</v>
      </c>
      <c r="J240" s="1162" t="s">
        <v>14</v>
      </c>
      <c r="K240" s="1159" t="s">
        <v>18</v>
      </c>
      <c r="L240" s="1159" t="s">
        <v>988</v>
      </c>
      <c r="M240" s="1162" t="s">
        <v>14</v>
      </c>
      <c r="N240" s="1162" t="s">
        <v>989</v>
      </c>
      <c r="O240" s="1164">
        <v>75</v>
      </c>
      <c r="P240" s="1164">
        <v>0</v>
      </c>
      <c r="Q240" s="1164">
        <v>9</v>
      </c>
      <c r="R240" s="1159" t="s">
        <v>662</v>
      </c>
      <c r="S240" s="1159" t="s">
        <v>625</v>
      </c>
      <c r="T240" s="1159" t="s">
        <v>990</v>
      </c>
      <c r="U240" s="1166">
        <v>135000</v>
      </c>
      <c r="V240" s="1159" t="s">
        <v>990</v>
      </c>
      <c r="W240" s="1166">
        <v>135000</v>
      </c>
      <c r="X240" s="1159" t="s">
        <v>721</v>
      </c>
      <c r="Y240" s="1167">
        <v>43090.40755787037</v>
      </c>
      <c r="Z240" s="1159" t="s">
        <v>618</v>
      </c>
      <c r="AA240" s="1167">
        <v>43834.44123842593</v>
      </c>
      <c r="AB240" s="1138">
        <f t="shared" si="3"/>
        <v>270000</v>
      </c>
    </row>
    <row r="241" ht="24" customHeight="1" spans="1:28" x14ac:dyDescent="0.25">
      <c r="A241" s="1150">
        <v>109132</v>
      </c>
      <c r="B241" s="1150" t="s">
        <v>986</v>
      </c>
      <c r="C241" s="1150" t="s">
        <v>995</v>
      </c>
      <c r="D241" s="1151">
        <v>43090</v>
      </c>
      <c r="E241" s="1152">
        <v>29100000</v>
      </c>
      <c r="F241" s="1150" t="s">
        <v>610</v>
      </c>
      <c r="G241" s="1153" t="s">
        <v>611</v>
      </c>
      <c r="H241" s="1154">
        <v>2497</v>
      </c>
      <c r="I241" s="1150" t="s">
        <v>612</v>
      </c>
      <c r="J241" s="1153" t="s">
        <v>14</v>
      </c>
      <c r="K241" s="1150" t="s">
        <v>18</v>
      </c>
      <c r="L241" s="1150" t="s">
        <v>988</v>
      </c>
      <c r="M241" s="1153" t="s">
        <v>14</v>
      </c>
      <c r="N241" s="1153" t="s">
        <v>989</v>
      </c>
      <c r="O241" s="1155">
        <v>75</v>
      </c>
      <c r="P241" s="1155">
        <v>0</v>
      </c>
      <c r="Q241" s="1155">
        <v>9</v>
      </c>
      <c r="R241" s="1150" t="s">
        <v>662</v>
      </c>
      <c r="S241" s="1150" t="s">
        <v>625</v>
      </c>
      <c r="T241" s="1150" t="s">
        <v>990</v>
      </c>
      <c r="U241" s="1157">
        <v>135000</v>
      </c>
      <c r="V241" s="1150" t="s">
        <v>990</v>
      </c>
      <c r="W241" s="1157">
        <v>135000</v>
      </c>
      <c r="X241" s="1150" t="s">
        <v>721</v>
      </c>
      <c r="Y241" s="1158">
        <v>43090.40693287037</v>
      </c>
      <c r="Z241" s="1150" t="s">
        <v>618</v>
      </c>
      <c r="AA241" s="1158">
        <v>43834.44047453704</v>
      </c>
      <c r="AB241" s="1138">
        <f t="shared" si="3"/>
        <v>270000</v>
      </c>
    </row>
    <row r="242" ht="24" customHeight="1" spans="1:28" x14ac:dyDescent="0.25">
      <c r="A242" s="1159">
        <v>109133</v>
      </c>
      <c r="B242" s="1159" t="s">
        <v>986</v>
      </c>
      <c r="C242" s="1159" t="s">
        <v>996</v>
      </c>
      <c r="D242" s="1160">
        <v>43090</v>
      </c>
      <c r="E242" s="1161">
        <v>30550000</v>
      </c>
      <c r="F242" s="1159" t="s">
        <v>610</v>
      </c>
      <c r="G242" s="1162" t="s">
        <v>611</v>
      </c>
      <c r="H242" s="1163">
        <v>2497</v>
      </c>
      <c r="I242" s="1159" t="s">
        <v>612</v>
      </c>
      <c r="J242" s="1162" t="s">
        <v>14</v>
      </c>
      <c r="K242" s="1159" t="s">
        <v>18</v>
      </c>
      <c r="L242" s="1159" t="s">
        <v>988</v>
      </c>
      <c r="M242" s="1162" t="s">
        <v>14</v>
      </c>
      <c r="N242" s="1162" t="s">
        <v>989</v>
      </c>
      <c r="O242" s="1164">
        <v>75</v>
      </c>
      <c r="P242" s="1164">
        <v>0</v>
      </c>
      <c r="Q242" s="1164">
        <v>9</v>
      </c>
      <c r="R242" s="1159" t="s">
        <v>662</v>
      </c>
      <c r="S242" s="1159" t="s">
        <v>625</v>
      </c>
      <c r="T242" s="1159" t="s">
        <v>990</v>
      </c>
      <c r="U242" s="1166">
        <v>135000</v>
      </c>
      <c r="V242" s="1159" t="s">
        <v>990</v>
      </c>
      <c r="W242" s="1166">
        <v>135000</v>
      </c>
      <c r="X242" s="1159" t="s">
        <v>721</v>
      </c>
      <c r="Y242" s="1167">
        <v>43090.40736111111</v>
      </c>
      <c r="Z242" s="1159" t="s">
        <v>618</v>
      </c>
      <c r="AA242" s="1167">
        <v>43834.440937499996</v>
      </c>
      <c r="AB242" s="1138">
        <f t="shared" si="3"/>
        <v>270000</v>
      </c>
    </row>
    <row r="243" ht="24" customHeight="1" spans="1:28" x14ac:dyDescent="0.25">
      <c r="A243" s="1150">
        <v>109122</v>
      </c>
      <c r="B243" s="1150" t="s">
        <v>986</v>
      </c>
      <c r="C243" s="1150" t="s">
        <v>997</v>
      </c>
      <c r="D243" s="1151">
        <v>43090</v>
      </c>
      <c r="E243" s="1152">
        <v>27500000</v>
      </c>
      <c r="F243" s="1150" t="s">
        <v>610</v>
      </c>
      <c r="G243" s="1153" t="s">
        <v>611</v>
      </c>
      <c r="H243" s="1154">
        <v>2497</v>
      </c>
      <c r="I243" s="1150" t="s">
        <v>612</v>
      </c>
      <c r="J243" s="1153" t="s">
        <v>14</v>
      </c>
      <c r="K243" s="1150" t="s">
        <v>18</v>
      </c>
      <c r="L243" s="1150" t="s">
        <v>988</v>
      </c>
      <c r="M243" s="1153" t="s">
        <v>14</v>
      </c>
      <c r="N243" s="1153" t="s">
        <v>989</v>
      </c>
      <c r="O243" s="1155">
        <v>75</v>
      </c>
      <c r="P243" s="1155">
        <v>0</v>
      </c>
      <c r="Q243" s="1155">
        <v>11</v>
      </c>
      <c r="R243" s="1150" t="s">
        <v>710</v>
      </c>
      <c r="S243" s="1150" t="s">
        <v>625</v>
      </c>
      <c r="T243" s="1150" t="s">
        <v>990</v>
      </c>
      <c r="U243" s="1157">
        <v>135000</v>
      </c>
      <c r="V243" s="1150" t="s">
        <v>990</v>
      </c>
      <c r="W243" s="1157">
        <v>135000</v>
      </c>
      <c r="X243" s="1150" t="s">
        <v>721</v>
      </c>
      <c r="Y243" s="1158">
        <v>43090.36840277778</v>
      </c>
      <c r="Z243" s="1150" t="s">
        <v>618</v>
      </c>
      <c r="AA243" s="1158">
        <v>43859.45116898148</v>
      </c>
      <c r="AB243" s="1138">
        <f t="shared" si="3"/>
        <v>270000</v>
      </c>
    </row>
    <row r="244" ht="24" customHeight="1" spans="1:28" x14ac:dyDescent="0.25">
      <c r="A244" s="1159">
        <v>109121</v>
      </c>
      <c r="B244" s="1159" t="s">
        <v>986</v>
      </c>
      <c r="C244" s="1159" t="s">
        <v>998</v>
      </c>
      <c r="D244" s="1160">
        <v>43090</v>
      </c>
      <c r="E244" s="1161">
        <v>26250000</v>
      </c>
      <c r="F244" s="1159" t="s">
        <v>610</v>
      </c>
      <c r="G244" s="1162" t="s">
        <v>611</v>
      </c>
      <c r="H244" s="1163">
        <v>2497</v>
      </c>
      <c r="I244" s="1159" t="s">
        <v>612</v>
      </c>
      <c r="J244" s="1162" t="s">
        <v>14</v>
      </c>
      <c r="K244" s="1159" t="s">
        <v>18</v>
      </c>
      <c r="L244" s="1159" t="s">
        <v>988</v>
      </c>
      <c r="M244" s="1162" t="s">
        <v>14</v>
      </c>
      <c r="N244" s="1162" t="s">
        <v>989</v>
      </c>
      <c r="O244" s="1164">
        <v>75</v>
      </c>
      <c r="P244" s="1164">
        <v>0</v>
      </c>
      <c r="Q244" s="1164">
        <v>11</v>
      </c>
      <c r="R244" s="1159" t="s">
        <v>710</v>
      </c>
      <c r="S244" s="1159" t="s">
        <v>625</v>
      </c>
      <c r="T244" s="1159" t="s">
        <v>990</v>
      </c>
      <c r="U244" s="1166">
        <v>135000</v>
      </c>
      <c r="V244" s="1159" t="s">
        <v>990</v>
      </c>
      <c r="W244" s="1166">
        <v>135000</v>
      </c>
      <c r="X244" s="1159" t="s">
        <v>721</v>
      </c>
      <c r="Y244" s="1167">
        <v>43090.368252314816</v>
      </c>
      <c r="Z244" s="1159" t="s">
        <v>618</v>
      </c>
      <c r="AA244" s="1167">
        <v>43859.451261574075</v>
      </c>
      <c r="AB244" s="1138">
        <f t="shared" si="3"/>
        <v>270000</v>
      </c>
    </row>
    <row r="245" ht="24" customHeight="1" spans="1:28" x14ac:dyDescent="0.25">
      <c r="A245" s="1150">
        <v>109120</v>
      </c>
      <c r="B245" s="1150" t="s">
        <v>986</v>
      </c>
      <c r="C245" s="1150" t="s">
        <v>999</v>
      </c>
      <c r="D245" s="1151">
        <v>43090</v>
      </c>
      <c r="E245" s="1152">
        <v>25500000</v>
      </c>
      <c r="F245" s="1150" t="s">
        <v>610</v>
      </c>
      <c r="G245" s="1153" t="s">
        <v>611</v>
      </c>
      <c r="H245" s="1154">
        <v>2497</v>
      </c>
      <c r="I245" s="1150" t="s">
        <v>612</v>
      </c>
      <c r="J245" s="1153" t="s">
        <v>14</v>
      </c>
      <c r="K245" s="1150" t="s">
        <v>18</v>
      </c>
      <c r="L245" s="1150" t="s">
        <v>988</v>
      </c>
      <c r="M245" s="1153" t="s">
        <v>14</v>
      </c>
      <c r="N245" s="1153" t="s">
        <v>989</v>
      </c>
      <c r="O245" s="1155">
        <v>75</v>
      </c>
      <c r="P245" s="1155">
        <v>0</v>
      </c>
      <c r="Q245" s="1155">
        <v>11</v>
      </c>
      <c r="R245" s="1150" t="s">
        <v>710</v>
      </c>
      <c r="S245" s="1150" t="s">
        <v>625</v>
      </c>
      <c r="T245" s="1150" t="s">
        <v>1000</v>
      </c>
      <c r="U245" s="1157">
        <v>92000</v>
      </c>
      <c r="V245" s="1150" t="s">
        <v>1000</v>
      </c>
      <c r="W245" s="1157">
        <v>92000</v>
      </c>
      <c r="X245" s="1150" t="s">
        <v>721</v>
      </c>
      <c r="Y245" s="1158">
        <v>43090.36729166667</v>
      </c>
      <c r="Z245" s="1150" t="s">
        <v>618</v>
      </c>
      <c r="AA245" s="1158">
        <v>43859.45140046296</v>
      </c>
      <c r="AB245" s="1138">
        <f t="shared" si="3"/>
        <v>184000</v>
      </c>
    </row>
    <row r="246" ht="24" customHeight="1" spans="1:28" x14ac:dyDescent="0.25">
      <c r="A246" s="1159">
        <v>109124</v>
      </c>
      <c r="B246" s="1159" t="s">
        <v>986</v>
      </c>
      <c r="C246" s="1159" t="s">
        <v>1001</v>
      </c>
      <c r="D246" s="1160">
        <v>43090</v>
      </c>
      <c r="E246" s="1161">
        <v>29400000</v>
      </c>
      <c r="F246" s="1159" t="s">
        <v>610</v>
      </c>
      <c r="G246" s="1162" t="s">
        <v>611</v>
      </c>
      <c r="H246" s="1163">
        <v>2497</v>
      </c>
      <c r="I246" s="1159" t="s">
        <v>612</v>
      </c>
      <c r="J246" s="1162" t="s">
        <v>14</v>
      </c>
      <c r="K246" s="1159" t="s">
        <v>18</v>
      </c>
      <c r="L246" s="1159" t="s">
        <v>988</v>
      </c>
      <c r="M246" s="1162" t="s">
        <v>14</v>
      </c>
      <c r="N246" s="1162" t="s">
        <v>989</v>
      </c>
      <c r="O246" s="1164">
        <v>75</v>
      </c>
      <c r="P246" s="1164">
        <v>0</v>
      </c>
      <c r="Q246" s="1164">
        <v>11</v>
      </c>
      <c r="R246" s="1159" t="s">
        <v>662</v>
      </c>
      <c r="S246" s="1159" t="s">
        <v>625</v>
      </c>
      <c r="T246" s="1159" t="s">
        <v>990</v>
      </c>
      <c r="U246" s="1166">
        <v>135000</v>
      </c>
      <c r="V246" s="1159" t="s">
        <v>990</v>
      </c>
      <c r="W246" s="1166">
        <v>135000</v>
      </c>
      <c r="X246" s="1159" t="s">
        <v>721</v>
      </c>
      <c r="Y246" s="1167">
        <v>43090.399409722224</v>
      </c>
      <c r="Z246" s="1159" t="s">
        <v>618</v>
      </c>
      <c r="AA246" s="1167">
        <v>43859.450960648144</v>
      </c>
      <c r="AB246" s="1138">
        <f t="shared" si="3"/>
        <v>270000</v>
      </c>
    </row>
    <row r="247" ht="24" customHeight="1" spans="1:28" x14ac:dyDescent="0.25">
      <c r="A247" s="1150">
        <v>109123</v>
      </c>
      <c r="B247" s="1150" t="s">
        <v>986</v>
      </c>
      <c r="C247" s="1150" t="s">
        <v>1002</v>
      </c>
      <c r="D247" s="1151">
        <v>43090</v>
      </c>
      <c r="E247" s="1152">
        <v>28150000</v>
      </c>
      <c r="F247" s="1150" t="s">
        <v>610</v>
      </c>
      <c r="G247" s="1153" t="s">
        <v>611</v>
      </c>
      <c r="H247" s="1154">
        <v>2497</v>
      </c>
      <c r="I247" s="1150" t="s">
        <v>612</v>
      </c>
      <c r="J247" s="1153" t="s">
        <v>14</v>
      </c>
      <c r="K247" s="1150" t="s">
        <v>18</v>
      </c>
      <c r="L247" s="1150" t="s">
        <v>988</v>
      </c>
      <c r="M247" s="1153" t="s">
        <v>14</v>
      </c>
      <c r="N247" s="1153" t="s">
        <v>989</v>
      </c>
      <c r="O247" s="1155">
        <v>75</v>
      </c>
      <c r="P247" s="1155">
        <v>0</v>
      </c>
      <c r="Q247" s="1155">
        <v>11</v>
      </c>
      <c r="R247" s="1150" t="s">
        <v>662</v>
      </c>
      <c r="S247" s="1150" t="s">
        <v>625</v>
      </c>
      <c r="T247" s="1150" t="s">
        <v>990</v>
      </c>
      <c r="U247" s="1157">
        <v>135000</v>
      </c>
      <c r="V247" s="1150" t="s">
        <v>990</v>
      </c>
      <c r="W247" s="1157">
        <v>135000</v>
      </c>
      <c r="X247" s="1150" t="s">
        <v>721</v>
      </c>
      <c r="Y247" s="1158">
        <v>43090.37060185186</v>
      </c>
      <c r="Z247" s="1150" t="s">
        <v>618</v>
      </c>
      <c r="AA247" s="1158">
        <v>43859.451053240744</v>
      </c>
      <c r="AB247" s="1138">
        <f t="shared" si="3"/>
        <v>270000</v>
      </c>
    </row>
    <row r="248" ht="24" customHeight="1" spans="1:28" x14ac:dyDescent="0.25">
      <c r="A248" s="1159">
        <v>109116</v>
      </c>
      <c r="B248" s="1159" t="s">
        <v>986</v>
      </c>
      <c r="C248" s="1159" t="s">
        <v>1003</v>
      </c>
      <c r="D248" s="1160">
        <v>43090</v>
      </c>
      <c r="E248" s="1161">
        <v>27500000</v>
      </c>
      <c r="F248" s="1159" t="s">
        <v>610</v>
      </c>
      <c r="G248" s="1162" t="s">
        <v>611</v>
      </c>
      <c r="H248" s="1163">
        <v>2497</v>
      </c>
      <c r="I248" s="1159" t="s">
        <v>612</v>
      </c>
      <c r="J248" s="1162" t="s">
        <v>14</v>
      </c>
      <c r="K248" s="1159" t="s">
        <v>18</v>
      </c>
      <c r="L248" s="1159" t="s">
        <v>988</v>
      </c>
      <c r="M248" s="1162" t="s">
        <v>14</v>
      </c>
      <c r="N248" s="1162" t="s">
        <v>989</v>
      </c>
      <c r="O248" s="1164">
        <v>75</v>
      </c>
      <c r="P248" s="1164">
        <v>0</v>
      </c>
      <c r="Q248" s="1164">
        <v>12</v>
      </c>
      <c r="R248" s="1159" t="s">
        <v>662</v>
      </c>
      <c r="S248" s="1159" t="s">
        <v>625</v>
      </c>
      <c r="T248" s="1159" t="s">
        <v>990</v>
      </c>
      <c r="U248" s="1166">
        <v>135000</v>
      </c>
      <c r="V248" s="1159" t="s">
        <v>990</v>
      </c>
      <c r="W248" s="1166">
        <v>135000</v>
      </c>
      <c r="X248" s="1159" t="s">
        <v>721</v>
      </c>
      <c r="Y248" s="1167">
        <v>43090.36298611111</v>
      </c>
      <c r="Z248" s="1159" t="s">
        <v>618</v>
      </c>
      <c r="AA248" s="1167">
        <v>43859.45053240741</v>
      </c>
      <c r="AB248" s="1138">
        <f t="shared" si="3"/>
        <v>270000</v>
      </c>
    </row>
    <row r="249" ht="24" customHeight="1" spans="1:28" x14ac:dyDescent="0.25">
      <c r="A249" s="1150">
        <v>109115</v>
      </c>
      <c r="B249" s="1150" t="s">
        <v>986</v>
      </c>
      <c r="C249" s="1150" t="s">
        <v>1004</v>
      </c>
      <c r="D249" s="1151">
        <v>43090</v>
      </c>
      <c r="E249" s="1152">
        <v>24400000</v>
      </c>
      <c r="F249" s="1150" t="s">
        <v>610</v>
      </c>
      <c r="G249" s="1153" t="s">
        <v>611</v>
      </c>
      <c r="H249" s="1154">
        <v>2497</v>
      </c>
      <c r="I249" s="1150" t="s">
        <v>612</v>
      </c>
      <c r="J249" s="1153" t="s">
        <v>14</v>
      </c>
      <c r="K249" s="1150" t="s">
        <v>18</v>
      </c>
      <c r="L249" s="1150" t="s">
        <v>988</v>
      </c>
      <c r="M249" s="1153" t="s">
        <v>14</v>
      </c>
      <c r="N249" s="1153" t="s">
        <v>989</v>
      </c>
      <c r="O249" s="1155">
        <v>75</v>
      </c>
      <c r="P249" s="1155">
        <v>0</v>
      </c>
      <c r="Q249" s="1155">
        <v>12</v>
      </c>
      <c r="R249" s="1150" t="s">
        <v>662</v>
      </c>
      <c r="S249" s="1150" t="s">
        <v>625</v>
      </c>
      <c r="T249" s="1150" t="s">
        <v>990</v>
      </c>
      <c r="U249" s="1157">
        <v>135000</v>
      </c>
      <c r="V249" s="1150" t="s">
        <v>990</v>
      </c>
      <c r="W249" s="1157">
        <v>135000</v>
      </c>
      <c r="X249" s="1150" t="s">
        <v>721</v>
      </c>
      <c r="Y249" s="1158">
        <v>43090.36057870371</v>
      </c>
      <c r="Z249" s="1150" t="s">
        <v>618</v>
      </c>
      <c r="AA249" s="1158">
        <v>43859.450625</v>
      </c>
      <c r="AB249" s="1138">
        <f t="shared" si="3"/>
        <v>270000</v>
      </c>
    </row>
    <row r="250" ht="24" customHeight="1" spans="1:28" x14ac:dyDescent="0.25">
      <c r="A250" s="1159">
        <v>109078</v>
      </c>
      <c r="B250" s="1159" t="s">
        <v>986</v>
      </c>
      <c r="C250" s="1159" t="s">
        <v>1005</v>
      </c>
      <c r="D250" s="1160">
        <v>43076</v>
      </c>
      <c r="E250" s="1161">
        <v>23650000</v>
      </c>
      <c r="F250" s="1159" t="s">
        <v>610</v>
      </c>
      <c r="G250" s="1162" t="s">
        <v>611</v>
      </c>
      <c r="H250" s="1163">
        <v>2497</v>
      </c>
      <c r="I250" s="1159" t="s">
        <v>612</v>
      </c>
      <c r="J250" s="1162" t="s">
        <v>14</v>
      </c>
      <c r="K250" s="1159" t="s">
        <v>18</v>
      </c>
      <c r="L250" s="1159" t="s">
        <v>988</v>
      </c>
      <c r="M250" s="1162" t="s">
        <v>14</v>
      </c>
      <c r="N250" s="1162" t="s">
        <v>989</v>
      </c>
      <c r="O250" s="1164">
        <v>75</v>
      </c>
      <c r="P250" s="1164">
        <v>0</v>
      </c>
      <c r="Q250" s="1164">
        <v>12</v>
      </c>
      <c r="R250" s="1159" t="s">
        <v>662</v>
      </c>
      <c r="S250" s="1159" t="s">
        <v>625</v>
      </c>
      <c r="T250" s="1159" t="s">
        <v>1000</v>
      </c>
      <c r="U250" s="1166">
        <v>92000</v>
      </c>
      <c r="V250" s="1159" t="s">
        <v>1000</v>
      </c>
      <c r="W250" s="1166">
        <v>92000</v>
      </c>
      <c r="X250" s="1159" t="s">
        <v>721</v>
      </c>
      <c r="Y250" s="1167">
        <v>43076.713842592595</v>
      </c>
      <c r="Z250" s="1159" t="s">
        <v>618</v>
      </c>
      <c r="AA250" s="1167">
        <v>43859.4507175926</v>
      </c>
      <c r="AB250" s="1138">
        <f t="shared" si="3"/>
        <v>184000</v>
      </c>
    </row>
    <row r="251" ht="24" customHeight="1" spans="1:28" x14ac:dyDescent="0.25">
      <c r="A251" s="1150">
        <v>109119</v>
      </c>
      <c r="B251" s="1150" t="s">
        <v>986</v>
      </c>
      <c r="C251" s="1150" t="s">
        <v>1006</v>
      </c>
      <c r="D251" s="1151">
        <v>43090</v>
      </c>
      <c r="E251" s="1152">
        <v>27500000</v>
      </c>
      <c r="F251" s="1150" t="s">
        <v>610</v>
      </c>
      <c r="G251" s="1153" t="s">
        <v>611</v>
      </c>
      <c r="H251" s="1154">
        <v>2497</v>
      </c>
      <c r="I251" s="1150" t="s">
        <v>612</v>
      </c>
      <c r="J251" s="1153" t="s">
        <v>14</v>
      </c>
      <c r="K251" s="1150" t="s">
        <v>18</v>
      </c>
      <c r="L251" s="1150" t="s">
        <v>988</v>
      </c>
      <c r="M251" s="1153" t="s">
        <v>14</v>
      </c>
      <c r="N251" s="1153" t="s">
        <v>989</v>
      </c>
      <c r="O251" s="1155">
        <v>75</v>
      </c>
      <c r="P251" s="1155">
        <v>0</v>
      </c>
      <c r="Q251" s="1155">
        <v>12</v>
      </c>
      <c r="R251" s="1150" t="s">
        <v>710</v>
      </c>
      <c r="S251" s="1150" t="s">
        <v>625</v>
      </c>
      <c r="T251" s="1150" t="s">
        <v>990</v>
      </c>
      <c r="U251" s="1157">
        <v>135000</v>
      </c>
      <c r="V251" s="1150" t="s">
        <v>990</v>
      </c>
      <c r="W251" s="1157">
        <v>135000</v>
      </c>
      <c r="X251" s="1150" t="s">
        <v>721</v>
      </c>
      <c r="Y251" s="1158">
        <v>43090.367002314815</v>
      </c>
      <c r="Z251" s="1150" t="s">
        <v>618</v>
      </c>
      <c r="AA251" s="1158">
        <v>43859.45025462963</v>
      </c>
      <c r="AB251" s="1138">
        <f t="shared" si="3"/>
        <v>270000</v>
      </c>
    </row>
    <row r="252" ht="24" customHeight="1" spans="1:28" x14ac:dyDescent="0.25">
      <c r="A252" s="1159">
        <v>109118</v>
      </c>
      <c r="B252" s="1159" t="s">
        <v>986</v>
      </c>
      <c r="C252" s="1159" t="s">
        <v>1007</v>
      </c>
      <c r="D252" s="1160">
        <v>43090</v>
      </c>
      <c r="E252" s="1161">
        <v>24400000</v>
      </c>
      <c r="F252" s="1159" t="s">
        <v>610</v>
      </c>
      <c r="G252" s="1162" t="s">
        <v>611</v>
      </c>
      <c r="H252" s="1163">
        <v>2497</v>
      </c>
      <c r="I252" s="1159" t="s">
        <v>612</v>
      </c>
      <c r="J252" s="1162" t="s">
        <v>14</v>
      </c>
      <c r="K252" s="1159" t="s">
        <v>18</v>
      </c>
      <c r="L252" s="1159" t="s">
        <v>988</v>
      </c>
      <c r="M252" s="1162" t="s">
        <v>14</v>
      </c>
      <c r="N252" s="1162" t="s">
        <v>989</v>
      </c>
      <c r="O252" s="1164">
        <v>75</v>
      </c>
      <c r="P252" s="1164">
        <v>0</v>
      </c>
      <c r="Q252" s="1164">
        <v>12</v>
      </c>
      <c r="R252" s="1159" t="s">
        <v>710</v>
      </c>
      <c r="S252" s="1159" t="s">
        <v>625</v>
      </c>
      <c r="T252" s="1159" t="s">
        <v>990</v>
      </c>
      <c r="U252" s="1166">
        <v>135000</v>
      </c>
      <c r="V252" s="1159" t="s">
        <v>990</v>
      </c>
      <c r="W252" s="1166">
        <v>135000</v>
      </c>
      <c r="X252" s="1159" t="s">
        <v>721</v>
      </c>
      <c r="Y252" s="1167">
        <v>43090.36634259259</v>
      </c>
      <c r="Z252" s="1159" t="s">
        <v>618</v>
      </c>
      <c r="AA252" s="1167">
        <v>43859.45034722222</v>
      </c>
      <c r="AB252" s="1138">
        <f t="shared" si="3"/>
        <v>270000</v>
      </c>
    </row>
    <row r="253" ht="24" customHeight="1" spans="1:28" x14ac:dyDescent="0.25">
      <c r="A253" s="1150">
        <v>110138</v>
      </c>
      <c r="B253" s="1150" t="s">
        <v>986</v>
      </c>
      <c r="C253" s="1150" t="s">
        <v>1008</v>
      </c>
      <c r="D253" s="1151">
        <v>43529</v>
      </c>
      <c r="E253" s="1152">
        <v>60530000</v>
      </c>
      <c r="F253" s="1150" t="s">
        <v>610</v>
      </c>
      <c r="G253" s="1153" t="s">
        <v>611</v>
      </c>
      <c r="H253" s="1154">
        <v>2497</v>
      </c>
      <c r="I253" s="1150" t="s">
        <v>612</v>
      </c>
      <c r="J253" s="1153" t="s">
        <v>14</v>
      </c>
      <c r="K253" s="1150" t="s">
        <v>18</v>
      </c>
      <c r="L253" s="1150" t="s">
        <v>1009</v>
      </c>
      <c r="M253" s="1153" t="s">
        <v>14</v>
      </c>
      <c r="N253" s="1153" t="s">
        <v>989</v>
      </c>
      <c r="O253" s="1155">
        <v>75</v>
      </c>
      <c r="P253" s="1155">
        <v>0</v>
      </c>
      <c r="Q253" s="1155">
        <v>6</v>
      </c>
      <c r="R253" s="1150" t="s">
        <v>710</v>
      </c>
      <c r="S253" s="1150" t="s">
        <v>625</v>
      </c>
      <c r="T253" s="1150" t="s">
        <v>990</v>
      </c>
      <c r="U253" s="1157">
        <v>135000</v>
      </c>
      <c r="V253" s="1150" t="s">
        <v>990</v>
      </c>
      <c r="W253" s="1157">
        <v>135000</v>
      </c>
      <c r="X253" s="1150" t="s">
        <v>664</v>
      </c>
      <c r="Y253" s="1158">
        <v>43529.45040509259</v>
      </c>
      <c r="Z253" s="1150" t="s">
        <v>1010</v>
      </c>
      <c r="AA253" s="1158">
        <v>43860.725856481484</v>
      </c>
      <c r="AB253" s="1138">
        <f t="shared" si="3"/>
        <v>270000</v>
      </c>
    </row>
    <row r="254" ht="24" customHeight="1" spans="1:28" x14ac:dyDescent="0.25">
      <c r="A254" s="1159">
        <v>110139</v>
      </c>
      <c r="B254" s="1159" t="s">
        <v>986</v>
      </c>
      <c r="C254" s="1159" t="s">
        <v>1011</v>
      </c>
      <c r="D254" s="1160">
        <v>43529</v>
      </c>
      <c r="E254" s="1161">
        <v>55860000</v>
      </c>
      <c r="F254" s="1159" t="s">
        <v>610</v>
      </c>
      <c r="G254" s="1162" t="s">
        <v>611</v>
      </c>
      <c r="H254" s="1163">
        <v>2497</v>
      </c>
      <c r="I254" s="1159" t="s">
        <v>612</v>
      </c>
      <c r="J254" s="1162" t="s">
        <v>14</v>
      </c>
      <c r="K254" s="1159" t="s">
        <v>18</v>
      </c>
      <c r="L254" s="1159" t="s">
        <v>1009</v>
      </c>
      <c r="M254" s="1162" t="s">
        <v>14</v>
      </c>
      <c r="N254" s="1162" t="s">
        <v>989</v>
      </c>
      <c r="O254" s="1164">
        <v>75</v>
      </c>
      <c r="P254" s="1164">
        <v>0</v>
      </c>
      <c r="Q254" s="1164">
        <v>6</v>
      </c>
      <c r="R254" s="1159" t="s">
        <v>710</v>
      </c>
      <c r="S254" s="1159" t="s">
        <v>625</v>
      </c>
      <c r="T254" s="1159" t="s">
        <v>990</v>
      </c>
      <c r="U254" s="1166">
        <v>135000</v>
      </c>
      <c r="V254" s="1159" t="s">
        <v>990</v>
      </c>
      <c r="W254" s="1166">
        <v>135000</v>
      </c>
      <c r="X254" s="1159" t="s">
        <v>664</v>
      </c>
      <c r="Y254" s="1167">
        <v>43529.45162037037</v>
      </c>
      <c r="Z254" s="1159" t="s">
        <v>1010</v>
      </c>
      <c r="AA254" s="1167">
        <v>43860.72540509259</v>
      </c>
      <c r="AB254" s="1138">
        <f t="shared" si="3"/>
        <v>270000</v>
      </c>
    </row>
    <row r="255" ht="24" customHeight="1" spans="1:28" x14ac:dyDescent="0.25">
      <c r="A255" s="1150">
        <v>110147</v>
      </c>
      <c r="B255" s="1150" t="s">
        <v>986</v>
      </c>
      <c r="C255" s="1150" t="s">
        <v>1012</v>
      </c>
      <c r="D255" s="1151">
        <v>43529</v>
      </c>
      <c r="E255" s="1152">
        <v>62430000</v>
      </c>
      <c r="F255" s="1150" t="s">
        <v>610</v>
      </c>
      <c r="G255" s="1153" t="s">
        <v>611</v>
      </c>
      <c r="H255" s="1154">
        <v>2497</v>
      </c>
      <c r="I255" s="1150" t="s">
        <v>612</v>
      </c>
      <c r="J255" s="1153" t="s">
        <v>14</v>
      </c>
      <c r="K255" s="1150" t="s">
        <v>18</v>
      </c>
      <c r="L255" s="1150" t="s">
        <v>1009</v>
      </c>
      <c r="M255" s="1153" t="s">
        <v>14</v>
      </c>
      <c r="N255" s="1153" t="s">
        <v>989</v>
      </c>
      <c r="O255" s="1155">
        <v>75</v>
      </c>
      <c r="P255" s="1155">
        <v>0</v>
      </c>
      <c r="Q255" s="1155">
        <v>6</v>
      </c>
      <c r="R255" s="1150" t="s">
        <v>710</v>
      </c>
      <c r="S255" s="1150" t="s">
        <v>625</v>
      </c>
      <c r="T255" s="1150" t="s">
        <v>990</v>
      </c>
      <c r="U255" s="1157">
        <v>135000</v>
      </c>
      <c r="V255" s="1150" t="s">
        <v>990</v>
      </c>
      <c r="W255" s="1157">
        <v>135000</v>
      </c>
      <c r="X255" s="1150" t="s">
        <v>664</v>
      </c>
      <c r="Y255" s="1158">
        <v>43529.456041666665</v>
      </c>
      <c r="Z255" s="1150" t="s">
        <v>1010</v>
      </c>
      <c r="AA255" s="1158">
        <v>43860.72618055556</v>
      </c>
      <c r="AB255" s="1138">
        <f t="shared" si="3"/>
        <v>270000</v>
      </c>
    </row>
    <row r="256" ht="24" customHeight="1" spans="1:28" x14ac:dyDescent="0.25">
      <c r="A256" s="1159">
        <v>110146</v>
      </c>
      <c r="B256" s="1159" t="s">
        <v>986</v>
      </c>
      <c r="C256" s="1159" t="s">
        <v>1013</v>
      </c>
      <c r="D256" s="1160">
        <v>43529</v>
      </c>
      <c r="E256" s="1161">
        <v>57760000</v>
      </c>
      <c r="F256" s="1159" t="s">
        <v>610</v>
      </c>
      <c r="G256" s="1162" t="s">
        <v>611</v>
      </c>
      <c r="H256" s="1163">
        <v>2497</v>
      </c>
      <c r="I256" s="1159" t="s">
        <v>612</v>
      </c>
      <c r="J256" s="1162" t="s">
        <v>14</v>
      </c>
      <c r="K256" s="1159" t="s">
        <v>18</v>
      </c>
      <c r="L256" s="1159" t="s">
        <v>1009</v>
      </c>
      <c r="M256" s="1162" t="s">
        <v>14</v>
      </c>
      <c r="N256" s="1162" t="s">
        <v>989</v>
      </c>
      <c r="O256" s="1164">
        <v>75</v>
      </c>
      <c r="P256" s="1164">
        <v>0</v>
      </c>
      <c r="Q256" s="1164">
        <v>6</v>
      </c>
      <c r="R256" s="1159" t="s">
        <v>710</v>
      </c>
      <c r="S256" s="1159" t="s">
        <v>625</v>
      </c>
      <c r="T256" s="1159" t="s">
        <v>990</v>
      </c>
      <c r="U256" s="1166">
        <v>135000</v>
      </c>
      <c r="V256" s="1159" t="s">
        <v>990</v>
      </c>
      <c r="W256" s="1166">
        <v>135000</v>
      </c>
      <c r="X256" s="1159" t="s">
        <v>664</v>
      </c>
      <c r="Y256" s="1167">
        <v>43529.455613425926</v>
      </c>
      <c r="Z256" s="1159" t="s">
        <v>1010</v>
      </c>
      <c r="AA256" s="1167">
        <v>43860.726018518515</v>
      </c>
      <c r="AB256" s="1138">
        <f t="shared" si="3"/>
        <v>270000</v>
      </c>
    </row>
    <row r="257" ht="24" customHeight="1" spans="1:28" x14ac:dyDescent="0.25">
      <c r="A257" s="1150">
        <v>110143</v>
      </c>
      <c r="B257" s="1150" t="s">
        <v>986</v>
      </c>
      <c r="C257" s="1150" t="s">
        <v>1014</v>
      </c>
      <c r="D257" s="1151">
        <v>43529</v>
      </c>
      <c r="E257" s="1152">
        <v>46450000</v>
      </c>
      <c r="F257" s="1150" t="s">
        <v>610</v>
      </c>
      <c r="G257" s="1153" t="s">
        <v>611</v>
      </c>
      <c r="H257" s="1154">
        <v>2497</v>
      </c>
      <c r="I257" s="1150" t="s">
        <v>612</v>
      </c>
      <c r="J257" s="1153" t="s">
        <v>14</v>
      </c>
      <c r="K257" s="1150" t="s">
        <v>18</v>
      </c>
      <c r="L257" s="1150" t="s">
        <v>1009</v>
      </c>
      <c r="M257" s="1153" t="s">
        <v>14</v>
      </c>
      <c r="N257" s="1153" t="s">
        <v>989</v>
      </c>
      <c r="O257" s="1155">
        <v>75</v>
      </c>
      <c r="P257" s="1155">
        <v>0</v>
      </c>
      <c r="Q257" s="1155">
        <v>9</v>
      </c>
      <c r="R257" s="1150" t="s">
        <v>710</v>
      </c>
      <c r="S257" s="1150" t="s">
        <v>625</v>
      </c>
      <c r="T257" s="1150" t="s">
        <v>990</v>
      </c>
      <c r="U257" s="1157">
        <v>135000</v>
      </c>
      <c r="V257" s="1150" t="s">
        <v>990</v>
      </c>
      <c r="W257" s="1157">
        <v>135000</v>
      </c>
      <c r="X257" s="1150" t="s">
        <v>664</v>
      </c>
      <c r="Y257" s="1158">
        <v>43529.45375</v>
      </c>
      <c r="Z257" s="1150" t="s">
        <v>1010</v>
      </c>
      <c r="AA257" s="1158">
        <v>43860.72646990741</v>
      </c>
      <c r="AB257" s="1138">
        <f t="shared" si="3"/>
        <v>270000</v>
      </c>
    </row>
    <row r="258" ht="24" customHeight="1" spans="1:28" x14ac:dyDescent="0.25">
      <c r="A258" s="1159">
        <v>110142</v>
      </c>
      <c r="B258" s="1159" t="s">
        <v>986</v>
      </c>
      <c r="C258" s="1159" t="s">
        <v>1015</v>
      </c>
      <c r="D258" s="1160">
        <v>43529</v>
      </c>
      <c r="E258" s="1161">
        <v>41850000</v>
      </c>
      <c r="F258" s="1159" t="s">
        <v>610</v>
      </c>
      <c r="G258" s="1162" t="s">
        <v>611</v>
      </c>
      <c r="H258" s="1163">
        <v>2497</v>
      </c>
      <c r="I258" s="1159" t="s">
        <v>612</v>
      </c>
      <c r="J258" s="1162" t="s">
        <v>14</v>
      </c>
      <c r="K258" s="1159" t="s">
        <v>18</v>
      </c>
      <c r="L258" s="1159" t="s">
        <v>1009</v>
      </c>
      <c r="M258" s="1162" t="s">
        <v>14</v>
      </c>
      <c r="N258" s="1162" t="s">
        <v>989</v>
      </c>
      <c r="O258" s="1164">
        <v>75</v>
      </c>
      <c r="P258" s="1164">
        <v>0</v>
      </c>
      <c r="Q258" s="1164">
        <v>9</v>
      </c>
      <c r="R258" s="1159" t="s">
        <v>710</v>
      </c>
      <c r="S258" s="1159" t="s">
        <v>625</v>
      </c>
      <c r="T258" s="1159" t="s">
        <v>990</v>
      </c>
      <c r="U258" s="1166">
        <v>135000</v>
      </c>
      <c r="V258" s="1159" t="s">
        <v>990</v>
      </c>
      <c r="W258" s="1166">
        <v>135000</v>
      </c>
      <c r="X258" s="1159" t="s">
        <v>664</v>
      </c>
      <c r="Y258" s="1167">
        <v>43529.45318287037</v>
      </c>
      <c r="Z258" s="1159" t="s">
        <v>1010</v>
      </c>
      <c r="AA258" s="1167">
        <v>43860.72635416666</v>
      </c>
      <c r="AB258" s="1138">
        <f t="shared" si="3"/>
        <v>270000</v>
      </c>
    </row>
    <row r="259" ht="24" customHeight="1" spans="1:28" x14ac:dyDescent="0.25">
      <c r="A259" s="1150">
        <v>110151</v>
      </c>
      <c r="B259" s="1150" t="s">
        <v>986</v>
      </c>
      <c r="C259" s="1150" t="s">
        <v>1016</v>
      </c>
      <c r="D259" s="1151">
        <v>43529</v>
      </c>
      <c r="E259" s="1152">
        <v>48350000</v>
      </c>
      <c r="F259" s="1150" t="s">
        <v>610</v>
      </c>
      <c r="G259" s="1153" t="s">
        <v>611</v>
      </c>
      <c r="H259" s="1154">
        <v>2497</v>
      </c>
      <c r="I259" s="1150" t="s">
        <v>612</v>
      </c>
      <c r="J259" s="1153" t="s">
        <v>14</v>
      </c>
      <c r="K259" s="1150" t="s">
        <v>18</v>
      </c>
      <c r="L259" s="1150" t="s">
        <v>1009</v>
      </c>
      <c r="M259" s="1153" t="s">
        <v>14</v>
      </c>
      <c r="N259" s="1153" t="s">
        <v>989</v>
      </c>
      <c r="O259" s="1155">
        <v>75</v>
      </c>
      <c r="P259" s="1155">
        <v>0</v>
      </c>
      <c r="Q259" s="1155">
        <v>9</v>
      </c>
      <c r="R259" s="1150" t="s">
        <v>710</v>
      </c>
      <c r="S259" s="1150" t="s">
        <v>625</v>
      </c>
      <c r="T259" s="1150" t="s">
        <v>990</v>
      </c>
      <c r="U259" s="1157">
        <v>135000</v>
      </c>
      <c r="V259" s="1150" t="s">
        <v>990</v>
      </c>
      <c r="W259" s="1157">
        <v>135000</v>
      </c>
      <c r="X259" s="1150" t="s">
        <v>664</v>
      </c>
      <c r="Y259" s="1158">
        <v>43529.46061342592</v>
      </c>
      <c r="Z259" s="1150" t="s">
        <v>1010</v>
      </c>
      <c r="AA259" s="1158">
        <v>43860.72678240741</v>
      </c>
      <c r="AB259" s="1138">
        <f t="shared" ref="AB259:AB322" si="4">W259*2</f>
        <v>270000</v>
      </c>
    </row>
    <row r="260" ht="24" customHeight="1" spans="1:28" x14ac:dyDescent="0.25">
      <c r="A260" s="1159">
        <v>110150</v>
      </c>
      <c r="B260" s="1159" t="s">
        <v>986</v>
      </c>
      <c r="C260" s="1159" t="s">
        <v>1017</v>
      </c>
      <c r="D260" s="1160">
        <v>43529</v>
      </c>
      <c r="E260" s="1161">
        <v>43750000</v>
      </c>
      <c r="F260" s="1159" t="s">
        <v>610</v>
      </c>
      <c r="G260" s="1162" t="s">
        <v>611</v>
      </c>
      <c r="H260" s="1163">
        <v>2497</v>
      </c>
      <c r="I260" s="1159" t="s">
        <v>612</v>
      </c>
      <c r="J260" s="1162" t="s">
        <v>14</v>
      </c>
      <c r="K260" s="1159" t="s">
        <v>18</v>
      </c>
      <c r="L260" s="1159" t="s">
        <v>1009</v>
      </c>
      <c r="M260" s="1162" t="s">
        <v>14</v>
      </c>
      <c r="N260" s="1162" t="s">
        <v>989</v>
      </c>
      <c r="O260" s="1164">
        <v>75</v>
      </c>
      <c r="P260" s="1164">
        <v>0</v>
      </c>
      <c r="Q260" s="1164">
        <v>9</v>
      </c>
      <c r="R260" s="1159" t="s">
        <v>710</v>
      </c>
      <c r="S260" s="1159" t="s">
        <v>625</v>
      </c>
      <c r="T260" s="1159" t="s">
        <v>990</v>
      </c>
      <c r="U260" s="1166">
        <v>135000</v>
      </c>
      <c r="V260" s="1159" t="s">
        <v>990</v>
      </c>
      <c r="W260" s="1166">
        <v>135000</v>
      </c>
      <c r="X260" s="1159" t="s">
        <v>664</v>
      </c>
      <c r="Y260" s="1167">
        <v>43529.45900462963</v>
      </c>
      <c r="Z260" s="1159" t="s">
        <v>1010</v>
      </c>
      <c r="AA260" s="1167">
        <v>43860.72666666667</v>
      </c>
      <c r="AB260" s="1138">
        <f t="shared" si="4"/>
        <v>270000</v>
      </c>
    </row>
    <row r="261" ht="24" customHeight="1" spans="1:28" x14ac:dyDescent="0.25">
      <c r="A261" s="1150">
        <v>110062</v>
      </c>
      <c r="B261" s="1150" t="s">
        <v>986</v>
      </c>
      <c r="C261" s="1150" t="s">
        <v>1018</v>
      </c>
      <c r="D261" s="1151">
        <v>43509</v>
      </c>
      <c r="E261" s="1152">
        <v>51000000</v>
      </c>
      <c r="F261" s="1150" t="s">
        <v>610</v>
      </c>
      <c r="G261" s="1153" t="s">
        <v>611</v>
      </c>
      <c r="H261" s="1154">
        <v>2497</v>
      </c>
      <c r="I261" s="1150" t="s">
        <v>612</v>
      </c>
      <c r="J261" s="1153" t="s">
        <v>14</v>
      </c>
      <c r="K261" s="1150" t="s">
        <v>18</v>
      </c>
      <c r="L261" s="1150" t="s">
        <v>1019</v>
      </c>
      <c r="M261" s="1153" t="s">
        <v>14</v>
      </c>
      <c r="N261" s="1153" t="s">
        <v>989</v>
      </c>
      <c r="O261" s="1155">
        <v>75</v>
      </c>
      <c r="P261" s="1155">
        <v>0</v>
      </c>
      <c r="Q261" s="1155">
        <v>4</v>
      </c>
      <c r="R261" s="1150" t="s">
        <v>615</v>
      </c>
      <c r="S261" s="1150" t="s">
        <v>625</v>
      </c>
      <c r="T261" s="1150" t="s">
        <v>990</v>
      </c>
      <c r="U261" s="1157">
        <v>135000</v>
      </c>
      <c r="V261" s="1150" t="s">
        <v>990</v>
      </c>
      <c r="W261" s="1157">
        <v>135000</v>
      </c>
      <c r="X261" s="1150" t="s">
        <v>664</v>
      </c>
      <c r="Y261" s="1158">
        <v>43509.75690972222</v>
      </c>
      <c r="Z261" s="1150" t="s">
        <v>618</v>
      </c>
      <c r="AA261" s="1158">
        <v>43834.52118055556</v>
      </c>
      <c r="AB261" s="1138">
        <f t="shared" si="4"/>
        <v>270000</v>
      </c>
    </row>
    <row r="262" ht="24" customHeight="1" spans="1:28" x14ac:dyDescent="0.25">
      <c r="A262" s="1159">
        <v>110895</v>
      </c>
      <c r="B262" s="1159" t="s">
        <v>986</v>
      </c>
      <c r="C262" s="1159" t="s">
        <v>1020</v>
      </c>
      <c r="D262" s="1160">
        <v>43831</v>
      </c>
      <c r="E262" s="1161">
        <v>52900000</v>
      </c>
      <c r="F262" s="1159" t="s">
        <v>610</v>
      </c>
      <c r="G262" s="1162" t="s">
        <v>611</v>
      </c>
      <c r="H262" s="1163">
        <v>2497</v>
      </c>
      <c r="I262" s="1159" t="s">
        <v>612</v>
      </c>
      <c r="J262" s="1162" t="s">
        <v>14</v>
      </c>
      <c r="K262" s="1159" t="s">
        <v>18</v>
      </c>
      <c r="L262" s="1159" t="s">
        <v>1019</v>
      </c>
      <c r="M262" s="1162" t="s">
        <v>14</v>
      </c>
      <c r="N262" s="1162" t="s">
        <v>989</v>
      </c>
      <c r="O262" s="1164">
        <v>75</v>
      </c>
      <c r="P262" s="1164">
        <v>0</v>
      </c>
      <c r="Q262" s="1164">
        <v>4</v>
      </c>
      <c r="R262" s="1159" t="s">
        <v>615</v>
      </c>
      <c r="S262" s="1159" t="s">
        <v>625</v>
      </c>
      <c r="T262" s="1159" t="s">
        <v>990</v>
      </c>
      <c r="U262" s="1166">
        <v>135000</v>
      </c>
      <c r="V262" s="1159" t="s">
        <v>990</v>
      </c>
      <c r="W262" s="1166">
        <v>135000</v>
      </c>
      <c r="X262" s="1159" t="s">
        <v>618</v>
      </c>
      <c r="Y262" s="1167">
        <v>43834.523194444446</v>
      </c>
      <c r="Z262" s="1159" t="s">
        <v>618</v>
      </c>
      <c r="AA262" s="1167">
        <v>43834.523194444446</v>
      </c>
      <c r="AB262" s="1138">
        <f t="shared" si="4"/>
        <v>270000</v>
      </c>
    </row>
    <row r="263" spans="1:28" x14ac:dyDescent="0.25">
      <c r="A263" s="1150">
        <v>109794</v>
      </c>
      <c r="B263" s="1150" t="s">
        <v>1021</v>
      </c>
      <c r="C263" s="1150" t="s">
        <v>1022</v>
      </c>
      <c r="D263" s="1151">
        <v>43353</v>
      </c>
      <c r="E263" s="1152">
        <v>18670000</v>
      </c>
      <c r="F263" s="1150" t="s">
        <v>387</v>
      </c>
      <c r="G263" s="1153" t="s">
        <v>611</v>
      </c>
      <c r="H263" s="1153">
        <v>998</v>
      </c>
      <c r="I263" s="1150" t="s">
        <v>612</v>
      </c>
      <c r="J263" s="1153" t="s">
        <v>14</v>
      </c>
      <c r="K263" s="1150" t="s">
        <v>76</v>
      </c>
      <c r="L263" s="1150" t="s">
        <v>1021</v>
      </c>
      <c r="M263" s="1153" t="s">
        <v>14</v>
      </c>
      <c r="N263" s="1153" t="s">
        <v>473</v>
      </c>
      <c r="O263" s="1155">
        <v>45</v>
      </c>
      <c r="P263" s="1156"/>
      <c r="Q263" s="1155">
        <v>5</v>
      </c>
      <c r="R263" s="1150" t="s">
        <v>710</v>
      </c>
      <c r="S263" s="1150" t="s">
        <v>648</v>
      </c>
      <c r="T263" s="1150" t="s">
        <v>947</v>
      </c>
      <c r="U263" s="1157">
        <v>130000</v>
      </c>
      <c r="V263" s="1150" t="s">
        <v>947</v>
      </c>
      <c r="W263" s="1157">
        <v>130000</v>
      </c>
      <c r="X263" s="1150" t="s">
        <v>721</v>
      </c>
      <c r="Y263" s="1158">
        <v>43353.90652777778</v>
      </c>
      <c r="Z263" s="1150" t="s">
        <v>618</v>
      </c>
      <c r="AA263" s="1158">
        <v>43897.9749537037</v>
      </c>
      <c r="AB263" s="1138">
        <f t="shared" si="4"/>
        <v>260000</v>
      </c>
    </row>
    <row r="264" ht="24" customHeight="1" spans="1:28" x14ac:dyDescent="0.25">
      <c r="A264" s="1159">
        <v>109795</v>
      </c>
      <c r="B264" s="1159" t="s">
        <v>1021</v>
      </c>
      <c r="C264" s="1159" t="s">
        <v>1023</v>
      </c>
      <c r="D264" s="1160">
        <v>43353</v>
      </c>
      <c r="E264" s="1161">
        <v>21110000</v>
      </c>
      <c r="F264" s="1159" t="s">
        <v>387</v>
      </c>
      <c r="G264" s="1162" t="s">
        <v>611</v>
      </c>
      <c r="H264" s="1162">
        <v>998</v>
      </c>
      <c r="I264" s="1159" t="s">
        <v>612</v>
      </c>
      <c r="J264" s="1162" t="s">
        <v>14</v>
      </c>
      <c r="K264" s="1159" t="s">
        <v>76</v>
      </c>
      <c r="L264" s="1159" t="s">
        <v>1021</v>
      </c>
      <c r="M264" s="1162" t="s">
        <v>14</v>
      </c>
      <c r="N264" s="1162" t="s">
        <v>473</v>
      </c>
      <c r="O264" s="1164">
        <v>45</v>
      </c>
      <c r="P264" s="1165"/>
      <c r="Q264" s="1164">
        <v>5</v>
      </c>
      <c r="R264" s="1159" t="s">
        <v>710</v>
      </c>
      <c r="S264" s="1159" t="s">
        <v>648</v>
      </c>
      <c r="T264" s="1159" t="s">
        <v>947</v>
      </c>
      <c r="U264" s="1166">
        <v>130000</v>
      </c>
      <c r="V264" s="1159" t="s">
        <v>947</v>
      </c>
      <c r="W264" s="1166">
        <v>130000</v>
      </c>
      <c r="X264" s="1159" t="s">
        <v>721</v>
      </c>
      <c r="Y264" s="1167">
        <v>43353.90740740741</v>
      </c>
      <c r="Z264" s="1159" t="s">
        <v>618</v>
      </c>
      <c r="AA264" s="1167">
        <v>43897.97524305555</v>
      </c>
      <c r="AB264" s="1138">
        <f t="shared" si="4"/>
        <v>260000</v>
      </c>
    </row>
    <row r="265" spans="1:28" x14ac:dyDescent="0.25">
      <c r="A265" s="1150">
        <v>109485</v>
      </c>
      <c r="B265" s="1150" t="s">
        <v>1021</v>
      </c>
      <c r="C265" s="1150" t="s">
        <v>1024</v>
      </c>
      <c r="D265" s="1151">
        <v>43278</v>
      </c>
      <c r="E265" s="1152">
        <v>15840000</v>
      </c>
      <c r="F265" s="1150" t="s">
        <v>387</v>
      </c>
      <c r="G265" s="1153" t="s">
        <v>611</v>
      </c>
      <c r="H265" s="1154">
        <v>1368</v>
      </c>
      <c r="I265" s="1150" t="s">
        <v>612</v>
      </c>
      <c r="J265" s="1153" t="s">
        <v>14</v>
      </c>
      <c r="K265" s="1150" t="s">
        <v>76</v>
      </c>
      <c r="L265" s="1150" t="s">
        <v>1021</v>
      </c>
      <c r="M265" s="1153" t="s">
        <v>14</v>
      </c>
      <c r="N265" s="1153" t="s">
        <v>837</v>
      </c>
      <c r="O265" s="1155">
        <v>45</v>
      </c>
      <c r="P265" s="1156"/>
      <c r="Q265" s="1155">
        <v>5</v>
      </c>
      <c r="R265" s="1150" t="s">
        <v>624</v>
      </c>
      <c r="S265" s="1150" t="s">
        <v>648</v>
      </c>
      <c r="T265" s="1150" t="s">
        <v>949</v>
      </c>
      <c r="U265" s="1157">
        <v>90000</v>
      </c>
      <c r="V265" s="1150" t="s">
        <v>949</v>
      </c>
      <c r="W265" s="1157">
        <v>90000</v>
      </c>
      <c r="X265" s="1150" t="s">
        <v>721</v>
      </c>
      <c r="Y265" s="1158">
        <v>43278.368379629625</v>
      </c>
      <c r="Z265" s="1150" t="s">
        <v>618</v>
      </c>
      <c r="AA265" s="1158">
        <v>43897.97321759259</v>
      </c>
      <c r="AB265" s="1138">
        <f t="shared" si="4"/>
        <v>180000</v>
      </c>
    </row>
    <row r="266" spans="1:28" x14ac:dyDescent="0.25">
      <c r="A266" s="1159">
        <v>109484</v>
      </c>
      <c r="B266" s="1159" t="s">
        <v>1021</v>
      </c>
      <c r="C266" s="1159" t="s">
        <v>1025</v>
      </c>
      <c r="D266" s="1160">
        <v>43278</v>
      </c>
      <c r="E266" s="1161">
        <v>17570000</v>
      </c>
      <c r="F266" s="1159" t="s">
        <v>387</v>
      </c>
      <c r="G266" s="1162" t="s">
        <v>611</v>
      </c>
      <c r="H266" s="1163">
        <v>1368</v>
      </c>
      <c r="I266" s="1159" t="s">
        <v>612</v>
      </c>
      <c r="J266" s="1162" t="s">
        <v>14</v>
      </c>
      <c r="K266" s="1159" t="s">
        <v>76</v>
      </c>
      <c r="L266" s="1159" t="s">
        <v>1021</v>
      </c>
      <c r="M266" s="1162" t="s">
        <v>14</v>
      </c>
      <c r="N266" s="1162" t="s">
        <v>837</v>
      </c>
      <c r="O266" s="1164">
        <v>45</v>
      </c>
      <c r="P266" s="1165"/>
      <c r="Q266" s="1164">
        <v>5</v>
      </c>
      <c r="R266" s="1159" t="s">
        <v>624</v>
      </c>
      <c r="S266" s="1159" t="s">
        <v>648</v>
      </c>
      <c r="T266" s="1159" t="s">
        <v>947</v>
      </c>
      <c r="U266" s="1166">
        <v>130000</v>
      </c>
      <c r="V266" s="1159" t="s">
        <v>947</v>
      </c>
      <c r="W266" s="1166">
        <v>130000</v>
      </c>
      <c r="X266" s="1159" t="s">
        <v>721</v>
      </c>
      <c r="Y266" s="1167">
        <v>43278.3680787037</v>
      </c>
      <c r="Z266" s="1159" t="s">
        <v>618</v>
      </c>
      <c r="AA266" s="1167">
        <v>43897.97460648148</v>
      </c>
      <c r="AB266" s="1138">
        <f t="shared" si="4"/>
        <v>260000</v>
      </c>
    </row>
    <row r="267" spans="1:28" x14ac:dyDescent="0.25">
      <c r="A267" s="1150">
        <v>109483</v>
      </c>
      <c r="B267" s="1150" t="s">
        <v>1021</v>
      </c>
      <c r="C267" s="1150" t="s">
        <v>1026</v>
      </c>
      <c r="D267" s="1151">
        <v>43278</v>
      </c>
      <c r="E267" s="1152">
        <v>20010000</v>
      </c>
      <c r="F267" s="1150" t="s">
        <v>387</v>
      </c>
      <c r="G267" s="1153" t="s">
        <v>611</v>
      </c>
      <c r="H267" s="1154">
        <v>1368</v>
      </c>
      <c r="I267" s="1150" t="s">
        <v>612</v>
      </c>
      <c r="J267" s="1153" t="s">
        <v>14</v>
      </c>
      <c r="K267" s="1150" t="s">
        <v>76</v>
      </c>
      <c r="L267" s="1150" t="s">
        <v>1021</v>
      </c>
      <c r="M267" s="1153" t="s">
        <v>14</v>
      </c>
      <c r="N267" s="1153" t="s">
        <v>837</v>
      </c>
      <c r="O267" s="1155">
        <v>45</v>
      </c>
      <c r="P267" s="1156"/>
      <c r="Q267" s="1155">
        <v>5</v>
      </c>
      <c r="R267" s="1150" t="s">
        <v>624</v>
      </c>
      <c r="S267" s="1150" t="s">
        <v>648</v>
      </c>
      <c r="T267" s="1150" t="s">
        <v>947</v>
      </c>
      <c r="U267" s="1157">
        <v>130000</v>
      </c>
      <c r="V267" s="1150" t="s">
        <v>947</v>
      </c>
      <c r="W267" s="1157">
        <v>130000</v>
      </c>
      <c r="X267" s="1150" t="s">
        <v>721</v>
      </c>
      <c r="Y267" s="1158">
        <v>43278.36586805555</v>
      </c>
      <c r="Z267" s="1150" t="s">
        <v>618</v>
      </c>
      <c r="AA267" s="1158">
        <v>43897.975810185184</v>
      </c>
      <c r="AB267" s="1138">
        <f t="shared" si="4"/>
        <v>260000</v>
      </c>
    </row>
    <row r="268" ht="24" customHeight="1" spans="1:28" x14ac:dyDescent="0.25">
      <c r="A268" s="1159">
        <v>110393</v>
      </c>
      <c r="B268" s="1159" t="s">
        <v>1027</v>
      </c>
      <c r="C268" s="1159" t="s">
        <v>1028</v>
      </c>
      <c r="D268" s="1160">
        <v>43670</v>
      </c>
      <c r="E268" s="1161">
        <v>34470000</v>
      </c>
      <c r="F268" s="1159" t="s">
        <v>387</v>
      </c>
      <c r="G268" s="1162" t="s">
        <v>611</v>
      </c>
      <c r="H268" s="1163">
        <v>1998</v>
      </c>
      <c r="I268" s="1159" t="s">
        <v>612</v>
      </c>
      <c r="J268" s="1162" t="s">
        <v>14</v>
      </c>
      <c r="K268" s="1159" t="s">
        <v>76</v>
      </c>
      <c r="L268" s="1159" t="s">
        <v>1029</v>
      </c>
      <c r="M268" s="1162" t="s">
        <v>14</v>
      </c>
      <c r="N268" s="1162" t="s">
        <v>709</v>
      </c>
      <c r="O268" s="1164">
        <v>60</v>
      </c>
      <c r="P268" s="1165"/>
      <c r="Q268" s="1164">
        <v>5</v>
      </c>
      <c r="R268" s="1159" t="s">
        <v>615</v>
      </c>
      <c r="S268" s="1159" t="s">
        <v>718</v>
      </c>
      <c r="T268" s="1159" t="s">
        <v>832</v>
      </c>
      <c r="U268" s="1166">
        <v>158200</v>
      </c>
      <c r="V268" s="1159" t="s">
        <v>832</v>
      </c>
      <c r="W268" s="1166">
        <v>158200</v>
      </c>
      <c r="X268" s="1159" t="s">
        <v>618</v>
      </c>
      <c r="Y268" s="1167">
        <v>43670.8962962963</v>
      </c>
      <c r="Z268" s="1159" t="s">
        <v>618</v>
      </c>
      <c r="AA268" s="1167">
        <v>43897.82188657408</v>
      </c>
      <c r="AB268" s="1138">
        <f t="shared" si="4"/>
        <v>316400</v>
      </c>
    </row>
    <row r="269" ht="24" customHeight="1" spans="1:28" x14ac:dyDescent="0.25">
      <c r="A269" s="1150">
        <v>110392</v>
      </c>
      <c r="B269" s="1150" t="s">
        <v>1027</v>
      </c>
      <c r="C269" s="1150" t="s">
        <v>1030</v>
      </c>
      <c r="D269" s="1151">
        <v>43670</v>
      </c>
      <c r="E269" s="1152">
        <v>37970000</v>
      </c>
      <c r="F269" s="1150" t="s">
        <v>387</v>
      </c>
      <c r="G269" s="1153" t="s">
        <v>611</v>
      </c>
      <c r="H269" s="1154">
        <v>1998</v>
      </c>
      <c r="I269" s="1150" t="s">
        <v>612</v>
      </c>
      <c r="J269" s="1153" t="s">
        <v>14</v>
      </c>
      <c r="K269" s="1150" t="s">
        <v>76</v>
      </c>
      <c r="L269" s="1150" t="s">
        <v>1029</v>
      </c>
      <c r="M269" s="1153" t="s">
        <v>14</v>
      </c>
      <c r="N269" s="1153" t="s">
        <v>709</v>
      </c>
      <c r="O269" s="1155">
        <v>60</v>
      </c>
      <c r="P269" s="1156"/>
      <c r="Q269" s="1155">
        <v>5</v>
      </c>
      <c r="R269" s="1150" t="s">
        <v>643</v>
      </c>
      <c r="S269" s="1150" t="s">
        <v>718</v>
      </c>
      <c r="T269" s="1150" t="s">
        <v>832</v>
      </c>
      <c r="U269" s="1157">
        <v>158200</v>
      </c>
      <c r="V269" s="1150" t="s">
        <v>832</v>
      </c>
      <c r="W269" s="1157">
        <v>158200</v>
      </c>
      <c r="X269" s="1150" t="s">
        <v>618</v>
      </c>
      <c r="Y269" s="1158">
        <v>43670.88949074074</v>
      </c>
      <c r="Z269" s="1150" t="s">
        <v>618</v>
      </c>
      <c r="AA269" s="1158">
        <v>43897.8228125</v>
      </c>
      <c r="AB269" s="1138">
        <f t="shared" si="4"/>
        <v>316400</v>
      </c>
    </row>
    <row r="270" ht="24" customHeight="1" spans="1:28" x14ac:dyDescent="0.25">
      <c r="A270" s="1159">
        <v>110394</v>
      </c>
      <c r="B270" s="1159" t="s">
        <v>1027</v>
      </c>
      <c r="C270" s="1159" t="s">
        <v>1031</v>
      </c>
      <c r="D270" s="1160">
        <v>43670</v>
      </c>
      <c r="E270" s="1161">
        <v>36970000</v>
      </c>
      <c r="F270" s="1159" t="s">
        <v>387</v>
      </c>
      <c r="G270" s="1162" t="s">
        <v>611</v>
      </c>
      <c r="H270" s="1163">
        <v>1998</v>
      </c>
      <c r="I270" s="1159" t="s">
        <v>612</v>
      </c>
      <c r="J270" s="1162" t="s">
        <v>14</v>
      </c>
      <c r="K270" s="1159" t="s">
        <v>76</v>
      </c>
      <c r="L270" s="1159" t="s">
        <v>1029</v>
      </c>
      <c r="M270" s="1162" t="s">
        <v>14</v>
      </c>
      <c r="N270" s="1162" t="s">
        <v>709</v>
      </c>
      <c r="O270" s="1164">
        <v>60</v>
      </c>
      <c r="P270" s="1165"/>
      <c r="Q270" s="1164">
        <v>5</v>
      </c>
      <c r="R270" s="1159" t="s">
        <v>643</v>
      </c>
      <c r="S270" s="1159" t="s">
        <v>718</v>
      </c>
      <c r="T270" s="1159" t="s">
        <v>832</v>
      </c>
      <c r="U270" s="1166">
        <v>158200</v>
      </c>
      <c r="V270" s="1159" t="s">
        <v>832</v>
      </c>
      <c r="W270" s="1166">
        <v>158200</v>
      </c>
      <c r="X270" s="1159" t="s">
        <v>618</v>
      </c>
      <c r="Y270" s="1167">
        <v>43670.90053240741</v>
      </c>
      <c r="Z270" s="1159" t="s">
        <v>618</v>
      </c>
      <c r="AA270" s="1167">
        <v>43897.82229166667</v>
      </c>
      <c r="AB270" s="1138">
        <f t="shared" si="4"/>
        <v>316400</v>
      </c>
    </row>
    <row r="271" ht="24" customHeight="1" spans="1:28" x14ac:dyDescent="0.25">
      <c r="A271" s="1150">
        <v>110388</v>
      </c>
      <c r="B271" s="1150" t="s">
        <v>1027</v>
      </c>
      <c r="C271" s="1150" t="s">
        <v>1032</v>
      </c>
      <c r="D271" s="1151">
        <v>43670</v>
      </c>
      <c r="E271" s="1152">
        <v>40470000</v>
      </c>
      <c r="F271" s="1150" t="s">
        <v>387</v>
      </c>
      <c r="G271" s="1153" t="s">
        <v>611</v>
      </c>
      <c r="H271" s="1154">
        <v>1998</v>
      </c>
      <c r="I271" s="1150" t="s">
        <v>612</v>
      </c>
      <c r="J271" s="1153" t="s">
        <v>14</v>
      </c>
      <c r="K271" s="1150" t="s">
        <v>76</v>
      </c>
      <c r="L271" s="1150" t="s">
        <v>1029</v>
      </c>
      <c r="M271" s="1153" t="s">
        <v>14</v>
      </c>
      <c r="N271" s="1153" t="s">
        <v>709</v>
      </c>
      <c r="O271" s="1155">
        <v>60</v>
      </c>
      <c r="P271" s="1156"/>
      <c r="Q271" s="1155">
        <v>5</v>
      </c>
      <c r="R271" s="1150" t="s">
        <v>643</v>
      </c>
      <c r="S271" s="1150" t="s">
        <v>718</v>
      </c>
      <c r="T271" s="1150" t="s">
        <v>832</v>
      </c>
      <c r="U271" s="1157">
        <v>158200</v>
      </c>
      <c r="V271" s="1150" t="s">
        <v>832</v>
      </c>
      <c r="W271" s="1157">
        <v>158200</v>
      </c>
      <c r="X271" s="1150" t="s">
        <v>618</v>
      </c>
      <c r="Y271" s="1158">
        <v>43670.768483796295</v>
      </c>
      <c r="Z271" s="1150" t="s">
        <v>618</v>
      </c>
      <c r="AA271" s="1158">
        <v>43897.82295138889</v>
      </c>
      <c r="AB271" s="1138">
        <f t="shared" si="4"/>
        <v>316400</v>
      </c>
    </row>
    <row r="272" ht="24" customHeight="1" spans="1:28" x14ac:dyDescent="0.25">
      <c r="A272" s="1159">
        <v>111067</v>
      </c>
      <c r="B272" s="1159" t="s">
        <v>1027</v>
      </c>
      <c r="C272" s="1159" t="s">
        <v>1033</v>
      </c>
      <c r="D272" s="1160">
        <v>43891</v>
      </c>
      <c r="E272" s="1161">
        <v>42170000</v>
      </c>
      <c r="F272" s="1159" t="s">
        <v>387</v>
      </c>
      <c r="G272" s="1162" t="s">
        <v>611</v>
      </c>
      <c r="H272" s="1163">
        <v>1998</v>
      </c>
      <c r="I272" s="1159" t="s">
        <v>612</v>
      </c>
      <c r="J272" s="1162" t="s">
        <v>14</v>
      </c>
      <c r="K272" s="1159" t="s">
        <v>76</v>
      </c>
      <c r="L272" s="1159" t="s">
        <v>1029</v>
      </c>
      <c r="M272" s="1162" t="s">
        <v>14</v>
      </c>
      <c r="N272" s="1162" t="s">
        <v>709</v>
      </c>
      <c r="O272" s="1164">
        <v>60</v>
      </c>
      <c r="P272" s="1165"/>
      <c r="Q272" s="1164">
        <v>5</v>
      </c>
      <c r="R272" s="1159" t="s">
        <v>643</v>
      </c>
      <c r="S272" s="1159" t="s">
        <v>718</v>
      </c>
      <c r="T272" s="1159" t="s">
        <v>832</v>
      </c>
      <c r="U272" s="1166">
        <v>158200</v>
      </c>
      <c r="V272" s="1159" t="s">
        <v>832</v>
      </c>
      <c r="W272" s="1166">
        <v>158200</v>
      </c>
      <c r="X272" s="1159" t="s">
        <v>618</v>
      </c>
      <c r="Y272" s="1167">
        <v>43897.89890046296</v>
      </c>
      <c r="Z272" s="1159" t="s">
        <v>618</v>
      </c>
      <c r="AA272" s="1167">
        <v>43897.89890046296</v>
      </c>
      <c r="AB272" s="1138">
        <f t="shared" si="4"/>
        <v>316400</v>
      </c>
    </row>
    <row r="273" spans="1:28" x14ac:dyDescent="0.25">
      <c r="A273" s="1150">
        <v>110407</v>
      </c>
      <c r="B273" s="1150" t="s">
        <v>1027</v>
      </c>
      <c r="C273" s="1150" t="s">
        <v>1034</v>
      </c>
      <c r="D273" s="1151">
        <v>43670</v>
      </c>
      <c r="E273" s="1152">
        <v>38680000</v>
      </c>
      <c r="F273" s="1150" t="s">
        <v>610</v>
      </c>
      <c r="G273" s="1153" t="s">
        <v>611</v>
      </c>
      <c r="H273" s="1154">
        <v>2199</v>
      </c>
      <c r="I273" s="1150" t="s">
        <v>612</v>
      </c>
      <c r="J273" s="1153" t="s">
        <v>14</v>
      </c>
      <c r="K273" s="1150" t="s">
        <v>76</v>
      </c>
      <c r="L273" s="1150" t="s">
        <v>1029</v>
      </c>
      <c r="M273" s="1153" t="s">
        <v>14</v>
      </c>
      <c r="N273" s="1153" t="s">
        <v>712</v>
      </c>
      <c r="O273" s="1155">
        <v>60</v>
      </c>
      <c r="P273" s="1156"/>
      <c r="Q273" s="1155">
        <v>5</v>
      </c>
      <c r="R273" s="1150" t="s">
        <v>643</v>
      </c>
      <c r="S273" s="1150" t="s">
        <v>718</v>
      </c>
      <c r="T273" s="1150" t="s">
        <v>832</v>
      </c>
      <c r="U273" s="1157">
        <v>158200</v>
      </c>
      <c r="V273" s="1150" t="s">
        <v>832</v>
      </c>
      <c r="W273" s="1157">
        <v>158200</v>
      </c>
      <c r="X273" s="1150" t="s">
        <v>618</v>
      </c>
      <c r="Y273" s="1158">
        <v>43670.94736111111</v>
      </c>
      <c r="Z273" s="1150" t="s">
        <v>618</v>
      </c>
      <c r="AA273" s="1158">
        <v>43670.94917824074</v>
      </c>
      <c r="AB273" s="1138">
        <f t="shared" si="4"/>
        <v>316400</v>
      </c>
    </row>
    <row r="274" ht="24" customHeight="1" spans="1:28" x14ac:dyDescent="0.25">
      <c r="A274" s="1159">
        <v>110406</v>
      </c>
      <c r="B274" s="1159" t="s">
        <v>1027</v>
      </c>
      <c r="C274" s="1159" t="s">
        <v>1035</v>
      </c>
      <c r="D274" s="1160">
        <v>43670</v>
      </c>
      <c r="E274" s="1161">
        <v>37400000</v>
      </c>
      <c r="F274" s="1159" t="s">
        <v>610</v>
      </c>
      <c r="G274" s="1162" t="s">
        <v>611</v>
      </c>
      <c r="H274" s="1163">
        <v>2199</v>
      </c>
      <c r="I274" s="1159" t="s">
        <v>612</v>
      </c>
      <c r="J274" s="1162" t="s">
        <v>14</v>
      </c>
      <c r="K274" s="1159" t="s">
        <v>76</v>
      </c>
      <c r="L274" s="1159" t="s">
        <v>1029</v>
      </c>
      <c r="M274" s="1162" t="s">
        <v>14</v>
      </c>
      <c r="N274" s="1162" t="s">
        <v>712</v>
      </c>
      <c r="O274" s="1164">
        <v>60</v>
      </c>
      <c r="P274" s="1165"/>
      <c r="Q274" s="1164">
        <v>5</v>
      </c>
      <c r="R274" s="1159" t="s">
        <v>643</v>
      </c>
      <c r="S274" s="1159" t="s">
        <v>718</v>
      </c>
      <c r="T274" s="1159" t="s">
        <v>803</v>
      </c>
      <c r="U274" s="1166">
        <v>124000</v>
      </c>
      <c r="V274" s="1159" t="s">
        <v>803</v>
      </c>
      <c r="W274" s="1166">
        <v>124000</v>
      </c>
      <c r="X274" s="1159" t="s">
        <v>618</v>
      </c>
      <c r="Y274" s="1167">
        <v>43670.93976851852</v>
      </c>
      <c r="Z274" s="1159" t="s">
        <v>618</v>
      </c>
      <c r="AA274" s="1167">
        <v>43670.94641203704</v>
      </c>
      <c r="AB274" s="1138">
        <f t="shared" si="4"/>
        <v>248000</v>
      </c>
    </row>
    <row r="275" spans="1:28" x14ac:dyDescent="0.25">
      <c r="A275" s="1150">
        <v>110408</v>
      </c>
      <c r="B275" s="1150" t="s">
        <v>1027</v>
      </c>
      <c r="C275" s="1150" t="s">
        <v>1036</v>
      </c>
      <c r="D275" s="1151">
        <v>43670</v>
      </c>
      <c r="E275" s="1152">
        <v>42110000</v>
      </c>
      <c r="F275" s="1150" t="s">
        <v>610</v>
      </c>
      <c r="G275" s="1153" t="s">
        <v>611</v>
      </c>
      <c r="H275" s="1154">
        <v>2199</v>
      </c>
      <c r="I275" s="1150" t="s">
        <v>612</v>
      </c>
      <c r="J275" s="1153" t="s">
        <v>14</v>
      </c>
      <c r="K275" s="1150" t="s">
        <v>76</v>
      </c>
      <c r="L275" s="1150" t="s">
        <v>1029</v>
      </c>
      <c r="M275" s="1153" t="s">
        <v>14</v>
      </c>
      <c r="N275" s="1153" t="s">
        <v>712</v>
      </c>
      <c r="O275" s="1155">
        <v>60</v>
      </c>
      <c r="P275" s="1156"/>
      <c r="Q275" s="1155">
        <v>5</v>
      </c>
      <c r="R275" s="1150" t="s">
        <v>643</v>
      </c>
      <c r="S275" s="1150" t="s">
        <v>718</v>
      </c>
      <c r="T275" s="1150" t="s">
        <v>832</v>
      </c>
      <c r="U275" s="1157">
        <v>158200</v>
      </c>
      <c r="V275" s="1150" t="s">
        <v>832</v>
      </c>
      <c r="W275" s="1157">
        <v>158200</v>
      </c>
      <c r="X275" s="1150" t="s">
        <v>618</v>
      </c>
      <c r="Y275" s="1158">
        <v>43670.95209490741</v>
      </c>
      <c r="Z275" s="1150" t="s">
        <v>618</v>
      </c>
      <c r="AA275" s="1158">
        <v>43670.95209490741</v>
      </c>
      <c r="AB275" s="1138">
        <f t="shared" si="4"/>
        <v>316400</v>
      </c>
    </row>
    <row r="276" spans="1:28" x14ac:dyDescent="0.25">
      <c r="A276" s="1159">
        <v>110413</v>
      </c>
      <c r="B276" s="1159" t="s">
        <v>1027</v>
      </c>
      <c r="C276" s="1159" t="s">
        <v>1037</v>
      </c>
      <c r="D276" s="1160">
        <v>43670</v>
      </c>
      <c r="E276" s="1161">
        <v>38680000</v>
      </c>
      <c r="F276" s="1159" t="s">
        <v>610</v>
      </c>
      <c r="G276" s="1162" t="s">
        <v>611</v>
      </c>
      <c r="H276" s="1163">
        <v>2199</v>
      </c>
      <c r="I276" s="1159" t="s">
        <v>612</v>
      </c>
      <c r="J276" s="1162" t="s">
        <v>14</v>
      </c>
      <c r="K276" s="1159" t="s">
        <v>76</v>
      </c>
      <c r="L276" s="1159" t="s">
        <v>1029</v>
      </c>
      <c r="M276" s="1162" t="s">
        <v>14</v>
      </c>
      <c r="N276" s="1162" t="s">
        <v>712</v>
      </c>
      <c r="O276" s="1164">
        <v>60</v>
      </c>
      <c r="P276" s="1165"/>
      <c r="Q276" s="1164">
        <v>5</v>
      </c>
      <c r="R276" s="1159" t="s">
        <v>643</v>
      </c>
      <c r="S276" s="1159" t="s">
        <v>718</v>
      </c>
      <c r="T276" s="1159" t="s">
        <v>832</v>
      </c>
      <c r="U276" s="1166">
        <v>158200</v>
      </c>
      <c r="V276" s="1159" t="s">
        <v>832</v>
      </c>
      <c r="W276" s="1166">
        <v>158200</v>
      </c>
      <c r="X276" s="1159" t="s">
        <v>618</v>
      </c>
      <c r="Y276" s="1167">
        <v>43670.96423611111</v>
      </c>
      <c r="Z276" s="1159" t="s">
        <v>618</v>
      </c>
      <c r="AA276" s="1167">
        <v>43670.971712962964</v>
      </c>
      <c r="AB276" s="1138">
        <f t="shared" si="4"/>
        <v>316400</v>
      </c>
    </row>
    <row r="277" ht="24" customHeight="1" spans="1:28" x14ac:dyDescent="0.25">
      <c r="A277" s="1150">
        <v>110412</v>
      </c>
      <c r="B277" s="1150" t="s">
        <v>1027</v>
      </c>
      <c r="C277" s="1150" t="s">
        <v>1038</v>
      </c>
      <c r="D277" s="1151">
        <v>43670</v>
      </c>
      <c r="E277" s="1152">
        <v>37400000</v>
      </c>
      <c r="F277" s="1150" t="s">
        <v>610</v>
      </c>
      <c r="G277" s="1153" t="s">
        <v>611</v>
      </c>
      <c r="H277" s="1154">
        <v>2199</v>
      </c>
      <c r="I277" s="1150" t="s">
        <v>612</v>
      </c>
      <c r="J277" s="1153" t="s">
        <v>14</v>
      </c>
      <c r="K277" s="1150" t="s">
        <v>76</v>
      </c>
      <c r="L277" s="1150" t="s">
        <v>1029</v>
      </c>
      <c r="M277" s="1153" t="s">
        <v>14</v>
      </c>
      <c r="N277" s="1153" t="s">
        <v>712</v>
      </c>
      <c r="O277" s="1155">
        <v>60</v>
      </c>
      <c r="P277" s="1156"/>
      <c r="Q277" s="1155">
        <v>5</v>
      </c>
      <c r="R277" s="1150" t="s">
        <v>643</v>
      </c>
      <c r="S277" s="1150" t="s">
        <v>718</v>
      </c>
      <c r="T277" s="1150" t="s">
        <v>803</v>
      </c>
      <c r="U277" s="1157">
        <v>124000</v>
      </c>
      <c r="V277" s="1150" t="s">
        <v>803</v>
      </c>
      <c r="W277" s="1157">
        <v>124000</v>
      </c>
      <c r="X277" s="1150" t="s">
        <v>618</v>
      </c>
      <c r="Y277" s="1158">
        <v>43670.96260416666</v>
      </c>
      <c r="Z277" s="1150" t="s">
        <v>618</v>
      </c>
      <c r="AA277" s="1158">
        <v>43670.971712962964</v>
      </c>
      <c r="AB277" s="1138">
        <f t="shared" si="4"/>
        <v>248000</v>
      </c>
    </row>
    <row r="278" spans="1:28" x14ac:dyDescent="0.25">
      <c r="A278" s="1159">
        <v>110414</v>
      </c>
      <c r="B278" s="1159" t="s">
        <v>1027</v>
      </c>
      <c r="C278" s="1159" t="s">
        <v>1039</v>
      </c>
      <c r="D278" s="1160">
        <v>43670</v>
      </c>
      <c r="E278" s="1161">
        <v>42110000</v>
      </c>
      <c r="F278" s="1159" t="s">
        <v>610</v>
      </c>
      <c r="G278" s="1162" t="s">
        <v>611</v>
      </c>
      <c r="H278" s="1163">
        <v>2199</v>
      </c>
      <c r="I278" s="1159" t="s">
        <v>612</v>
      </c>
      <c r="J278" s="1162" t="s">
        <v>14</v>
      </c>
      <c r="K278" s="1159" t="s">
        <v>76</v>
      </c>
      <c r="L278" s="1159" t="s">
        <v>1029</v>
      </c>
      <c r="M278" s="1162" t="s">
        <v>14</v>
      </c>
      <c r="N278" s="1162" t="s">
        <v>712</v>
      </c>
      <c r="O278" s="1164">
        <v>60</v>
      </c>
      <c r="P278" s="1165"/>
      <c r="Q278" s="1164">
        <v>5</v>
      </c>
      <c r="R278" s="1159" t="s">
        <v>643</v>
      </c>
      <c r="S278" s="1159" t="s">
        <v>718</v>
      </c>
      <c r="T278" s="1159" t="s">
        <v>832</v>
      </c>
      <c r="U278" s="1166">
        <v>158200</v>
      </c>
      <c r="V278" s="1159" t="s">
        <v>832</v>
      </c>
      <c r="W278" s="1166">
        <v>158200</v>
      </c>
      <c r="X278" s="1159" t="s">
        <v>618</v>
      </c>
      <c r="Y278" s="1167">
        <v>43670.965636574074</v>
      </c>
      <c r="Z278" s="1159" t="s">
        <v>618</v>
      </c>
      <c r="AA278" s="1167">
        <v>43670.971712962964</v>
      </c>
      <c r="AB278" s="1138">
        <f t="shared" si="4"/>
        <v>316400</v>
      </c>
    </row>
    <row r="279" ht="24" customHeight="1" spans="1:28" x14ac:dyDescent="0.25">
      <c r="A279" s="1150">
        <v>111068</v>
      </c>
      <c r="B279" s="1150" t="s">
        <v>1027</v>
      </c>
      <c r="C279" s="1150" t="s">
        <v>1040</v>
      </c>
      <c r="D279" s="1151">
        <v>43891</v>
      </c>
      <c r="E279" s="1152">
        <v>45470000</v>
      </c>
      <c r="F279" s="1150" t="s">
        <v>610</v>
      </c>
      <c r="G279" s="1153" t="s">
        <v>611</v>
      </c>
      <c r="H279" s="1154">
        <v>2199</v>
      </c>
      <c r="I279" s="1150" t="s">
        <v>612</v>
      </c>
      <c r="J279" s="1153" t="s">
        <v>14</v>
      </c>
      <c r="K279" s="1150" t="s">
        <v>76</v>
      </c>
      <c r="L279" s="1150" t="s">
        <v>1029</v>
      </c>
      <c r="M279" s="1153" t="s">
        <v>14</v>
      </c>
      <c r="N279" s="1153" t="s">
        <v>712</v>
      </c>
      <c r="O279" s="1155">
        <v>60</v>
      </c>
      <c r="P279" s="1156"/>
      <c r="Q279" s="1155">
        <v>5</v>
      </c>
      <c r="R279" s="1150" t="s">
        <v>643</v>
      </c>
      <c r="S279" s="1150" t="s">
        <v>718</v>
      </c>
      <c r="T279" s="1150" t="s">
        <v>832</v>
      </c>
      <c r="U279" s="1157">
        <v>158200</v>
      </c>
      <c r="V279" s="1150" t="s">
        <v>832</v>
      </c>
      <c r="W279" s="1157">
        <v>158200</v>
      </c>
      <c r="X279" s="1150" t="s">
        <v>618</v>
      </c>
      <c r="Y279" s="1158">
        <v>43897.963749999995</v>
      </c>
      <c r="Z279" s="1150" t="s">
        <v>618</v>
      </c>
      <c r="AA279" s="1158">
        <v>43897.96592592592</v>
      </c>
      <c r="AB279" s="1138">
        <f t="shared" si="4"/>
        <v>316400</v>
      </c>
    </row>
    <row r="280" spans="1:28" x14ac:dyDescent="0.25">
      <c r="A280" s="1159">
        <v>110398</v>
      </c>
      <c r="B280" s="1159" t="s">
        <v>1027</v>
      </c>
      <c r="C280" s="1159" t="s">
        <v>1041</v>
      </c>
      <c r="D280" s="1160">
        <v>43670</v>
      </c>
      <c r="E280" s="1161">
        <v>49320000</v>
      </c>
      <c r="F280" s="1159" t="s">
        <v>387</v>
      </c>
      <c r="G280" s="1162" t="s">
        <v>611</v>
      </c>
      <c r="H280" s="1163">
        <v>3342</v>
      </c>
      <c r="I280" s="1159" t="s">
        <v>612</v>
      </c>
      <c r="J280" s="1162" t="s">
        <v>14</v>
      </c>
      <c r="K280" s="1159" t="s">
        <v>76</v>
      </c>
      <c r="L280" s="1159" t="s">
        <v>1029</v>
      </c>
      <c r="M280" s="1162" t="s">
        <v>14</v>
      </c>
      <c r="N280" s="1162" t="s">
        <v>712</v>
      </c>
      <c r="O280" s="1164">
        <v>60</v>
      </c>
      <c r="P280" s="1165"/>
      <c r="Q280" s="1164">
        <v>5</v>
      </c>
      <c r="R280" s="1159" t="s">
        <v>643</v>
      </c>
      <c r="S280" s="1159" t="s">
        <v>718</v>
      </c>
      <c r="T280" s="1159" t="s">
        <v>1042</v>
      </c>
      <c r="U280" s="1166">
        <v>191000</v>
      </c>
      <c r="V280" s="1159" t="s">
        <v>1043</v>
      </c>
      <c r="W280" s="1166">
        <v>220000</v>
      </c>
      <c r="X280" s="1159" t="s">
        <v>618</v>
      </c>
      <c r="Y280" s="1167">
        <v>43670.911250000005</v>
      </c>
      <c r="Z280" s="1159" t="s">
        <v>618</v>
      </c>
      <c r="AA280" s="1167">
        <v>43897.88862268519</v>
      </c>
      <c r="AB280" s="1138">
        <f t="shared" si="4"/>
        <v>440000</v>
      </c>
    </row>
    <row r="281" spans="1:28" x14ac:dyDescent="0.25">
      <c r="A281" s="1150">
        <v>110402</v>
      </c>
      <c r="B281" s="1150" t="s">
        <v>1027</v>
      </c>
      <c r="C281" s="1150" t="s">
        <v>1044</v>
      </c>
      <c r="D281" s="1151">
        <v>43670</v>
      </c>
      <c r="E281" s="1152">
        <v>51820000</v>
      </c>
      <c r="F281" s="1150" t="s">
        <v>387</v>
      </c>
      <c r="G281" s="1153" t="s">
        <v>611</v>
      </c>
      <c r="H281" s="1154">
        <v>3342</v>
      </c>
      <c r="I281" s="1150" t="s">
        <v>612</v>
      </c>
      <c r="J281" s="1153" t="s">
        <v>14</v>
      </c>
      <c r="K281" s="1150" t="s">
        <v>76</v>
      </c>
      <c r="L281" s="1150" t="s">
        <v>1029</v>
      </c>
      <c r="M281" s="1153" t="s">
        <v>14</v>
      </c>
      <c r="N281" s="1153" t="s">
        <v>712</v>
      </c>
      <c r="O281" s="1155">
        <v>60</v>
      </c>
      <c r="P281" s="1156"/>
      <c r="Q281" s="1155">
        <v>5</v>
      </c>
      <c r="R281" s="1150" t="s">
        <v>643</v>
      </c>
      <c r="S281" s="1150" t="s">
        <v>718</v>
      </c>
      <c r="T281" s="1150" t="s">
        <v>1042</v>
      </c>
      <c r="U281" s="1157">
        <v>191000</v>
      </c>
      <c r="V281" s="1150" t="s">
        <v>1043</v>
      </c>
      <c r="W281" s="1157">
        <v>220000</v>
      </c>
      <c r="X281" s="1150" t="s">
        <v>618</v>
      </c>
      <c r="Y281" s="1158">
        <v>43670.92135416667</v>
      </c>
      <c r="Z281" s="1150" t="s">
        <v>618</v>
      </c>
      <c r="AA281" s="1158">
        <v>43897.89113425926</v>
      </c>
      <c r="AB281" s="1138">
        <f t="shared" si="4"/>
        <v>440000</v>
      </c>
    </row>
    <row r="282" spans="1:28" x14ac:dyDescent="0.25">
      <c r="A282" s="1159">
        <v>110256</v>
      </c>
      <c r="B282" s="1159" t="s">
        <v>1045</v>
      </c>
      <c r="C282" s="1159" t="s">
        <v>1046</v>
      </c>
      <c r="D282" s="1160">
        <v>43558</v>
      </c>
      <c r="E282" s="1161">
        <v>11560000</v>
      </c>
      <c r="F282" s="1159" t="s">
        <v>387</v>
      </c>
      <c r="G282" s="1162" t="s">
        <v>611</v>
      </c>
      <c r="H282" s="1162">
        <v>999</v>
      </c>
      <c r="I282" s="1159" t="s">
        <v>629</v>
      </c>
      <c r="J282" s="1162" t="s">
        <v>14</v>
      </c>
      <c r="K282" s="1159" t="s">
        <v>849</v>
      </c>
      <c r="L282" s="1159" t="s">
        <v>1047</v>
      </c>
      <c r="M282" s="1162" t="s">
        <v>14</v>
      </c>
      <c r="N282" s="1162" t="s">
        <v>473</v>
      </c>
      <c r="O282" s="1164">
        <v>35</v>
      </c>
      <c r="P282" s="1164">
        <v>0</v>
      </c>
      <c r="Q282" s="1164">
        <v>5</v>
      </c>
      <c r="R282" s="1159" t="s">
        <v>662</v>
      </c>
      <c r="S282" s="1159" t="s">
        <v>852</v>
      </c>
      <c r="T282" s="1159" t="s">
        <v>925</v>
      </c>
      <c r="U282" s="1166">
        <v>63000</v>
      </c>
      <c r="V282" s="1159" t="s">
        <v>925</v>
      </c>
      <c r="W282" s="1166">
        <v>63000</v>
      </c>
      <c r="X282" s="1159" t="s">
        <v>721</v>
      </c>
      <c r="Y282" s="1167">
        <v>43558.735659722224</v>
      </c>
      <c r="Z282" s="1159" t="s">
        <v>618</v>
      </c>
      <c r="AA282" s="1167">
        <v>43754.07099537037</v>
      </c>
      <c r="AB282" s="1138">
        <f t="shared" si="4"/>
        <v>126000</v>
      </c>
    </row>
    <row r="283" spans="1:28" x14ac:dyDescent="0.25">
      <c r="A283" s="1150">
        <v>110255</v>
      </c>
      <c r="B283" s="1150" t="s">
        <v>1045</v>
      </c>
      <c r="C283" s="1150" t="s">
        <v>1048</v>
      </c>
      <c r="D283" s="1151">
        <v>43558</v>
      </c>
      <c r="E283" s="1152">
        <v>12340000</v>
      </c>
      <c r="F283" s="1150" t="s">
        <v>387</v>
      </c>
      <c r="G283" s="1153" t="s">
        <v>611</v>
      </c>
      <c r="H283" s="1153">
        <v>999</v>
      </c>
      <c r="I283" s="1150" t="s">
        <v>629</v>
      </c>
      <c r="J283" s="1153" t="s">
        <v>14</v>
      </c>
      <c r="K283" s="1150" t="s">
        <v>849</v>
      </c>
      <c r="L283" s="1150" t="s">
        <v>1047</v>
      </c>
      <c r="M283" s="1153" t="s">
        <v>14</v>
      </c>
      <c r="N283" s="1153" t="s">
        <v>473</v>
      </c>
      <c r="O283" s="1155">
        <v>35</v>
      </c>
      <c r="P283" s="1155">
        <v>0</v>
      </c>
      <c r="Q283" s="1155">
        <v>5</v>
      </c>
      <c r="R283" s="1150" t="s">
        <v>662</v>
      </c>
      <c r="S283" s="1150" t="s">
        <v>852</v>
      </c>
      <c r="T283" s="1150" t="s">
        <v>925</v>
      </c>
      <c r="U283" s="1157">
        <v>63000</v>
      </c>
      <c r="V283" s="1150" t="s">
        <v>925</v>
      </c>
      <c r="W283" s="1157">
        <v>63000</v>
      </c>
      <c r="X283" s="1150" t="s">
        <v>721</v>
      </c>
      <c r="Y283" s="1158">
        <v>43558.73509259259</v>
      </c>
      <c r="Z283" s="1150" t="s">
        <v>618</v>
      </c>
      <c r="AA283" s="1158">
        <v>43754.07127314815</v>
      </c>
      <c r="AB283" s="1138">
        <f t="shared" si="4"/>
        <v>126000</v>
      </c>
    </row>
    <row r="284" spans="1:28" x14ac:dyDescent="0.25">
      <c r="A284" s="1159">
        <v>110003</v>
      </c>
      <c r="B284" s="1159" t="s">
        <v>1045</v>
      </c>
      <c r="C284" s="1159" t="s">
        <v>1049</v>
      </c>
      <c r="D284" s="1160">
        <v>43487</v>
      </c>
      <c r="E284" s="1161">
        <v>12990000</v>
      </c>
      <c r="F284" s="1159" t="s">
        <v>387</v>
      </c>
      <c r="G284" s="1162" t="s">
        <v>611</v>
      </c>
      <c r="H284" s="1162">
        <v>999</v>
      </c>
      <c r="I284" s="1159" t="s">
        <v>629</v>
      </c>
      <c r="J284" s="1162" t="s">
        <v>14</v>
      </c>
      <c r="K284" s="1159" t="s">
        <v>849</v>
      </c>
      <c r="L284" s="1159" t="s">
        <v>1047</v>
      </c>
      <c r="M284" s="1162" t="s">
        <v>14</v>
      </c>
      <c r="N284" s="1162" t="s">
        <v>473</v>
      </c>
      <c r="O284" s="1164">
        <v>35</v>
      </c>
      <c r="P284" s="1164">
        <v>0</v>
      </c>
      <c r="Q284" s="1164">
        <v>5</v>
      </c>
      <c r="R284" s="1159" t="s">
        <v>662</v>
      </c>
      <c r="S284" s="1159" t="s">
        <v>852</v>
      </c>
      <c r="T284" s="1159" t="s">
        <v>925</v>
      </c>
      <c r="U284" s="1166">
        <v>63000</v>
      </c>
      <c r="V284" s="1159" t="s">
        <v>925</v>
      </c>
      <c r="W284" s="1166">
        <v>63000</v>
      </c>
      <c r="X284" s="1159" t="s">
        <v>664</v>
      </c>
      <c r="Y284" s="1167">
        <v>43487.65173611111</v>
      </c>
      <c r="Z284" s="1159" t="s">
        <v>618</v>
      </c>
      <c r="AA284" s="1167">
        <v>43754.07240740741</v>
      </c>
      <c r="AB284" s="1138">
        <f t="shared" si="4"/>
        <v>126000</v>
      </c>
    </row>
    <row r="285" spans="1:28" x14ac:dyDescent="0.25">
      <c r="A285" s="1150">
        <v>110004</v>
      </c>
      <c r="B285" s="1150" t="s">
        <v>1045</v>
      </c>
      <c r="C285" s="1150" t="s">
        <v>1050</v>
      </c>
      <c r="D285" s="1151">
        <v>43487</v>
      </c>
      <c r="E285" s="1152">
        <v>14480000</v>
      </c>
      <c r="F285" s="1150" t="s">
        <v>387</v>
      </c>
      <c r="G285" s="1153" t="s">
        <v>611</v>
      </c>
      <c r="H285" s="1153">
        <v>999</v>
      </c>
      <c r="I285" s="1150" t="s">
        <v>629</v>
      </c>
      <c r="J285" s="1153" t="s">
        <v>14</v>
      </c>
      <c r="K285" s="1150" t="s">
        <v>849</v>
      </c>
      <c r="L285" s="1150" t="s">
        <v>1047</v>
      </c>
      <c r="M285" s="1153" t="s">
        <v>14</v>
      </c>
      <c r="N285" s="1153" t="s">
        <v>473</v>
      </c>
      <c r="O285" s="1155">
        <v>35</v>
      </c>
      <c r="P285" s="1155">
        <v>0</v>
      </c>
      <c r="Q285" s="1155">
        <v>5</v>
      </c>
      <c r="R285" s="1150" t="s">
        <v>662</v>
      </c>
      <c r="S285" s="1150" t="s">
        <v>852</v>
      </c>
      <c r="T285" s="1150" t="s">
        <v>925</v>
      </c>
      <c r="U285" s="1157">
        <v>63000</v>
      </c>
      <c r="V285" s="1150" t="s">
        <v>925</v>
      </c>
      <c r="W285" s="1157">
        <v>63000</v>
      </c>
      <c r="X285" s="1150" t="s">
        <v>664</v>
      </c>
      <c r="Y285" s="1158">
        <v>43487.65325231482</v>
      </c>
      <c r="Z285" s="1150" t="s">
        <v>618</v>
      </c>
      <c r="AA285" s="1158">
        <v>43754.074421296296</v>
      </c>
      <c r="AB285" s="1138">
        <f t="shared" si="4"/>
        <v>126000</v>
      </c>
    </row>
    <row r="286" ht="24" customHeight="1" spans="1:28" x14ac:dyDescent="0.25">
      <c r="A286" s="1159">
        <v>110219</v>
      </c>
      <c r="B286" s="1159" t="s">
        <v>1045</v>
      </c>
      <c r="C286" s="1159" t="s">
        <v>1051</v>
      </c>
      <c r="D286" s="1160">
        <v>43543</v>
      </c>
      <c r="E286" s="1161">
        <v>14870000</v>
      </c>
      <c r="F286" s="1159" t="s">
        <v>387</v>
      </c>
      <c r="G286" s="1162" t="s">
        <v>611</v>
      </c>
      <c r="H286" s="1162">
        <v>999</v>
      </c>
      <c r="I286" s="1159" t="s">
        <v>629</v>
      </c>
      <c r="J286" s="1162" t="s">
        <v>14</v>
      </c>
      <c r="K286" s="1159" t="s">
        <v>849</v>
      </c>
      <c r="L286" s="1159" t="s">
        <v>1047</v>
      </c>
      <c r="M286" s="1162" t="s">
        <v>14</v>
      </c>
      <c r="N286" s="1162" t="s">
        <v>473</v>
      </c>
      <c r="O286" s="1164">
        <v>32</v>
      </c>
      <c r="P286" s="1164">
        <v>0</v>
      </c>
      <c r="Q286" s="1164">
        <v>5</v>
      </c>
      <c r="R286" s="1159" t="s">
        <v>662</v>
      </c>
      <c r="S286" s="1159" t="s">
        <v>852</v>
      </c>
      <c r="T286" s="1159" t="s">
        <v>1052</v>
      </c>
      <c r="U286" s="1166">
        <v>94200</v>
      </c>
      <c r="V286" s="1159" t="s">
        <v>1052</v>
      </c>
      <c r="W286" s="1166">
        <v>94200</v>
      </c>
      <c r="X286" s="1159" t="s">
        <v>664</v>
      </c>
      <c r="Y286" s="1167">
        <v>43543.85585648148</v>
      </c>
      <c r="Z286" s="1159" t="s">
        <v>618</v>
      </c>
      <c r="AA286" s="1167">
        <v>43754.433344907404</v>
      </c>
      <c r="AB286" s="1138">
        <f t="shared" si="4"/>
        <v>188400</v>
      </c>
    </row>
    <row r="287" ht="24" customHeight="1" spans="1:28" x14ac:dyDescent="0.25">
      <c r="A287" s="1150">
        <v>110220</v>
      </c>
      <c r="B287" s="1150" t="s">
        <v>1045</v>
      </c>
      <c r="C287" s="1150" t="s">
        <v>1053</v>
      </c>
      <c r="D287" s="1151">
        <v>43543</v>
      </c>
      <c r="E287" s="1152">
        <v>14870000</v>
      </c>
      <c r="F287" s="1150" t="s">
        <v>387</v>
      </c>
      <c r="G287" s="1153" t="s">
        <v>611</v>
      </c>
      <c r="H287" s="1153">
        <v>999</v>
      </c>
      <c r="I287" s="1150" t="s">
        <v>629</v>
      </c>
      <c r="J287" s="1153" t="s">
        <v>14</v>
      </c>
      <c r="K287" s="1150" t="s">
        <v>849</v>
      </c>
      <c r="L287" s="1150" t="s">
        <v>1047</v>
      </c>
      <c r="M287" s="1153" t="s">
        <v>14</v>
      </c>
      <c r="N287" s="1153" t="s">
        <v>473</v>
      </c>
      <c r="O287" s="1155">
        <v>32</v>
      </c>
      <c r="P287" s="1155">
        <v>0</v>
      </c>
      <c r="Q287" s="1155">
        <v>5</v>
      </c>
      <c r="R287" s="1150" t="s">
        <v>662</v>
      </c>
      <c r="S287" s="1150" t="s">
        <v>852</v>
      </c>
      <c r="T287" s="1150" t="s">
        <v>1052</v>
      </c>
      <c r="U287" s="1157">
        <v>94200</v>
      </c>
      <c r="V287" s="1150" t="s">
        <v>1052</v>
      </c>
      <c r="W287" s="1157">
        <v>94200</v>
      </c>
      <c r="X287" s="1150" t="s">
        <v>664</v>
      </c>
      <c r="Y287" s="1158">
        <v>43543.86483796296</v>
      </c>
      <c r="Z287" s="1150" t="s">
        <v>618</v>
      </c>
      <c r="AA287" s="1158">
        <v>43754.43341435185</v>
      </c>
      <c r="AB287" s="1138">
        <f t="shared" si="4"/>
        <v>188400</v>
      </c>
    </row>
    <row r="288" spans="1:28" x14ac:dyDescent="0.25">
      <c r="A288" s="1159">
        <v>110336</v>
      </c>
      <c r="B288" s="1159" t="s">
        <v>1045</v>
      </c>
      <c r="C288" s="1159" t="s">
        <v>1054</v>
      </c>
      <c r="D288" s="1160">
        <v>43642</v>
      </c>
      <c r="E288" s="1161">
        <v>11510000</v>
      </c>
      <c r="F288" s="1159" t="s">
        <v>387</v>
      </c>
      <c r="G288" s="1162" t="s">
        <v>611</v>
      </c>
      <c r="H288" s="1162">
        <v>999</v>
      </c>
      <c r="I288" s="1159" t="s">
        <v>629</v>
      </c>
      <c r="J288" s="1162" t="s">
        <v>14</v>
      </c>
      <c r="K288" s="1159" t="s">
        <v>849</v>
      </c>
      <c r="L288" s="1159" t="s">
        <v>1047</v>
      </c>
      <c r="M288" s="1162" t="s">
        <v>14</v>
      </c>
      <c r="N288" s="1162" t="s">
        <v>473</v>
      </c>
      <c r="O288" s="1164">
        <v>35</v>
      </c>
      <c r="P288" s="1164">
        <v>0</v>
      </c>
      <c r="Q288" s="1164">
        <v>5</v>
      </c>
      <c r="R288" s="1159" t="s">
        <v>615</v>
      </c>
      <c r="S288" s="1159" t="s">
        <v>852</v>
      </c>
      <c r="T288" s="1159" t="s">
        <v>925</v>
      </c>
      <c r="U288" s="1166">
        <v>63000</v>
      </c>
      <c r="V288" s="1159" t="s">
        <v>925</v>
      </c>
      <c r="W288" s="1166">
        <v>63000</v>
      </c>
      <c r="X288" s="1159" t="s">
        <v>618</v>
      </c>
      <c r="Y288" s="1167">
        <v>43642.94033564815</v>
      </c>
      <c r="Z288" s="1159" t="s">
        <v>618</v>
      </c>
      <c r="AA288" s="1167">
        <v>43754.075474537036</v>
      </c>
      <c r="AB288" s="1138">
        <f t="shared" si="4"/>
        <v>126000</v>
      </c>
    </row>
    <row r="289" spans="1:28" x14ac:dyDescent="0.25">
      <c r="A289" s="1150">
        <v>110337</v>
      </c>
      <c r="B289" s="1150" t="s">
        <v>1045</v>
      </c>
      <c r="C289" s="1150" t="s">
        <v>1055</v>
      </c>
      <c r="D289" s="1151">
        <v>43642</v>
      </c>
      <c r="E289" s="1152">
        <v>11940000</v>
      </c>
      <c r="F289" s="1150" t="s">
        <v>387</v>
      </c>
      <c r="G289" s="1153" t="s">
        <v>611</v>
      </c>
      <c r="H289" s="1153">
        <v>999</v>
      </c>
      <c r="I289" s="1150" t="s">
        <v>629</v>
      </c>
      <c r="J289" s="1153" t="s">
        <v>14</v>
      </c>
      <c r="K289" s="1150" t="s">
        <v>849</v>
      </c>
      <c r="L289" s="1150" t="s">
        <v>1047</v>
      </c>
      <c r="M289" s="1153" t="s">
        <v>14</v>
      </c>
      <c r="N289" s="1153" t="s">
        <v>473</v>
      </c>
      <c r="O289" s="1155">
        <v>35</v>
      </c>
      <c r="P289" s="1155">
        <v>0</v>
      </c>
      <c r="Q289" s="1155">
        <v>5</v>
      </c>
      <c r="R289" s="1150" t="s">
        <v>615</v>
      </c>
      <c r="S289" s="1150" t="s">
        <v>852</v>
      </c>
      <c r="T289" s="1150" t="s">
        <v>925</v>
      </c>
      <c r="U289" s="1157">
        <v>63000</v>
      </c>
      <c r="V289" s="1150" t="s">
        <v>925</v>
      </c>
      <c r="W289" s="1157">
        <v>63000</v>
      </c>
      <c r="X289" s="1150" t="s">
        <v>618</v>
      </c>
      <c r="Y289" s="1158">
        <v>43642.99328703704</v>
      </c>
      <c r="Z289" s="1150" t="s">
        <v>618</v>
      </c>
      <c r="AA289" s="1158">
        <v>43754.07579861111</v>
      </c>
      <c r="AB289" s="1138">
        <f t="shared" si="4"/>
        <v>126000</v>
      </c>
    </row>
    <row r="290" spans="1:28" x14ac:dyDescent="0.25">
      <c r="A290" s="1159">
        <v>110527</v>
      </c>
      <c r="B290" s="1159" t="s">
        <v>1056</v>
      </c>
      <c r="C290" s="1159" t="s">
        <v>1057</v>
      </c>
      <c r="D290" s="1160">
        <v>43699</v>
      </c>
      <c r="E290" s="1161">
        <v>28920000</v>
      </c>
      <c r="F290" s="1159" t="s">
        <v>610</v>
      </c>
      <c r="G290" s="1162" t="s">
        <v>611</v>
      </c>
      <c r="H290" s="1163">
        <v>1995</v>
      </c>
      <c r="I290" s="1159" t="s">
        <v>629</v>
      </c>
      <c r="J290" s="1162" t="s">
        <v>14</v>
      </c>
      <c r="K290" s="1159" t="s">
        <v>76</v>
      </c>
      <c r="L290" s="1159" t="s">
        <v>1058</v>
      </c>
      <c r="M290" s="1162" t="s">
        <v>14</v>
      </c>
      <c r="N290" s="1162" t="s">
        <v>837</v>
      </c>
      <c r="O290" s="1164">
        <v>62</v>
      </c>
      <c r="P290" s="1165"/>
      <c r="Q290" s="1164">
        <v>5</v>
      </c>
      <c r="R290" s="1159" t="s">
        <v>662</v>
      </c>
      <c r="S290" s="1159" t="s">
        <v>974</v>
      </c>
      <c r="T290" s="1159" t="s">
        <v>1059</v>
      </c>
      <c r="U290" s="1166">
        <v>157700</v>
      </c>
      <c r="V290" s="1159" t="s">
        <v>1059</v>
      </c>
      <c r="W290" s="1166">
        <v>157700</v>
      </c>
      <c r="X290" s="1159" t="s">
        <v>618</v>
      </c>
      <c r="Y290" s="1167">
        <v>43699.42599537037</v>
      </c>
      <c r="Z290" s="1159" t="s">
        <v>618</v>
      </c>
      <c r="AA290" s="1167">
        <v>43897.79697916667</v>
      </c>
      <c r="AB290" s="1138">
        <f t="shared" si="4"/>
        <v>315400</v>
      </c>
    </row>
    <row r="291" spans="1:28" x14ac:dyDescent="0.25">
      <c r="A291" s="1150">
        <v>110528</v>
      </c>
      <c r="B291" s="1150" t="s">
        <v>1056</v>
      </c>
      <c r="C291" s="1150" t="s">
        <v>1060</v>
      </c>
      <c r="D291" s="1151">
        <v>43699</v>
      </c>
      <c r="E291" s="1152">
        <v>31020000</v>
      </c>
      <c r="F291" s="1150" t="s">
        <v>610</v>
      </c>
      <c r="G291" s="1153" t="s">
        <v>611</v>
      </c>
      <c r="H291" s="1154">
        <v>1995</v>
      </c>
      <c r="I291" s="1150" t="s">
        <v>629</v>
      </c>
      <c r="J291" s="1153" t="s">
        <v>14</v>
      </c>
      <c r="K291" s="1150" t="s">
        <v>76</v>
      </c>
      <c r="L291" s="1150" t="s">
        <v>1058</v>
      </c>
      <c r="M291" s="1153" t="s">
        <v>14</v>
      </c>
      <c r="N291" s="1153" t="s">
        <v>837</v>
      </c>
      <c r="O291" s="1155">
        <v>62</v>
      </c>
      <c r="P291" s="1156"/>
      <c r="Q291" s="1155">
        <v>5</v>
      </c>
      <c r="R291" s="1150" t="s">
        <v>662</v>
      </c>
      <c r="S291" s="1150" t="s">
        <v>974</v>
      </c>
      <c r="T291" s="1150" t="s">
        <v>1059</v>
      </c>
      <c r="U291" s="1157">
        <v>157700</v>
      </c>
      <c r="V291" s="1150" t="s">
        <v>1059</v>
      </c>
      <c r="W291" s="1157">
        <v>157700</v>
      </c>
      <c r="X291" s="1150" t="s">
        <v>618</v>
      </c>
      <c r="Y291" s="1158">
        <v>43699.429490740746</v>
      </c>
      <c r="Z291" s="1150" t="s">
        <v>618</v>
      </c>
      <c r="AA291" s="1158">
        <v>43897.79748842593</v>
      </c>
      <c r="AB291" s="1138">
        <f t="shared" si="4"/>
        <v>315400</v>
      </c>
    </row>
    <row r="292" spans="1:28" x14ac:dyDescent="0.25">
      <c r="A292" s="1159">
        <v>110518</v>
      </c>
      <c r="B292" s="1159" t="s">
        <v>1056</v>
      </c>
      <c r="C292" s="1159" t="s">
        <v>1061</v>
      </c>
      <c r="D292" s="1160">
        <v>43699</v>
      </c>
      <c r="E292" s="1161">
        <v>23700000</v>
      </c>
      <c r="F292" s="1159" t="s">
        <v>610</v>
      </c>
      <c r="G292" s="1162" t="s">
        <v>611</v>
      </c>
      <c r="H292" s="1163">
        <v>1995</v>
      </c>
      <c r="I292" s="1159" t="s">
        <v>629</v>
      </c>
      <c r="J292" s="1162" t="s">
        <v>14</v>
      </c>
      <c r="K292" s="1159" t="s">
        <v>76</v>
      </c>
      <c r="L292" s="1159" t="s">
        <v>1058</v>
      </c>
      <c r="M292" s="1162" t="s">
        <v>14</v>
      </c>
      <c r="N292" s="1162" t="s">
        <v>837</v>
      </c>
      <c r="O292" s="1164">
        <v>62</v>
      </c>
      <c r="P292" s="1165"/>
      <c r="Q292" s="1164">
        <v>5</v>
      </c>
      <c r="R292" s="1159" t="s">
        <v>662</v>
      </c>
      <c r="S292" s="1159" t="s">
        <v>974</v>
      </c>
      <c r="T292" s="1159" t="s">
        <v>1062</v>
      </c>
      <c r="U292" s="1166">
        <v>151800</v>
      </c>
      <c r="V292" s="1159" t="s">
        <v>1062</v>
      </c>
      <c r="W292" s="1166">
        <v>151800</v>
      </c>
      <c r="X292" s="1159" t="s">
        <v>618</v>
      </c>
      <c r="Y292" s="1167">
        <v>43699.395474537036</v>
      </c>
      <c r="Z292" s="1159" t="s">
        <v>618</v>
      </c>
      <c r="AA292" s="1167">
        <v>43897.79152777778</v>
      </c>
      <c r="AB292" s="1138">
        <f t="shared" si="4"/>
        <v>303600</v>
      </c>
    </row>
    <row r="293" spans="1:28" x14ac:dyDescent="0.25">
      <c r="A293" s="1150">
        <v>110519</v>
      </c>
      <c r="B293" s="1150" t="s">
        <v>1056</v>
      </c>
      <c r="C293" s="1150" t="s">
        <v>1063</v>
      </c>
      <c r="D293" s="1151">
        <v>43699</v>
      </c>
      <c r="E293" s="1152">
        <v>25800000</v>
      </c>
      <c r="F293" s="1150" t="s">
        <v>610</v>
      </c>
      <c r="G293" s="1153" t="s">
        <v>611</v>
      </c>
      <c r="H293" s="1154">
        <v>1995</v>
      </c>
      <c r="I293" s="1150" t="s">
        <v>629</v>
      </c>
      <c r="J293" s="1153" t="s">
        <v>14</v>
      </c>
      <c r="K293" s="1150" t="s">
        <v>76</v>
      </c>
      <c r="L293" s="1150" t="s">
        <v>1058</v>
      </c>
      <c r="M293" s="1153" t="s">
        <v>14</v>
      </c>
      <c r="N293" s="1153" t="s">
        <v>837</v>
      </c>
      <c r="O293" s="1155">
        <v>62</v>
      </c>
      <c r="P293" s="1156"/>
      <c r="Q293" s="1155">
        <v>5</v>
      </c>
      <c r="R293" s="1150" t="s">
        <v>662</v>
      </c>
      <c r="S293" s="1150" t="s">
        <v>974</v>
      </c>
      <c r="T293" s="1150" t="s">
        <v>1062</v>
      </c>
      <c r="U293" s="1157">
        <v>151800</v>
      </c>
      <c r="V293" s="1150" t="s">
        <v>1062</v>
      </c>
      <c r="W293" s="1157">
        <v>151800</v>
      </c>
      <c r="X293" s="1150" t="s">
        <v>618</v>
      </c>
      <c r="Y293" s="1158">
        <v>43699.40386574074</v>
      </c>
      <c r="Z293" s="1150" t="s">
        <v>618</v>
      </c>
      <c r="AA293" s="1158">
        <v>43897.792071759264</v>
      </c>
      <c r="AB293" s="1138">
        <f t="shared" si="4"/>
        <v>303600</v>
      </c>
    </row>
    <row r="294" ht="24" customHeight="1" spans="1:28" x14ac:dyDescent="0.25">
      <c r="A294" s="1159">
        <v>110523</v>
      </c>
      <c r="B294" s="1159" t="s">
        <v>1056</v>
      </c>
      <c r="C294" s="1159" t="s">
        <v>1064</v>
      </c>
      <c r="D294" s="1160">
        <v>43699</v>
      </c>
      <c r="E294" s="1161">
        <v>25720000</v>
      </c>
      <c r="F294" s="1159" t="s">
        <v>610</v>
      </c>
      <c r="G294" s="1162" t="s">
        <v>611</v>
      </c>
      <c r="H294" s="1163">
        <v>1995</v>
      </c>
      <c r="I294" s="1159" t="s">
        <v>629</v>
      </c>
      <c r="J294" s="1162" t="s">
        <v>14</v>
      </c>
      <c r="K294" s="1159" t="s">
        <v>76</v>
      </c>
      <c r="L294" s="1159" t="s">
        <v>1058</v>
      </c>
      <c r="M294" s="1162" t="s">
        <v>14</v>
      </c>
      <c r="N294" s="1162" t="s">
        <v>837</v>
      </c>
      <c r="O294" s="1164">
        <v>62</v>
      </c>
      <c r="P294" s="1165"/>
      <c r="Q294" s="1164">
        <v>5</v>
      </c>
      <c r="R294" s="1159" t="s">
        <v>662</v>
      </c>
      <c r="S294" s="1159" t="s">
        <v>974</v>
      </c>
      <c r="T294" s="1159" t="s">
        <v>1059</v>
      </c>
      <c r="U294" s="1166">
        <v>157700</v>
      </c>
      <c r="V294" s="1159" t="s">
        <v>1059</v>
      </c>
      <c r="W294" s="1166">
        <v>157700</v>
      </c>
      <c r="X294" s="1159" t="s">
        <v>618</v>
      </c>
      <c r="Y294" s="1167">
        <v>43699.41905092592</v>
      </c>
      <c r="Z294" s="1159" t="s">
        <v>618</v>
      </c>
      <c r="AA294" s="1167">
        <v>43897.794328703705</v>
      </c>
      <c r="AB294" s="1138">
        <f t="shared" si="4"/>
        <v>315400</v>
      </c>
    </row>
    <row r="295" ht="24" customHeight="1" spans="1:28" x14ac:dyDescent="0.25">
      <c r="A295" s="1150">
        <v>110524</v>
      </c>
      <c r="B295" s="1150" t="s">
        <v>1056</v>
      </c>
      <c r="C295" s="1150" t="s">
        <v>1065</v>
      </c>
      <c r="D295" s="1151">
        <v>43699</v>
      </c>
      <c r="E295" s="1152">
        <v>27820000</v>
      </c>
      <c r="F295" s="1150" t="s">
        <v>610</v>
      </c>
      <c r="G295" s="1153" t="s">
        <v>611</v>
      </c>
      <c r="H295" s="1154">
        <v>1995</v>
      </c>
      <c r="I295" s="1150" t="s">
        <v>629</v>
      </c>
      <c r="J295" s="1153" t="s">
        <v>14</v>
      </c>
      <c r="K295" s="1150" t="s">
        <v>76</v>
      </c>
      <c r="L295" s="1150" t="s">
        <v>1058</v>
      </c>
      <c r="M295" s="1153" t="s">
        <v>14</v>
      </c>
      <c r="N295" s="1153" t="s">
        <v>837</v>
      </c>
      <c r="O295" s="1155">
        <v>62</v>
      </c>
      <c r="P295" s="1156"/>
      <c r="Q295" s="1155">
        <v>5</v>
      </c>
      <c r="R295" s="1150" t="s">
        <v>662</v>
      </c>
      <c r="S295" s="1150" t="s">
        <v>974</v>
      </c>
      <c r="T295" s="1150" t="s">
        <v>1059</v>
      </c>
      <c r="U295" s="1157">
        <v>157700</v>
      </c>
      <c r="V295" s="1150" t="s">
        <v>1059</v>
      </c>
      <c r="W295" s="1157">
        <v>157700</v>
      </c>
      <c r="X295" s="1150" t="s">
        <v>618</v>
      </c>
      <c r="Y295" s="1158">
        <v>43699.42037037037</v>
      </c>
      <c r="Z295" s="1150" t="s">
        <v>618</v>
      </c>
      <c r="AA295" s="1158">
        <v>43897.79483796297</v>
      </c>
      <c r="AB295" s="1138">
        <f t="shared" si="4"/>
        <v>315400</v>
      </c>
    </row>
    <row r="296" ht="24" customHeight="1" spans="1:28" x14ac:dyDescent="0.25">
      <c r="A296" s="1159">
        <v>110516</v>
      </c>
      <c r="B296" s="1159" t="s">
        <v>1056</v>
      </c>
      <c r="C296" s="1159" t="s">
        <v>1066</v>
      </c>
      <c r="D296" s="1160">
        <v>43699</v>
      </c>
      <c r="E296" s="1161">
        <v>26040000</v>
      </c>
      <c r="F296" s="1159" t="s">
        <v>387</v>
      </c>
      <c r="G296" s="1162" t="s">
        <v>611</v>
      </c>
      <c r="H296" s="1163">
        <v>1999</v>
      </c>
      <c r="I296" s="1159" t="s">
        <v>629</v>
      </c>
      <c r="J296" s="1162" t="s">
        <v>14</v>
      </c>
      <c r="K296" s="1159" t="s">
        <v>76</v>
      </c>
      <c r="L296" s="1159" t="s">
        <v>1058</v>
      </c>
      <c r="M296" s="1162" t="s">
        <v>14</v>
      </c>
      <c r="N296" s="1162" t="s">
        <v>837</v>
      </c>
      <c r="O296" s="1164">
        <v>62</v>
      </c>
      <c r="P296" s="1165"/>
      <c r="Q296" s="1164">
        <v>5</v>
      </c>
      <c r="R296" s="1159" t="s">
        <v>710</v>
      </c>
      <c r="S296" s="1159" t="s">
        <v>974</v>
      </c>
      <c r="T296" s="1159" t="s">
        <v>1062</v>
      </c>
      <c r="U296" s="1166">
        <v>151800</v>
      </c>
      <c r="V296" s="1159" t="s">
        <v>1062</v>
      </c>
      <c r="W296" s="1166">
        <v>151800</v>
      </c>
      <c r="X296" s="1159" t="s">
        <v>618</v>
      </c>
      <c r="Y296" s="1167">
        <v>43699.35659722222</v>
      </c>
      <c r="Z296" s="1159" t="s">
        <v>618</v>
      </c>
      <c r="AA296" s="1167">
        <v>43897.798368055555</v>
      </c>
      <c r="AB296" s="1138">
        <f t="shared" si="4"/>
        <v>303600</v>
      </c>
    </row>
    <row r="297" ht="24" customHeight="1" spans="1:28" x14ac:dyDescent="0.25">
      <c r="A297" s="1150">
        <v>110511</v>
      </c>
      <c r="B297" s="1150" t="s">
        <v>1056</v>
      </c>
      <c r="C297" s="1150" t="s">
        <v>1067</v>
      </c>
      <c r="D297" s="1151">
        <v>43699</v>
      </c>
      <c r="E297" s="1152">
        <v>22840000</v>
      </c>
      <c r="F297" s="1150" t="s">
        <v>387</v>
      </c>
      <c r="G297" s="1153" t="s">
        <v>611</v>
      </c>
      <c r="H297" s="1154">
        <v>1999</v>
      </c>
      <c r="I297" s="1150" t="s">
        <v>629</v>
      </c>
      <c r="J297" s="1153" t="s">
        <v>14</v>
      </c>
      <c r="K297" s="1150" t="s">
        <v>76</v>
      </c>
      <c r="L297" s="1150" t="s">
        <v>1058</v>
      </c>
      <c r="M297" s="1153" t="s">
        <v>14</v>
      </c>
      <c r="N297" s="1153" t="s">
        <v>837</v>
      </c>
      <c r="O297" s="1155">
        <v>62</v>
      </c>
      <c r="P297" s="1156"/>
      <c r="Q297" s="1155">
        <v>5</v>
      </c>
      <c r="R297" s="1150" t="s">
        <v>710</v>
      </c>
      <c r="S297" s="1150" t="s">
        <v>974</v>
      </c>
      <c r="T297" s="1150" t="s">
        <v>1062</v>
      </c>
      <c r="U297" s="1157">
        <v>151800</v>
      </c>
      <c r="V297" s="1150" t="s">
        <v>1062</v>
      </c>
      <c r="W297" s="1157">
        <v>151800</v>
      </c>
      <c r="X297" s="1150" t="s">
        <v>618</v>
      </c>
      <c r="Y297" s="1158">
        <v>43699.03596064815</v>
      </c>
      <c r="Z297" s="1150" t="s">
        <v>618</v>
      </c>
      <c r="AA297" s="1158">
        <v>43897.79635416667</v>
      </c>
      <c r="AB297" s="1138">
        <f t="shared" si="4"/>
        <v>303600</v>
      </c>
    </row>
    <row r="298" ht="24" customHeight="1" spans="1:28" x14ac:dyDescent="0.25">
      <c r="A298" s="1159">
        <v>110529</v>
      </c>
      <c r="B298" s="1159" t="s">
        <v>1056</v>
      </c>
      <c r="C298" s="1159" t="s">
        <v>1068</v>
      </c>
      <c r="D298" s="1160">
        <v>43699</v>
      </c>
      <c r="E298" s="1161">
        <v>28440000</v>
      </c>
      <c r="F298" s="1159" t="s">
        <v>610</v>
      </c>
      <c r="G298" s="1162" t="s">
        <v>611</v>
      </c>
      <c r="H298" s="1163">
        <v>1598</v>
      </c>
      <c r="I298" s="1159" t="s">
        <v>629</v>
      </c>
      <c r="J298" s="1162" t="s">
        <v>14</v>
      </c>
      <c r="K298" s="1159" t="s">
        <v>76</v>
      </c>
      <c r="L298" s="1159" t="s">
        <v>1058</v>
      </c>
      <c r="M298" s="1162" t="s">
        <v>14</v>
      </c>
      <c r="N298" s="1162" t="s">
        <v>837</v>
      </c>
      <c r="O298" s="1164">
        <v>62</v>
      </c>
      <c r="P298" s="1165"/>
      <c r="Q298" s="1164">
        <v>5</v>
      </c>
      <c r="R298" s="1159" t="s">
        <v>690</v>
      </c>
      <c r="S298" s="1159" t="s">
        <v>974</v>
      </c>
      <c r="T298" s="1159" t="s">
        <v>1059</v>
      </c>
      <c r="U298" s="1166">
        <v>157700</v>
      </c>
      <c r="V298" s="1159" t="s">
        <v>1059</v>
      </c>
      <c r="W298" s="1166">
        <v>157700</v>
      </c>
      <c r="X298" s="1159" t="s">
        <v>618</v>
      </c>
      <c r="Y298" s="1167">
        <v>43699.43478009259</v>
      </c>
      <c r="Z298" s="1159" t="s">
        <v>618</v>
      </c>
      <c r="AA298" s="1167">
        <v>43897.7978125</v>
      </c>
      <c r="AB298" s="1138">
        <f t="shared" si="4"/>
        <v>315400</v>
      </c>
    </row>
    <row r="299" ht="24" customHeight="1" spans="1:28" x14ac:dyDescent="0.25">
      <c r="A299" s="1150">
        <v>110530</v>
      </c>
      <c r="B299" s="1150" t="s">
        <v>1056</v>
      </c>
      <c r="C299" s="1150" t="s">
        <v>1069</v>
      </c>
      <c r="D299" s="1151">
        <v>43699</v>
      </c>
      <c r="E299" s="1152">
        <v>30540000</v>
      </c>
      <c r="F299" s="1150" t="s">
        <v>610</v>
      </c>
      <c r="G299" s="1153" t="s">
        <v>611</v>
      </c>
      <c r="H299" s="1154">
        <v>1598</v>
      </c>
      <c r="I299" s="1150" t="s">
        <v>629</v>
      </c>
      <c r="J299" s="1153" t="s">
        <v>14</v>
      </c>
      <c r="K299" s="1150" t="s">
        <v>76</v>
      </c>
      <c r="L299" s="1150" t="s">
        <v>1058</v>
      </c>
      <c r="M299" s="1153" t="s">
        <v>14</v>
      </c>
      <c r="N299" s="1153" t="s">
        <v>837</v>
      </c>
      <c r="O299" s="1155">
        <v>62</v>
      </c>
      <c r="P299" s="1156"/>
      <c r="Q299" s="1155">
        <v>5</v>
      </c>
      <c r="R299" s="1150" t="s">
        <v>690</v>
      </c>
      <c r="S299" s="1150" t="s">
        <v>974</v>
      </c>
      <c r="T299" s="1150" t="s">
        <v>1059</v>
      </c>
      <c r="U299" s="1157">
        <v>157700</v>
      </c>
      <c r="V299" s="1150" t="s">
        <v>1059</v>
      </c>
      <c r="W299" s="1157">
        <v>157700</v>
      </c>
      <c r="X299" s="1150" t="s">
        <v>618</v>
      </c>
      <c r="Y299" s="1158">
        <v>43699.4353587963</v>
      </c>
      <c r="Z299" s="1150" t="s">
        <v>618</v>
      </c>
      <c r="AA299" s="1158">
        <v>43897.798113425924</v>
      </c>
      <c r="AB299" s="1138">
        <f t="shared" si="4"/>
        <v>315400</v>
      </c>
    </row>
    <row r="300" ht="24" customHeight="1" spans="1:28" x14ac:dyDescent="0.25">
      <c r="A300" s="1159">
        <v>110521</v>
      </c>
      <c r="B300" s="1159" t="s">
        <v>1056</v>
      </c>
      <c r="C300" s="1159" t="s">
        <v>1070</v>
      </c>
      <c r="D300" s="1160">
        <v>43699</v>
      </c>
      <c r="E300" s="1161">
        <v>23210000</v>
      </c>
      <c r="F300" s="1159" t="s">
        <v>610</v>
      </c>
      <c r="G300" s="1162" t="s">
        <v>611</v>
      </c>
      <c r="H300" s="1163">
        <v>1598</v>
      </c>
      <c r="I300" s="1159" t="s">
        <v>629</v>
      </c>
      <c r="J300" s="1162" t="s">
        <v>14</v>
      </c>
      <c r="K300" s="1159" t="s">
        <v>76</v>
      </c>
      <c r="L300" s="1159" t="s">
        <v>1058</v>
      </c>
      <c r="M300" s="1162" t="s">
        <v>14</v>
      </c>
      <c r="N300" s="1162" t="s">
        <v>837</v>
      </c>
      <c r="O300" s="1164">
        <v>62</v>
      </c>
      <c r="P300" s="1165"/>
      <c r="Q300" s="1164">
        <v>5</v>
      </c>
      <c r="R300" s="1159" t="s">
        <v>690</v>
      </c>
      <c r="S300" s="1159" t="s">
        <v>974</v>
      </c>
      <c r="T300" s="1159" t="s">
        <v>1062</v>
      </c>
      <c r="U300" s="1166">
        <v>151800</v>
      </c>
      <c r="V300" s="1159" t="s">
        <v>1062</v>
      </c>
      <c r="W300" s="1166">
        <v>151800</v>
      </c>
      <c r="X300" s="1159" t="s">
        <v>618</v>
      </c>
      <c r="Y300" s="1167">
        <v>43699.41605324074</v>
      </c>
      <c r="Z300" s="1159" t="s">
        <v>618</v>
      </c>
      <c r="AA300" s="1167">
        <v>43897.79368055555</v>
      </c>
      <c r="AB300" s="1138">
        <f t="shared" si="4"/>
        <v>303600</v>
      </c>
    </row>
    <row r="301" ht="24" customHeight="1" spans="1:28" x14ac:dyDescent="0.25">
      <c r="A301" s="1150">
        <v>110522</v>
      </c>
      <c r="B301" s="1150" t="s">
        <v>1056</v>
      </c>
      <c r="C301" s="1150" t="s">
        <v>1071</v>
      </c>
      <c r="D301" s="1151">
        <v>43699</v>
      </c>
      <c r="E301" s="1152">
        <v>25310000</v>
      </c>
      <c r="F301" s="1150" t="s">
        <v>610</v>
      </c>
      <c r="G301" s="1153" t="s">
        <v>611</v>
      </c>
      <c r="H301" s="1154">
        <v>1598</v>
      </c>
      <c r="I301" s="1150" t="s">
        <v>629</v>
      </c>
      <c r="J301" s="1153" t="s">
        <v>14</v>
      </c>
      <c r="K301" s="1150" t="s">
        <v>76</v>
      </c>
      <c r="L301" s="1150" t="s">
        <v>1058</v>
      </c>
      <c r="M301" s="1153" t="s">
        <v>14</v>
      </c>
      <c r="N301" s="1153" t="s">
        <v>837</v>
      </c>
      <c r="O301" s="1155">
        <v>62</v>
      </c>
      <c r="P301" s="1156"/>
      <c r="Q301" s="1155">
        <v>5</v>
      </c>
      <c r="R301" s="1150" t="s">
        <v>690</v>
      </c>
      <c r="S301" s="1150" t="s">
        <v>974</v>
      </c>
      <c r="T301" s="1150" t="s">
        <v>1062</v>
      </c>
      <c r="U301" s="1157">
        <v>151800</v>
      </c>
      <c r="V301" s="1150" t="s">
        <v>1062</v>
      </c>
      <c r="W301" s="1157">
        <v>151800</v>
      </c>
      <c r="X301" s="1150" t="s">
        <v>618</v>
      </c>
      <c r="Y301" s="1158">
        <v>43699.41748842593</v>
      </c>
      <c r="Z301" s="1150" t="s">
        <v>618</v>
      </c>
      <c r="AA301" s="1158">
        <v>43897.79403935185</v>
      </c>
      <c r="AB301" s="1138">
        <f t="shared" si="4"/>
        <v>303600</v>
      </c>
    </row>
    <row r="302" ht="24" customHeight="1" spans="1:28" x14ac:dyDescent="0.25">
      <c r="A302" s="1159">
        <v>110525</v>
      </c>
      <c r="B302" s="1159" t="s">
        <v>1056</v>
      </c>
      <c r="C302" s="1159" t="s">
        <v>1072</v>
      </c>
      <c r="D302" s="1160">
        <v>43699</v>
      </c>
      <c r="E302" s="1161">
        <v>25240000</v>
      </c>
      <c r="F302" s="1159" t="s">
        <v>610</v>
      </c>
      <c r="G302" s="1162" t="s">
        <v>611</v>
      </c>
      <c r="H302" s="1163">
        <v>1598</v>
      </c>
      <c r="I302" s="1159" t="s">
        <v>629</v>
      </c>
      <c r="J302" s="1162" t="s">
        <v>14</v>
      </c>
      <c r="K302" s="1159" t="s">
        <v>76</v>
      </c>
      <c r="L302" s="1159" t="s">
        <v>1058</v>
      </c>
      <c r="M302" s="1162" t="s">
        <v>14</v>
      </c>
      <c r="N302" s="1162" t="s">
        <v>837</v>
      </c>
      <c r="O302" s="1164">
        <v>62</v>
      </c>
      <c r="P302" s="1165"/>
      <c r="Q302" s="1164">
        <v>5</v>
      </c>
      <c r="R302" s="1159" t="s">
        <v>690</v>
      </c>
      <c r="S302" s="1159" t="s">
        <v>974</v>
      </c>
      <c r="T302" s="1159" t="s">
        <v>1059</v>
      </c>
      <c r="U302" s="1166">
        <v>157700</v>
      </c>
      <c r="V302" s="1159" t="s">
        <v>1059</v>
      </c>
      <c r="W302" s="1166">
        <v>157700</v>
      </c>
      <c r="X302" s="1159" t="s">
        <v>618</v>
      </c>
      <c r="Y302" s="1167">
        <v>43699.42164351852</v>
      </c>
      <c r="Z302" s="1159" t="s">
        <v>618</v>
      </c>
      <c r="AA302" s="1167">
        <v>43897.79513888889</v>
      </c>
      <c r="AB302" s="1138">
        <f t="shared" si="4"/>
        <v>315400</v>
      </c>
    </row>
    <row r="303" ht="24" customHeight="1" spans="1:28" x14ac:dyDescent="0.25">
      <c r="A303" s="1150">
        <v>110526</v>
      </c>
      <c r="B303" s="1150" t="s">
        <v>1056</v>
      </c>
      <c r="C303" s="1150" t="s">
        <v>1073</v>
      </c>
      <c r="D303" s="1151">
        <v>43699</v>
      </c>
      <c r="E303" s="1152">
        <v>27340000</v>
      </c>
      <c r="F303" s="1150" t="s">
        <v>610</v>
      </c>
      <c r="G303" s="1153" t="s">
        <v>611</v>
      </c>
      <c r="H303" s="1154">
        <v>1598</v>
      </c>
      <c r="I303" s="1150" t="s">
        <v>629</v>
      </c>
      <c r="J303" s="1153" t="s">
        <v>14</v>
      </c>
      <c r="K303" s="1150" t="s">
        <v>76</v>
      </c>
      <c r="L303" s="1150" t="s">
        <v>1058</v>
      </c>
      <c r="M303" s="1153" t="s">
        <v>14</v>
      </c>
      <c r="N303" s="1153" t="s">
        <v>837</v>
      </c>
      <c r="O303" s="1155">
        <v>62</v>
      </c>
      <c r="P303" s="1156"/>
      <c r="Q303" s="1155">
        <v>5</v>
      </c>
      <c r="R303" s="1150" t="s">
        <v>690</v>
      </c>
      <c r="S303" s="1150" t="s">
        <v>974</v>
      </c>
      <c r="T303" s="1150" t="s">
        <v>1059</v>
      </c>
      <c r="U303" s="1157">
        <v>157700</v>
      </c>
      <c r="V303" s="1150" t="s">
        <v>1059</v>
      </c>
      <c r="W303" s="1157">
        <v>157700</v>
      </c>
      <c r="X303" s="1150" t="s">
        <v>618</v>
      </c>
      <c r="Y303" s="1158">
        <v>43699.42225694444</v>
      </c>
      <c r="Z303" s="1150" t="s">
        <v>618</v>
      </c>
      <c r="AA303" s="1158">
        <v>43897.795428240745</v>
      </c>
      <c r="AB303" s="1138">
        <f t="shared" si="4"/>
        <v>315400</v>
      </c>
    </row>
    <row r="304" ht="24" customHeight="1" spans="1:28" x14ac:dyDescent="0.25">
      <c r="A304" s="1159">
        <v>110929</v>
      </c>
      <c r="B304" s="1159" t="s">
        <v>1074</v>
      </c>
      <c r="C304" s="1159" t="s">
        <v>1075</v>
      </c>
      <c r="D304" s="1160">
        <v>43831</v>
      </c>
      <c r="E304" s="1161">
        <v>31410000</v>
      </c>
      <c r="F304" s="1159" t="s">
        <v>610</v>
      </c>
      <c r="G304" s="1162" t="s">
        <v>611</v>
      </c>
      <c r="H304" s="1163">
        <v>1995</v>
      </c>
      <c r="I304" s="1159" t="s">
        <v>612</v>
      </c>
      <c r="J304" s="1162" t="s">
        <v>14</v>
      </c>
      <c r="K304" s="1159" t="s">
        <v>18</v>
      </c>
      <c r="L304" s="1159" t="s">
        <v>1074</v>
      </c>
      <c r="M304" s="1162" t="s">
        <v>14</v>
      </c>
      <c r="N304" s="1162" t="s">
        <v>738</v>
      </c>
      <c r="O304" s="1164">
        <v>71</v>
      </c>
      <c r="P304" s="1164">
        <v>0</v>
      </c>
      <c r="Q304" s="1164">
        <v>5</v>
      </c>
      <c r="R304" s="1159" t="s">
        <v>690</v>
      </c>
      <c r="S304" s="1159" t="s">
        <v>625</v>
      </c>
      <c r="T304" s="1159" t="s">
        <v>1076</v>
      </c>
      <c r="U304" s="1166">
        <v>176200</v>
      </c>
      <c r="V304" s="1159" t="s">
        <v>1076</v>
      </c>
      <c r="W304" s="1166">
        <v>176200</v>
      </c>
      <c r="X304" s="1159" t="s">
        <v>618</v>
      </c>
      <c r="Y304" s="1167">
        <v>43835.54083333333</v>
      </c>
      <c r="Z304" s="1159" t="s">
        <v>618</v>
      </c>
      <c r="AA304" s="1167">
        <v>43894.6240162037</v>
      </c>
      <c r="AB304" s="1138">
        <f t="shared" si="4"/>
        <v>352400</v>
      </c>
    </row>
    <row r="305" ht="24" customHeight="1" spans="1:28" x14ac:dyDescent="0.25">
      <c r="A305" s="1150">
        <v>110937</v>
      </c>
      <c r="B305" s="1150" t="s">
        <v>1074</v>
      </c>
      <c r="C305" s="1150" t="s">
        <v>1077</v>
      </c>
      <c r="D305" s="1151">
        <v>43831</v>
      </c>
      <c r="E305" s="1152">
        <v>33410000</v>
      </c>
      <c r="F305" s="1150" t="s">
        <v>610</v>
      </c>
      <c r="G305" s="1153" t="s">
        <v>611</v>
      </c>
      <c r="H305" s="1154">
        <v>1995</v>
      </c>
      <c r="I305" s="1150" t="s">
        <v>612</v>
      </c>
      <c r="J305" s="1153" t="s">
        <v>14</v>
      </c>
      <c r="K305" s="1150" t="s">
        <v>18</v>
      </c>
      <c r="L305" s="1150" t="s">
        <v>1074</v>
      </c>
      <c r="M305" s="1153" t="s">
        <v>14</v>
      </c>
      <c r="N305" s="1153" t="s">
        <v>738</v>
      </c>
      <c r="O305" s="1155">
        <v>71</v>
      </c>
      <c r="P305" s="1155">
        <v>0</v>
      </c>
      <c r="Q305" s="1155">
        <v>5</v>
      </c>
      <c r="R305" s="1150" t="s">
        <v>662</v>
      </c>
      <c r="S305" s="1150" t="s">
        <v>625</v>
      </c>
      <c r="T305" s="1150" t="s">
        <v>1076</v>
      </c>
      <c r="U305" s="1157">
        <v>176200</v>
      </c>
      <c r="V305" s="1150" t="s">
        <v>1076</v>
      </c>
      <c r="W305" s="1157">
        <v>176200</v>
      </c>
      <c r="X305" s="1150" t="s">
        <v>618</v>
      </c>
      <c r="Y305" s="1158">
        <v>43835.543854166666</v>
      </c>
      <c r="Z305" s="1150" t="s">
        <v>618</v>
      </c>
      <c r="AA305" s="1158">
        <v>43894.62432870371</v>
      </c>
      <c r="AB305" s="1138">
        <f t="shared" si="4"/>
        <v>352400</v>
      </c>
    </row>
    <row r="306" ht="24" customHeight="1" spans="1:28" x14ac:dyDescent="0.25">
      <c r="A306" s="1159">
        <v>110930</v>
      </c>
      <c r="B306" s="1159" t="s">
        <v>1074</v>
      </c>
      <c r="C306" s="1159" t="s">
        <v>1078</v>
      </c>
      <c r="D306" s="1160">
        <v>43831</v>
      </c>
      <c r="E306" s="1161">
        <v>32060000</v>
      </c>
      <c r="F306" s="1159" t="s">
        <v>610</v>
      </c>
      <c r="G306" s="1162" t="s">
        <v>611</v>
      </c>
      <c r="H306" s="1163">
        <v>1995</v>
      </c>
      <c r="I306" s="1159" t="s">
        <v>612</v>
      </c>
      <c r="J306" s="1162" t="s">
        <v>14</v>
      </c>
      <c r="K306" s="1159" t="s">
        <v>18</v>
      </c>
      <c r="L306" s="1159" t="s">
        <v>1074</v>
      </c>
      <c r="M306" s="1162" t="s">
        <v>14</v>
      </c>
      <c r="N306" s="1162" t="s">
        <v>738</v>
      </c>
      <c r="O306" s="1164">
        <v>71</v>
      </c>
      <c r="P306" s="1164">
        <v>0</v>
      </c>
      <c r="Q306" s="1164">
        <v>7</v>
      </c>
      <c r="R306" s="1159" t="s">
        <v>690</v>
      </c>
      <c r="S306" s="1159" t="s">
        <v>625</v>
      </c>
      <c r="T306" s="1159" t="s">
        <v>1076</v>
      </c>
      <c r="U306" s="1166">
        <v>176200</v>
      </c>
      <c r="V306" s="1159" t="s">
        <v>1076</v>
      </c>
      <c r="W306" s="1166">
        <v>176200</v>
      </c>
      <c r="X306" s="1159" t="s">
        <v>618</v>
      </c>
      <c r="Y306" s="1167">
        <v>43835.54112268519</v>
      </c>
      <c r="Z306" s="1159" t="s">
        <v>618</v>
      </c>
      <c r="AA306" s="1167">
        <v>43894.62415509259</v>
      </c>
      <c r="AB306" s="1138">
        <f t="shared" si="4"/>
        <v>352400</v>
      </c>
    </row>
    <row r="307" ht="24" customHeight="1" spans="1:28" x14ac:dyDescent="0.25">
      <c r="A307" s="1150">
        <v>110938</v>
      </c>
      <c r="B307" s="1150" t="s">
        <v>1074</v>
      </c>
      <c r="C307" s="1150" t="s">
        <v>1079</v>
      </c>
      <c r="D307" s="1151">
        <v>43831</v>
      </c>
      <c r="E307" s="1152">
        <v>34060000</v>
      </c>
      <c r="F307" s="1150" t="s">
        <v>610</v>
      </c>
      <c r="G307" s="1153" t="s">
        <v>611</v>
      </c>
      <c r="H307" s="1154">
        <v>1995</v>
      </c>
      <c r="I307" s="1150" t="s">
        <v>612</v>
      </c>
      <c r="J307" s="1153" t="s">
        <v>14</v>
      </c>
      <c r="K307" s="1150" t="s">
        <v>18</v>
      </c>
      <c r="L307" s="1150" t="s">
        <v>1074</v>
      </c>
      <c r="M307" s="1153" t="s">
        <v>14</v>
      </c>
      <c r="N307" s="1153" t="s">
        <v>738</v>
      </c>
      <c r="O307" s="1155">
        <v>71</v>
      </c>
      <c r="P307" s="1155">
        <v>0</v>
      </c>
      <c r="Q307" s="1155">
        <v>7</v>
      </c>
      <c r="R307" s="1150" t="s">
        <v>662</v>
      </c>
      <c r="S307" s="1150" t="s">
        <v>625</v>
      </c>
      <c r="T307" s="1150" t="s">
        <v>1076</v>
      </c>
      <c r="U307" s="1157">
        <v>176200</v>
      </c>
      <c r="V307" s="1150" t="s">
        <v>1076</v>
      </c>
      <c r="W307" s="1157">
        <v>176200</v>
      </c>
      <c r="X307" s="1150" t="s">
        <v>618</v>
      </c>
      <c r="Y307" s="1158">
        <v>43835.54418981481</v>
      </c>
      <c r="Z307" s="1150" t="s">
        <v>618</v>
      </c>
      <c r="AA307" s="1158">
        <v>43894.624560185184</v>
      </c>
      <c r="AB307" s="1138">
        <f t="shared" si="4"/>
        <v>352400</v>
      </c>
    </row>
    <row r="308" ht="24" customHeight="1" spans="1:28" x14ac:dyDescent="0.25">
      <c r="A308" s="1159">
        <v>110933</v>
      </c>
      <c r="B308" s="1159" t="s">
        <v>1074</v>
      </c>
      <c r="C308" s="1159" t="s">
        <v>1080</v>
      </c>
      <c r="D308" s="1160">
        <v>43831</v>
      </c>
      <c r="E308" s="1161">
        <v>37970000</v>
      </c>
      <c r="F308" s="1159" t="s">
        <v>610</v>
      </c>
      <c r="G308" s="1162" t="s">
        <v>611</v>
      </c>
      <c r="H308" s="1163">
        <v>1995</v>
      </c>
      <c r="I308" s="1159" t="s">
        <v>612</v>
      </c>
      <c r="J308" s="1162" t="s">
        <v>14</v>
      </c>
      <c r="K308" s="1159" t="s">
        <v>18</v>
      </c>
      <c r="L308" s="1159" t="s">
        <v>1074</v>
      </c>
      <c r="M308" s="1162" t="s">
        <v>14</v>
      </c>
      <c r="N308" s="1162" t="s">
        <v>738</v>
      </c>
      <c r="O308" s="1164">
        <v>71</v>
      </c>
      <c r="P308" s="1164">
        <v>0</v>
      </c>
      <c r="Q308" s="1164">
        <v>5</v>
      </c>
      <c r="R308" s="1159" t="s">
        <v>690</v>
      </c>
      <c r="S308" s="1159" t="s">
        <v>625</v>
      </c>
      <c r="T308" s="1159" t="s">
        <v>1081</v>
      </c>
      <c r="U308" s="1166">
        <v>163000</v>
      </c>
      <c r="V308" s="1159" t="s">
        <v>1081</v>
      </c>
      <c r="W308" s="1166">
        <v>163000</v>
      </c>
      <c r="X308" s="1159" t="s">
        <v>618</v>
      </c>
      <c r="Y308" s="1167">
        <v>43835.54211805556</v>
      </c>
      <c r="Z308" s="1159" t="s">
        <v>618</v>
      </c>
      <c r="AA308" s="1167">
        <v>43894.628958333335</v>
      </c>
      <c r="AB308" s="1138">
        <f t="shared" si="4"/>
        <v>326000</v>
      </c>
    </row>
    <row r="309" ht="24" customHeight="1" spans="1:28" x14ac:dyDescent="0.25">
      <c r="A309" s="1150">
        <v>110934</v>
      </c>
      <c r="B309" s="1150" t="s">
        <v>1074</v>
      </c>
      <c r="C309" s="1150" t="s">
        <v>1082</v>
      </c>
      <c r="D309" s="1151">
        <v>43831</v>
      </c>
      <c r="E309" s="1152">
        <v>38620000</v>
      </c>
      <c r="F309" s="1150" t="s">
        <v>610</v>
      </c>
      <c r="G309" s="1153" t="s">
        <v>611</v>
      </c>
      <c r="H309" s="1154">
        <v>1995</v>
      </c>
      <c r="I309" s="1150" t="s">
        <v>612</v>
      </c>
      <c r="J309" s="1153" t="s">
        <v>14</v>
      </c>
      <c r="K309" s="1150" t="s">
        <v>18</v>
      </c>
      <c r="L309" s="1150" t="s">
        <v>1074</v>
      </c>
      <c r="M309" s="1153" t="s">
        <v>14</v>
      </c>
      <c r="N309" s="1153" t="s">
        <v>738</v>
      </c>
      <c r="O309" s="1155">
        <v>71</v>
      </c>
      <c r="P309" s="1155">
        <v>0</v>
      </c>
      <c r="Q309" s="1155">
        <v>7</v>
      </c>
      <c r="R309" s="1150" t="s">
        <v>690</v>
      </c>
      <c r="S309" s="1150" t="s">
        <v>625</v>
      </c>
      <c r="T309" s="1150" t="s">
        <v>1081</v>
      </c>
      <c r="U309" s="1157">
        <v>163000</v>
      </c>
      <c r="V309" s="1150" t="s">
        <v>1081</v>
      </c>
      <c r="W309" s="1157">
        <v>163000</v>
      </c>
      <c r="X309" s="1150" t="s">
        <v>618</v>
      </c>
      <c r="Y309" s="1158">
        <v>43835.54255787037</v>
      </c>
      <c r="Z309" s="1150" t="s">
        <v>618</v>
      </c>
      <c r="AA309" s="1158">
        <v>43894.62877314815</v>
      </c>
      <c r="AB309" s="1138">
        <f t="shared" si="4"/>
        <v>326000</v>
      </c>
    </row>
    <row r="310" ht="24" customHeight="1" spans="1:28" x14ac:dyDescent="0.25">
      <c r="A310" s="1159">
        <v>110941</v>
      </c>
      <c r="B310" s="1159" t="s">
        <v>1074</v>
      </c>
      <c r="C310" s="1159" t="s">
        <v>1083</v>
      </c>
      <c r="D310" s="1160">
        <v>43831</v>
      </c>
      <c r="E310" s="1161">
        <v>39970000</v>
      </c>
      <c r="F310" s="1159" t="s">
        <v>610</v>
      </c>
      <c r="G310" s="1162" t="s">
        <v>611</v>
      </c>
      <c r="H310" s="1163">
        <v>1995</v>
      </c>
      <c r="I310" s="1159" t="s">
        <v>612</v>
      </c>
      <c r="J310" s="1162" t="s">
        <v>14</v>
      </c>
      <c r="K310" s="1159" t="s">
        <v>18</v>
      </c>
      <c r="L310" s="1159" t="s">
        <v>1074</v>
      </c>
      <c r="M310" s="1162" t="s">
        <v>14</v>
      </c>
      <c r="N310" s="1162" t="s">
        <v>738</v>
      </c>
      <c r="O310" s="1164">
        <v>71</v>
      </c>
      <c r="P310" s="1164">
        <v>0</v>
      </c>
      <c r="Q310" s="1164">
        <v>5</v>
      </c>
      <c r="R310" s="1159" t="s">
        <v>662</v>
      </c>
      <c r="S310" s="1159" t="s">
        <v>625</v>
      </c>
      <c r="T310" s="1159" t="s">
        <v>1081</v>
      </c>
      <c r="U310" s="1166">
        <v>163000</v>
      </c>
      <c r="V310" s="1159" t="s">
        <v>1081</v>
      </c>
      <c r="W310" s="1166">
        <v>163000</v>
      </c>
      <c r="X310" s="1159" t="s">
        <v>618</v>
      </c>
      <c r="Y310" s="1167">
        <v>43835.54537037037</v>
      </c>
      <c r="Z310" s="1159" t="s">
        <v>618</v>
      </c>
      <c r="AA310" s="1167">
        <v>43894.62934027778</v>
      </c>
      <c r="AB310" s="1138">
        <f t="shared" si="4"/>
        <v>326000</v>
      </c>
    </row>
    <row r="311" ht="24" customHeight="1" spans="1:28" x14ac:dyDescent="0.25">
      <c r="A311" s="1150">
        <v>110942</v>
      </c>
      <c r="B311" s="1150" t="s">
        <v>1074</v>
      </c>
      <c r="C311" s="1150" t="s">
        <v>1083</v>
      </c>
      <c r="D311" s="1151">
        <v>43831</v>
      </c>
      <c r="E311" s="1152">
        <v>40620000</v>
      </c>
      <c r="F311" s="1150" t="s">
        <v>610</v>
      </c>
      <c r="G311" s="1153" t="s">
        <v>611</v>
      </c>
      <c r="H311" s="1154">
        <v>1995</v>
      </c>
      <c r="I311" s="1150" t="s">
        <v>612</v>
      </c>
      <c r="J311" s="1153" t="s">
        <v>14</v>
      </c>
      <c r="K311" s="1150" t="s">
        <v>18</v>
      </c>
      <c r="L311" s="1150" t="s">
        <v>1074</v>
      </c>
      <c r="M311" s="1153" t="s">
        <v>14</v>
      </c>
      <c r="N311" s="1153" t="s">
        <v>738</v>
      </c>
      <c r="O311" s="1155">
        <v>71</v>
      </c>
      <c r="P311" s="1155">
        <v>0</v>
      </c>
      <c r="Q311" s="1155">
        <v>7</v>
      </c>
      <c r="R311" s="1150" t="s">
        <v>662</v>
      </c>
      <c r="S311" s="1150" t="s">
        <v>625</v>
      </c>
      <c r="T311" s="1150" t="s">
        <v>1081</v>
      </c>
      <c r="U311" s="1157">
        <v>163000</v>
      </c>
      <c r="V311" s="1150" t="s">
        <v>1081</v>
      </c>
      <c r="W311" s="1157">
        <v>163000</v>
      </c>
      <c r="X311" s="1150" t="s">
        <v>618</v>
      </c>
      <c r="Y311" s="1158">
        <v>43835.545694444445</v>
      </c>
      <c r="Z311" s="1150" t="s">
        <v>618</v>
      </c>
      <c r="AA311" s="1158">
        <v>43894.62934027778</v>
      </c>
      <c r="AB311" s="1138">
        <f t="shared" si="4"/>
        <v>326000</v>
      </c>
    </row>
    <row r="312" spans="1:28" x14ac:dyDescent="0.25">
      <c r="A312" s="1159">
        <v>110931</v>
      </c>
      <c r="B312" s="1159" t="s">
        <v>1074</v>
      </c>
      <c r="C312" s="1159" t="s">
        <v>1084</v>
      </c>
      <c r="D312" s="1160">
        <v>43831</v>
      </c>
      <c r="E312" s="1161">
        <v>34480000</v>
      </c>
      <c r="F312" s="1159" t="s">
        <v>610</v>
      </c>
      <c r="G312" s="1162" t="s">
        <v>611</v>
      </c>
      <c r="H312" s="1163">
        <v>1995</v>
      </c>
      <c r="I312" s="1159" t="s">
        <v>612</v>
      </c>
      <c r="J312" s="1162" t="s">
        <v>14</v>
      </c>
      <c r="K312" s="1159" t="s">
        <v>18</v>
      </c>
      <c r="L312" s="1159" t="s">
        <v>1074</v>
      </c>
      <c r="M312" s="1162" t="s">
        <v>14</v>
      </c>
      <c r="N312" s="1162" t="s">
        <v>738</v>
      </c>
      <c r="O312" s="1164">
        <v>71</v>
      </c>
      <c r="P312" s="1164">
        <v>0</v>
      </c>
      <c r="Q312" s="1164">
        <v>5</v>
      </c>
      <c r="R312" s="1159" t="s">
        <v>690</v>
      </c>
      <c r="S312" s="1159" t="s">
        <v>625</v>
      </c>
      <c r="T312" s="1159" t="s">
        <v>1081</v>
      </c>
      <c r="U312" s="1166">
        <v>163000</v>
      </c>
      <c r="V312" s="1159" t="s">
        <v>1081</v>
      </c>
      <c r="W312" s="1166">
        <v>163000</v>
      </c>
      <c r="X312" s="1159" t="s">
        <v>618</v>
      </c>
      <c r="Y312" s="1167">
        <v>43835.54142361111</v>
      </c>
      <c r="Z312" s="1159" t="s">
        <v>618</v>
      </c>
      <c r="AA312" s="1167">
        <v>43894.625127314815</v>
      </c>
      <c r="AB312" s="1138">
        <f t="shared" si="4"/>
        <v>326000</v>
      </c>
    </row>
    <row r="313" spans="1:28" x14ac:dyDescent="0.25">
      <c r="A313" s="1150">
        <v>110939</v>
      </c>
      <c r="B313" s="1150" t="s">
        <v>1074</v>
      </c>
      <c r="C313" s="1150" t="s">
        <v>1085</v>
      </c>
      <c r="D313" s="1151">
        <v>43831</v>
      </c>
      <c r="E313" s="1152">
        <v>36480000</v>
      </c>
      <c r="F313" s="1150" t="s">
        <v>610</v>
      </c>
      <c r="G313" s="1153" t="s">
        <v>611</v>
      </c>
      <c r="H313" s="1154">
        <v>1995</v>
      </c>
      <c r="I313" s="1150" t="s">
        <v>612</v>
      </c>
      <c r="J313" s="1153" t="s">
        <v>14</v>
      </c>
      <c r="K313" s="1150" t="s">
        <v>18</v>
      </c>
      <c r="L313" s="1150" t="s">
        <v>1074</v>
      </c>
      <c r="M313" s="1153" t="s">
        <v>14</v>
      </c>
      <c r="N313" s="1153" t="s">
        <v>738</v>
      </c>
      <c r="O313" s="1155">
        <v>71</v>
      </c>
      <c r="P313" s="1155">
        <v>0</v>
      </c>
      <c r="Q313" s="1155">
        <v>5</v>
      </c>
      <c r="R313" s="1150" t="s">
        <v>662</v>
      </c>
      <c r="S313" s="1150" t="s">
        <v>625</v>
      </c>
      <c r="T313" s="1150" t="s">
        <v>1081</v>
      </c>
      <c r="U313" s="1157">
        <v>163000</v>
      </c>
      <c r="V313" s="1150" t="s">
        <v>1081</v>
      </c>
      <c r="W313" s="1157">
        <v>163000</v>
      </c>
      <c r="X313" s="1150" t="s">
        <v>618</v>
      </c>
      <c r="Y313" s="1158">
        <v>43835.54461805556</v>
      </c>
      <c r="Z313" s="1150" t="s">
        <v>618</v>
      </c>
      <c r="AA313" s="1158">
        <v>43894.62547453704</v>
      </c>
      <c r="AB313" s="1138">
        <f t="shared" si="4"/>
        <v>326000</v>
      </c>
    </row>
    <row r="314" spans="1:28" x14ac:dyDescent="0.25">
      <c r="A314" s="1159">
        <v>110932</v>
      </c>
      <c r="B314" s="1159" t="s">
        <v>1074</v>
      </c>
      <c r="C314" s="1159" t="s">
        <v>1086</v>
      </c>
      <c r="D314" s="1160">
        <v>43831</v>
      </c>
      <c r="E314" s="1161">
        <v>35130000</v>
      </c>
      <c r="F314" s="1159" t="s">
        <v>610</v>
      </c>
      <c r="G314" s="1162" t="s">
        <v>611</v>
      </c>
      <c r="H314" s="1163">
        <v>1995</v>
      </c>
      <c r="I314" s="1159" t="s">
        <v>612</v>
      </c>
      <c r="J314" s="1162" t="s">
        <v>14</v>
      </c>
      <c r="K314" s="1159" t="s">
        <v>18</v>
      </c>
      <c r="L314" s="1159" t="s">
        <v>1074</v>
      </c>
      <c r="M314" s="1162" t="s">
        <v>14</v>
      </c>
      <c r="N314" s="1162" t="s">
        <v>738</v>
      </c>
      <c r="O314" s="1164">
        <v>71</v>
      </c>
      <c r="P314" s="1164">
        <v>0</v>
      </c>
      <c r="Q314" s="1164">
        <v>7</v>
      </c>
      <c r="R314" s="1159" t="s">
        <v>690</v>
      </c>
      <c r="S314" s="1159" t="s">
        <v>625</v>
      </c>
      <c r="T314" s="1159" t="s">
        <v>1081</v>
      </c>
      <c r="U314" s="1166">
        <v>163000</v>
      </c>
      <c r="V314" s="1159" t="s">
        <v>1081</v>
      </c>
      <c r="W314" s="1166">
        <v>163000</v>
      </c>
      <c r="X314" s="1159" t="s">
        <v>618</v>
      </c>
      <c r="Y314" s="1167">
        <v>43835.54170138889</v>
      </c>
      <c r="Z314" s="1159" t="s">
        <v>618</v>
      </c>
      <c r="AA314" s="1167">
        <v>43894.625289351854</v>
      </c>
      <c r="AB314" s="1138">
        <f t="shared" si="4"/>
        <v>326000</v>
      </c>
    </row>
    <row r="315" spans="1:28" x14ac:dyDescent="0.25">
      <c r="A315" s="1150">
        <v>110940</v>
      </c>
      <c r="B315" s="1150" t="s">
        <v>1074</v>
      </c>
      <c r="C315" s="1150" t="s">
        <v>1087</v>
      </c>
      <c r="D315" s="1151">
        <v>43831</v>
      </c>
      <c r="E315" s="1152">
        <v>37790000</v>
      </c>
      <c r="F315" s="1150" t="s">
        <v>610</v>
      </c>
      <c r="G315" s="1153" t="s">
        <v>611</v>
      </c>
      <c r="H315" s="1154">
        <v>1995</v>
      </c>
      <c r="I315" s="1150" t="s">
        <v>612</v>
      </c>
      <c r="J315" s="1153" t="s">
        <v>14</v>
      </c>
      <c r="K315" s="1150" t="s">
        <v>18</v>
      </c>
      <c r="L315" s="1150" t="s">
        <v>1074</v>
      </c>
      <c r="M315" s="1153" t="s">
        <v>14</v>
      </c>
      <c r="N315" s="1153" t="s">
        <v>738</v>
      </c>
      <c r="O315" s="1155">
        <v>71</v>
      </c>
      <c r="P315" s="1155">
        <v>0</v>
      </c>
      <c r="Q315" s="1155">
        <v>7</v>
      </c>
      <c r="R315" s="1150" t="s">
        <v>662</v>
      </c>
      <c r="S315" s="1150" t="s">
        <v>625</v>
      </c>
      <c r="T315" s="1150" t="s">
        <v>1081</v>
      </c>
      <c r="U315" s="1157">
        <v>163000</v>
      </c>
      <c r="V315" s="1150" t="s">
        <v>1081</v>
      </c>
      <c r="W315" s="1157">
        <v>163000</v>
      </c>
      <c r="X315" s="1150" t="s">
        <v>618</v>
      </c>
      <c r="Y315" s="1158">
        <v>43835.54502314815</v>
      </c>
      <c r="Z315" s="1150" t="s">
        <v>618</v>
      </c>
      <c r="AA315" s="1158">
        <v>43894.626238425924</v>
      </c>
      <c r="AB315" s="1138">
        <f t="shared" si="4"/>
        <v>326000</v>
      </c>
    </row>
    <row r="316" spans="1:28" x14ac:dyDescent="0.25">
      <c r="A316" s="1159">
        <v>110927</v>
      </c>
      <c r="B316" s="1159" t="s">
        <v>1074</v>
      </c>
      <c r="C316" s="1159" t="s">
        <v>1088</v>
      </c>
      <c r="D316" s="1160">
        <v>43831</v>
      </c>
      <c r="E316" s="1161">
        <v>28880000</v>
      </c>
      <c r="F316" s="1159" t="s">
        <v>610</v>
      </c>
      <c r="G316" s="1162" t="s">
        <v>611</v>
      </c>
      <c r="H316" s="1163">
        <v>1995</v>
      </c>
      <c r="I316" s="1159" t="s">
        <v>612</v>
      </c>
      <c r="J316" s="1162" t="s">
        <v>14</v>
      </c>
      <c r="K316" s="1159" t="s">
        <v>18</v>
      </c>
      <c r="L316" s="1159" t="s">
        <v>1074</v>
      </c>
      <c r="M316" s="1162" t="s">
        <v>14</v>
      </c>
      <c r="N316" s="1162" t="s">
        <v>738</v>
      </c>
      <c r="O316" s="1164">
        <v>71</v>
      </c>
      <c r="P316" s="1164">
        <v>0</v>
      </c>
      <c r="Q316" s="1164">
        <v>5</v>
      </c>
      <c r="R316" s="1159" t="s">
        <v>690</v>
      </c>
      <c r="S316" s="1159" t="s">
        <v>625</v>
      </c>
      <c r="T316" s="1159" t="s">
        <v>1076</v>
      </c>
      <c r="U316" s="1166">
        <v>176200</v>
      </c>
      <c r="V316" s="1159" t="s">
        <v>1076</v>
      </c>
      <c r="W316" s="1166">
        <v>176200</v>
      </c>
      <c r="X316" s="1159" t="s">
        <v>618</v>
      </c>
      <c r="Y316" s="1167">
        <v>43835.53943287037</v>
      </c>
      <c r="Z316" s="1159" t="s">
        <v>618</v>
      </c>
      <c r="AA316" s="1167">
        <v>43894.62049768519</v>
      </c>
      <c r="AB316" s="1138">
        <f t="shared" si="4"/>
        <v>352400</v>
      </c>
    </row>
    <row r="317" spans="1:28" x14ac:dyDescent="0.25">
      <c r="A317" s="1150">
        <v>110935</v>
      </c>
      <c r="B317" s="1150" t="s">
        <v>1074</v>
      </c>
      <c r="C317" s="1150" t="s">
        <v>1089</v>
      </c>
      <c r="D317" s="1151">
        <v>43831</v>
      </c>
      <c r="E317" s="1152">
        <v>30880000</v>
      </c>
      <c r="F317" s="1150" t="s">
        <v>610</v>
      </c>
      <c r="G317" s="1153" t="s">
        <v>611</v>
      </c>
      <c r="H317" s="1154">
        <v>1995</v>
      </c>
      <c r="I317" s="1150" t="s">
        <v>612</v>
      </c>
      <c r="J317" s="1153" t="s">
        <v>14</v>
      </c>
      <c r="K317" s="1150" t="s">
        <v>18</v>
      </c>
      <c r="L317" s="1150" t="s">
        <v>1074</v>
      </c>
      <c r="M317" s="1153" t="s">
        <v>14</v>
      </c>
      <c r="N317" s="1153" t="s">
        <v>738</v>
      </c>
      <c r="O317" s="1155">
        <v>71</v>
      </c>
      <c r="P317" s="1155">
        <v>0</v>
      </c>
      <c r="Q317" s="1155">
        <v>5</v>
      </c>
      <c r="R317" s="1150" t="s">
        <v>662</v>
      </c>
      <c r="S317" s="1150" t="s">
        <v>625</v>
      </c>
      <c r="T317" s="1150" t="s">
        <v>1076</v>
      </c>
      <c r="U317" s="1157">
        <v>176200</v>
      </c>
      <c r="V317" s="1150" t="s">
        <v>1076</v>
      </c>
      <c r="W317" s="1157">
        <v>176200</v>
      </c>
      <c r="X317" s="1150" t="s">
        <v>618</v>
      </c>
      <c r="Y317" s="1158">
        <v>43835.54309027777</v>
      </c>
      <c r="Z317" s="1150" t="s">
        <v>618</v>
      </c>
      <c r="AA317" s="1158">
        <v>43894.620891203704</v>
      </c>
      <c r="AB317" s="1138">
        <f t="shared" si="4"/>
        <v>352400</v>
      </c>
    </row>
    <row r="318" spans="1:28" x14ac:dyDescent="0.25">
      <c r="A318" s="1159">
        <v>110928</v>
      </c>
      <c r="B318" s="1159" t="s">
        <v>1074</v>
      </c>
      <c r="C318" s="1159" t="s">
        <v>1090</v>
      </c>
      <c r="D318" s="1160">
        <v>43831</v>
      </c>
      <c r="E318" s="1161">
        <v>29530000</v>
      </c>
      <c r="F318" s="1159" t="s">
        <v>610</v>
      </c>
      <c r="G318" s="1162" t="s">
        <v>611</v>
      </c>
      <c r="H318" s="1163">
        <v>1995</v>
      </c>
      <c r="I318" s="1159" t="s">
        <v>612</v>
      </c>
      <c r="J318" s="1162" t="s">
        <v>14</v>
      </c>
      <c r="K318" s="1159" t="s">
        <v>18</v>
      </c>
      <c r="L318" s="1159" t="s">
        <v>1074</v>
      </c>
      <c r="M318" s="1162" t="s">
        <v>14</v>
      </c>
      <c r="N318" s="1162" t="s">
        <v>738</v>
      </c>
      <c r="O318" s="1164">
        <v>71</v>
      </c>
      <c r="P318" s="1164">
        <v>0</v>
      </c>
      <c r="Q318" s="1164">
        <v>7</v>
      </c>
      <c r="R318" s="1159" t="s">
        <v>690</v>
      </c>
      <c r="S318" s="1159" t="s">
        <v>625</v>
      </c>
      <c r="T318" s="1159" t="s">
        <v>1076</v>
      </c>
      <c r="U318" s="1166">
        <v>176200</v>
      </c>
      <c r="V318" s="1159" t="s">
        <v>1076</v>
      </c>
      <c r="W318" s="1166">
        <v>176200</v>
      </c>
      <c r="X318" s="1159" t="s">
        <v>618</v>
      </c>
      <c r="Y318" s="1167">
        <v>43835.54042824074</v>
      </c>
      <c r="Z318" s="1159" t="s">
        <v>618</v>
      </c>
      <c r="AA318" s="1167">
        <v>43894.62069444444</v>
      </c>
      <c r="AB318" s="1138">
        <f t="shared" si="4"/>
        <v>352400</v>
      </c>
    </row>
    <row r="319" spans="1:28" x14ac:dyDescent="0.25">
      <c r="A319" s="1150">
        <v>110936</v>
      </c>
      <c r="B319" s="1150" t="s">
        <v>1074</v>
      </c>
      <c r="C319" s="1150" t="s">
        <v>1091</v>
      </c>
      <c r="D319" s="1151">
        <v>43831</v>
      </c>
      <c r="E319" s="1152">
        <v>31530000</v>
      </c>
      <c r="F319" s="1150" t="s">
        <v>610</v>
      </c>
      <c r="G319" s="1153" t="s">
        <v>611</v>
      </c>
      <c r="H319" s="1154">
        <v>1995</v>
      </c>
      <c r="I319" s="1150" t="s">
        <v>612</v>
      </c>
      <c r="J319" s="1153" t="s">
        <v>14</v>
      </c>
      <c r="K319" s="1150" t="s">
        <v>18</v>
      </c>
      <c r="L319" s="1150" t="s">
        <v>1074</v>
      </c>
      <c r="M319" s="1153" t="s">
        <v>14</v>
      </c>
      <c r="N319" s="1153" t="s">
        <v>738</v>
      </c>
      <c r="O319" s="1155">
        <v>71</v>
      </c>
      <c r="P319" s="1155">
        <v>0</v>
      </c>
      <c r="Q319" s="1155">
        <v>7</v>
      </c>
      <c r="R319" s="1150" t="s">
        <v>662</v>
      </c>
      <c r="S319" s="1150" t="s">
        <v>625</v>
      </c>
      <c r="T319" s="1150" t="s">
        <v>1076</v>
      </c>
      <c r="U319" s="1157">
        <v>176200</v>
      </c>
      <c r="V319" s="1150" t="s">
        <v>1076</v>
      </c>
      <c r="W319" s="1157">
        <v>176200</v>
      </c>
      <c r="X319" s="1150" t="s">
        <v>618</v>
      </c>
      <c r="Y319" s="1158">
        <v>43835.54346064814</v>
      </c>
      <c r="Z319" s="1150" t="s">
        <v>618</v>
      </c>
      <c r="AA319" s="1158">
        <v>43894.62253472222</v>
      </c>
      <c r="AB319" s="1138">
        <f t="shared" si="4"/>
        <v>352400</v>
      </c>
    </row>
    <row r="320" ht="24" customHeight="1" spans="1:28" x14ac:dyDescent="0.25">
      <c r="A320" s="1159">
        <v>110911</v>
      </c>
      <c r="B320" s="1159" t="s">
        <v>1074</v>
      </c>
      <c r="C320" s="1159" t="s">
        <v>1092</v>
      </c>
      <c r="D320" s="1160">
        <v>43831</v>
      </c>
      <c r="E320" s="1161">
        <v>28810000</v>
      </c>
      <c r="F320" s="1159" t="s">
        <v>387</v>
      </c>
      <c r="G320" s="1162" t="s">
        <v>611</v>
      </c>
      <c r="H320" s="1163">
        <v>1998</v>
      </c>
      <c r="I320" s="1159" t="s">
        <v>612</v>
      </c>
      <c r="J320" s="1162" t="s">
        <v>14</v>
      </c>
      <c r="K320" s="1159" t="s">
        <v>18</v>
      </c>
      <c r="L320" s="1159" t="s">
        <v>1074</v>
      </c>
      <c r="M320" s="1162" t="s">
        <v>14</v>
      </c>
      <c r="N320" s="1162" t="s">
        <v>738</v>
      </c>
      <c r="O320" s="1164">
        <v>71</v>
      </c>
      <c r="P320" s="1164">
        <v>0</v>
      </c>
      <c r="Q320" s="1164">
        <v>5</v>
      </c>
      <c r="R320" s="1159" t="s">
        <v>710</v>
      </c>
      <c r="S320" s="1159" t="s">
        <v>625</v>
      </c>
      <c r="T320" s="1159" t="s">
        <v>1081</v>
      </c>
      <c r="U320" s="1166">
        <v>163000</v>
      </c>
      <c r="V320" s="1159" t="s">
        <v>1081</v>
      </c>
      <c r="W320" s="1166">
        <v>163000</v>
      </c>
      <c r="X320" s="1159" t="s">
        <v>618</v>
      </c>
      <c r="Y320" s="1167">
        <v>43835.40733796296</v>
      </c>
      <c r="Z320" s="1159" t="s">
        <v>618</v>
      </c>
      <c r="AA320" s="1167">
        <v>43894.61324074074</v>
      </c>
      <c r="AB320" s="1138">
        <f t="shared" si="4"/>
        <v>326000</v>
      </c>
    </row>
    <row r="321" ht="24" customHeight="1" spans="1:28" x14ac:dyDescent="0.25">
      <c r="A321" s="1150">
        <v>110919</v>
      </c>
      <c r="B321" s="1150" t="s">
        <v>1074</v>
      </c>
      <c r="C321" s="1150" t="s">
        <v>1093</v>
      </c>
      <c r="D321" s="1151">
        <v>43831</v>
      </c>
      <c r="E321" s="1152">
        <v>30810000</v>
      </c>
      <c r="F321" s="1150" t="s">
        <v>387</v>
      </c>
      <c r="G321" s="1153" t="s">
        <v>611</v>
      </c>
      <c r="H321" s="1154">
        <v>1998</v>
      </c>
      <c r="I321" s="1150" t="s">
        <v>612</v>
      </c>
      <c r="J321" s="1153" t="s">
        <v>14</v>
      </c>
      <c r="K321" s="1150" t="s">
        <v>18</v>
      </c>
      <c r="L321" s="1150" t="s">
        <v>1074</v>
      </c>
      <c r="M321" s="1153" t="s">
        <v>14</v>
      </c>
      <c r="N321" s="1153" t="s">
        <v>738</v>
      </c>
      <c r="O321" s="1155">
        <v>71</v>
      </c>
      <c r="P321" s="1155">
        <v>0</v>
      </c>
      <c r="Q321" s="1155">
        <v>5</v>
      </c>
      <c r="R321" s="1150" t="s">
        <v>710</v>
      </c>
      <c r="S321" s="1150" t="s">
        <v>625</v>
      </c>
      <c r="T321" s="1150" t="s">
        <v>1081</v>
      </c>
      <c r="U321" s="1157">
        <v>163000</v>
      </c>
      <c r="V321" s="1150" t="s">
        <v>1081</v>
      </c>
      <c r="W321" s="1157">
        <v>163000</v>
      </c>
      <c r="X321" s="1150" t="s">
        <v>618</v>
      </c>
      <c r="Y321" s="1158">
        <v>43835.41730324074</v>
      </c>
      <c r="Z321" s="1150" t="s">
        <v>618</v>
      </c>
      <c r="AA321" s="1158">
        <v>43894.61396990741</v>
      </c>
      <c r="AB321" s="1138">
        <f t="shared" si="4"/>
        <v>326000</v>
      </c>
    </row>
    <row r="322" ht="24" customHeight="1" spans="1:28" x14ac:dyDescent="0.25">
      <c r="A322" s="1159">
        <v>110912</v>
      </c>
      <c r="B322" s="1159" t="s">
        <v>1074</v>
      </c>
      <c r="C322" s="1159" t="s">
        <v>1094</v>
      </c>
      <c r="D322" s="1160">
        <v>43831</v>
      </c>
      <c r="E322" s="1161">
        <v>29460000</v>
      </c>
      <c r="F322" s="1159" t="s">
        <v>387</v>
      </c>
      <c r="G322" s="1162" t="s">
        <v>611</v>
      </c>
      <c r="H322" s="1163">
        <v>1998</v>
      </c>
      <c r="I322" s="1159" t="s">
        <v>612</v>
      </c>
      <c r="J322" s="1162" t="s">
        <v>14</v>
      </c>
      <c r="K322" s="1159" t="s">
        <v>18</v>
      </c>
      <c r="L322" s="1159" t="s">
        <v>1074</v>
      </c>
      <c r="M322" s="1162" t="s">
        <v>14</v>
      </c>
      <c r="N322" s="1162" t="s">
        <v>738</v>
      </c>
      <c r="O322" s="1164">
        <v>71</v>
      </c>
      <c r="P322" s="1164">
        <v>0</v>
      </c>
      <c r="Q322" s="1164">
        <v>7</v>
      </c>
      <c r="R322" s="1159" t="s">
        <v>710</v>
      </c>
      <c r="S322" s="1159" t="s">
        <v>625</v>
      </c>
      <c r="T322" s="1159" t="s">
        <v>1081</v>
      </c>
      <c r="U322" s="1166">
        <v>163000</v>
      </c>
      <c r="V322" s="1159" t="s">
        <v>1081</v>
      </c>
      <c r="W322" s="1166">
        <v>163000</v>
      </c>
      <c r="X322" s="1159" t="s">
        <v>618</v>
      </c>
      <c r="Y322" s="1167">
        <v>43835.40784722222</v>
      </c>
      <c r="Z322" s="1159" t="s">
        <v>618</v>
      </c>
      <c r="AA322" s="1167">
        <v>43894.61342592593</v>
      </c>
      <c r="AB322" s="1138">
        <f t="shared" si="4"/>
        <v>326000</v>
      </c>
    </row>
    <row r="323" ht="24" customHeight="1" spans="1:28" x14ac:dyDescent="0.25">
      <c r="A323" s="1150">
        <v>110920</v>
      </c>
      <c r="B323" s="1150" t="s">
        <v>1074</v>
      </c>
      <c r="C323" s="1150" t="s">
        <v>1095</v>
      </c>
      <c r="D323" s="1151">
        <v>43831</v>
      </c>
      <c r="E323" s="1152">
        <v>31460000</v>
      </c>
      <c r="F323" s="1150" t="s">
        <v>387</v>
      </c>
      <c r="G323" s="1153" t="s">
        <v>611</v>
      </c>
      <c r="H323" s="1154">
        <v>1998</v>
      </c>
      <c r="I323" s="1150" t="s">
        <v>612</v>
      </c>
      <c r="J323" s="1153" t="s">
        <v>14</v>
      </c>
      <c r="K323" s="1150" t="s">
        <v>18</v>
      </c>
      <c r="L323" s="1150" t="s">
        <v>1074</v>
      </c>
      <c r="M323" s="1153" t="s">
        <v>14</v>
      </c>
      <c r="N323" s="1153" t="s">
        <v>738</v>
      </c>
      <c r="O323" s="1155">
        <v>71</v>
      </c>
      <c r="P323" s="1155">
        <v>0</v>
      </c>
      <c r="Q323" s="1155">
        <v>7</v>
      </c>
      <c r="R323" s="1150" t="s">
        <v>710</v>
      </c>
      <c r="S323" s="1150" t="s">
        <v>625</v>
      </c>
      <c r="T323" s="1150" t="s">
        <v>1081</v>
      </c>
      <c r="U323" s="1157">
        <v>163000</v>
      </c>
      <c r="V323" s="1150" t="s">
        <v>1081</v>
      </c>
      <c r="W323" s="1157">
        <v>163000</v>
      </c>
      <c r="X323" s="1150" t="s">
        <v>618</v>
      </c>
      <c r="Y323" s="1158">
        <v>43835.41774305556</v>
      </c>
      <c r="Z323" s="1150" t="s">
        <v>618</v>
      </c>
      <c r="AA323" s="1158">
        <v>43894.6141550926</v>
      </c>
      <c r="AB323" s="1138">
        <f t="shared" ref="AB323:AB386" si="5">W323*2</f>
        <v>326000</v>
      </c>
    </row>
    <row r="324" ht="24" customHeight="1" spans="1:28" x14ac:dyDescent="0.25">
      <c r="A324" s="1159">
        <v>110915</v>
      </c>
      <c r="B324" s="1159" t="s">
        <v>1074</v>
      </c>
      <c r="C324" s="1159" t="s">
        <v>1096</v>
      </c>
      <c r="D324" s="1160">
        <v>43831</v>
      </c>
      <c r="E324" s="1161">
        <v>35190000</v>
      </c>
      <c r="F324" s="1159" t="s">
        <v>387</v>
      </c>
      <c r="G324" s="1162" t="s">
        <v>611</v>
      </c>
      <c r="H324" s="1163">
        <v>1998</v>
      </c>
      <c r="I324" s="1159" t="s">
        <v>612</v>
      </c>
      <c r="J324" s="1162" t="s">
        <v>14</v>
      </c>
      <c r="K324" s="1159" t="s">
        <v>18</v>
      </c>
      <c r="L324" s="1159" t="s">
        <v>1074</v>
      </c>
      <c r="M324" s="1162" t="s">
        <v>14</v>
      </c>
      <c r="N324" s="1162" t="s">
        <v>738</v>
      </c>
      <c r="O324" s="1164">
        <v>71</v>
      </c>
      <c r="P324" s="1164">
        <v>0</v>
      </c>
      <c r="Q324" s="1164">
        <v>5</v>
      </c>
      <c r="R324" s="1159" t="s">
        <v>710</v>
      </c>
      <c r="S324" s="1159" t="s">
        <v>625</v>
      </c>
      <c r="T324" s="1159" t="s">
        <v>1081</v>
      </c>
      <c r="U324" s="1166">
        <v>163000</v>
      </c>
      <c r="V324" s="1159" t="s">
        <v>1081</v>
      </c>
      <c r="W324" s="1166">
        <v>163000</v>
      </c>
      <c r="X324" s="1159" t="s">
        <v>618</v>
      </c>
      <c r="Y324" s="1167">
        <v>43835.408738425926</v>
      </c>
      <c r="Z324" s="1159" t="s">
        <v>618</v>
      </c>
      <c r="AA324" s="1167">
        <v>43894.61658564815</v>
      </c>
      <c r="AB324" s="1138">
        <f t="shared" si="5"/>
        <v>326000</v>
      </c>
    </row>
    <row r="325" ht="24" customHeight="1" spans="1:28" x14ac:dyDescent="0.25">
      <c r="A325" s="1150">
        <v>110923</v>
      </c>
      <c r="B325" s="1150" t="s">
        <v>1074</v>
      </c>
      <c r="C325" s="1150" t="s">
        <v>1097</v>
      </c>
      <c r="D325" s="1151">
        <v>43831</v>
      </c>
      <c r="E325" s="1152">
        <v>37190000</v>
      </c>
      <c r="F325" s="1150" t="s">
        <v>387</v>
      </c>
      <c r="G325" s="1153" t="s">
        <v>611</v>
      </c>
      <c r="H325" s="1154">
        <v>1998</v>
      </c>
      <c r="I325" s="1150" t="s">
        <v>612</v>
      </c>
      <c r="J325" s="1153" t="s">
        <v>14</v>
      </c>
      <c r="K325" s="1150" t="s">
        <v>18</v>
      </c>
      <c r="L325" s="1150" t="s">
        <v>1074</v>
      </c>
      <c r="M325" s="1153" t="s">
        <v>14</v>
      </c>
      <c r="N325" s="1153" t="s">
        <v>738</v>
      </c>
      <c r="O325" s="1155">
        <v>71</v>
      </c>
      <c r="P325" s="1155">
        <v>0</v>
      </c>
      <c r="Q325" s="1155">
        <v>5</v>
      </c>
      <c r="R325" s="1150" t="s">
        <v>710</v>
      </c>
      <c r="S325" s="1150" t="s">
        <v>625</v>
      </c>
      <c r="T325" s="1150" t="s">
        <v>1081</v>
      </c>
      <c r="U325" s="1157">
        <v>163000</v>
      </c>
      <c r="V325" s="1150" t="s">
        <v>1081</v>
      </c>
      <c r="W325" s="1157">
        <v>163000</v>
      </c>
      <c r="X325" s="1150" t="s">
        <v>618</v>
      </c>
      <c r="Y325" s="1158">
        <v>43835.41863425926</v>
      </c>
      <c r="Z325" s="1150" t="s">
        <v>618</v>
      </c>
      <c r="AA325" s="1158">
        <v>43894.617013888885</v>
      </c>
      <c r="AB325" s="1138">
        <f t="shared" si="5"/>
        <v>326000</v>
      </c>
    </row>
    <row r="326" ht="24" customHeight="1" spans="1:28" x14ac:dyDescent="0.25">
      <c r="A326" s="1159">
        <v>110916</v>
      </c>
      <c r="B326" s="1159" t="s">
        <v>1074</v>
      </c>
      <c r="C326" s="1159" t="s">
        <v>1098</v>
      </c>
      <c r="D326" s="1160">
        <v>43831</v>
      </c>
      <c r="E326" s="1161">
        <v>35840000</v>
      </c>
      <c r="F326" s="1159" t="s">
        <v>387</v>
      </c>
      <c r="G326" s="1162" t="s">
        <v>611</v>
      </c>
      <c r="H326" s="1163">
        <v>1998</v>
      </c>
      <c r="I326" s="1159" t="s">
        <v>612</v>
      </c>
      <c r="J326" s="1162" t="s">
        <v>14</v>
      </c>
      <c r="K326" s="1159" t="s">
        <v>18</v>
      </c>
      <c r="L326" s="1159" t="s">
        <v>1074</v>
      </c>
      <c r="M326" s="1162" t="s">
        <v>14</v>
      </c>
      <c r="N326" s="1162" t="s">
        <v>738</v>
      </c>
      <c r="O326" s="1164">
        <v>71</v>
      </c>
      <c r="P326" s="1164">
        <v>0</v>
      </c>
      <c r="Q326" s="1164">
        <v>7</v>
      </c>
      <c r="R326" s="1159" t="s">
        <v>710</v>
      </c>
      <c r="S326" s="1159" t="s">
        <v>625</v>
      </c>
      <c r="T326" s="1159" t="s">
        <v>1081</v>
      </c>
      <c r="U326" s="1166">
        <v>163000</v>
      </c>
      <c r="V326" s="1159" t="s">
        <v>1081</v>
      </c>
      <c r="W326" s="1166">
        <v>163000</v>
      </c>
      <c r="X326" s="1159" t="s">
        <v>618</v>
      </c>
      <c r="Y326" s="1167">
        <v>43835.409317129626</v>
      </c>
      <c r="Z326" s="1159" t="s">
        <v>618</v>
      </c>
      <c r="AA326" s="1167">
        <v>43894.61680555556</v>
      </c>
      <c r="AB326" s="1138">
        <f t="shared" si="5"/>
        <v>326000</v>
      </c>
    </row>
    <row r="327" ht="24" customHeight="1" spans="1:28" x14ac:dyDescent="0.25">
      <c r="A327" s="1150">
        <v>110924</v>
      </c>
      <c r="B327" s="1150" t="s">
        <v>1074</v>
      </c>
      <c r="C327" s="1150" t="s">
        <v>1099</v>
      </c>
      <c r="D327" s="1151">
        <v>43831</v>
      </c>
      <c r="E327" s="1152">
        <v>37840000</v>
      </c>
      <c r="F327" s="1150" t="s">
        <v>387</v>
      </c>
      <c r="G327" s="1153" t="s">
        <v>611</v>
      </c>
      <c r="H327" s="1154">
        <v>1998</v>
      </c>
      <c r="I327" s="1150" t="s">
        <v>612</v>
      </c>
      <c r="J327" s="1153" t="s">
        <v>14</v>
      </c>
      <c r="K327" s="1150" t="s">
        <v>18</v>
      </c>
      <c r="L327" s="1150" t="s">
        <v>1074</v>
      </c>
      <c r="M327" s="1153" t="s">
        <v>14</v>
      </c>
      <c r="N327" s="1153" t="s">
        <v>738</v>
      </c>
      <c r="O327" s="1155">
        <v>71</v>
      </c>
      <c r="P327" s="1155">
        <v>0</v>
      </c>
      <c r="Q327" s="1155">
        <v>7</v>
      </c>
      <c r="R327" s="1150" t="s">
        <v>710</v>
      </c>
      <c r="S327" s="1150" t="s">
        <v>625</v>
      </c>
      <c r="T327" s="1150" t="s">
        <v>1081</v>
      </c>
      <c r="U327" s="1157">
        <v>163000</v>
      </c>
      <c r="V327" s="1150" t="s">
        <v>1081</v>
      </c>
      <c r="W327" s="1157">
        <v>163000</v>
      </c>
      <c r="X327" s="1150" t="s">
        <v>618</v>
      </c>
      <c r="Y327" s="1158">
        <v>43835.41892361111</v>
      </c>
      <c r="Z327" s="1150" t="s">
        <v>618</v>
      </c>
      <c r="AA327" s="1158">
        <v>43894.61728009259</v>
      </c>
      <c r="AB327" s="1138">
        <f t="shared" si="5"/>
        <v>326000</v>
      </c>
    </row>
    <row r="328" ht="24" customHeight="1" spans="1:28" x14ac:dyDescent="0.25">
      <c r="A328" s="1159">
        <v>110913</v>
      </c>
      <c r="B328" s="1159" t="s">
        <v>1074</v>
      </c>
      <c r="C328" s="1159" t="s">
        <v>1100</v>
      </c>
      <c r="D328" s="1160">
        <v>43831</v>
      </c>
      <c r="E328" s="1161">
        <v>31880000</v>
      </c>
      <c r="F328" s="1159" t="s">
        <v>387</v>
      </c>
      <c r="G328" s="1162" t="s">
        <v>611</v>
      </c>
      <c r="H328" s="1163">
        <v>1998</v>
      </c>
      <c r="I328" s="1159" t="s">
        <v>612</v>
      </c>
      <c r="J328" s="1162" t="s">
        <v>14</v>
      </c>
      <c r="K328" s="1159" t="s">
        <v>18</v>
      </c>
      <c r="L328" s="1159" t="s">
        <v>1074</v>
      </c>
      <c r="M328" s="1162" t="s">
        <v>14</v>
      </c>
      <c r="N328" s="1162" t="s">
        <v>738</v>
      </c>
      <c r="O328" s="1164">
        <v>71</v>
      </c>
      <c r="P328" s="1164">
        <v>0</v>
      </c>
      <c r="Q328" s="1164">
        <v>5</v>
      </c>
      <c r="R328" s="1159" t="s">
        <v>710</v>
      </c>
      <c r="S328" s="1159" t="s">
        <v>625</v>
      </c>
      <c r="T328" s="1159" t="s">
        <v>1081</v>
      </c>
      <c r="U328" s="1166">
        <v>163000</v>
      </c>
      <c r="V328" s="1159" t="s">
        <v>1081</v>
      </c>
      <c r="W328" s="1166">
        <v>163000</v>
      </c>
      <c r="X328" s="1159" t="s">
        <v>618</v>
      </c>
      <c r="Y328" s="1167">
        <v>43835.408125</v>
      </c>
      <c r="Z328" s="1159" t="s">
        <v>618</v>
      </c>
      <c r="AA328" s="1167">
        <v>43894.61516203704</v>
      </c>
      <c r="AB328" s="1138">
        <f t="shared" si="5"/>
        <v>326000</v>
      </c>
    </row>
    <row r="329" ht="24" customHeight="1" spans="1:28" x14ac:dyDescent="0.25">
      <c r="A329" s="1150">
        <v>110921</v>
      </c>
      <c r="B329" s="1150" t="s">
        <v>1074</v>
      </c>
      <c r="C329" s="1150" t="s">
        <v>1101</v>
      </c>
      <c r="D329" s="1151">
        <v>43831</v>
      </c>
      <c r="E329" s="1152">
        <v>33880000</v>
      </c>
      <c r="F329" s="1150" t="s">
        <v>387</v>
      </c>
      <c r="G329" s="1153" t="s">
        <v>611</v>
      </c>
      <c r="H329" s="1154">
        <v>1998</v>
      </c>
      <c r="I329" s="1150" t="s">
        <v>612</v>
      </c>
      <c r="J329" s="1153" t="s">
        <v>14</v>
      </c>
      <c r="K329" s="1150" t="s">
        <v>18</v>
      </c>
      <c r="L329" s="1150" t="s">
        <v>1074</v>
      </c>
      <c r="M329" s="1153" t="s">
        <v>14</v>
      </c>
      <c r="N329" s="1153" t="s">
        <v>738</v>
      </c>
      <c r="O329" s="1155">
        <v>71</v>
      </c>
      <c r="P329" s="1155">
        <v>0</v>
      </c>
      <c r="Q329" s="1155">
        <v>5</v>
      </c>
      <c r="R329" s="1150" t="s">
        <v>710</v>
      </c>
      <c r="S329" s="1150" t="s">
        <v>625</v>
      </c>
      <c r="T329" s="1150" t="s">
        <v>1081</v>
      </c>
      <c r="U329" s="1157">
        <v>163000</v>
      </c>
      <c r="V329" s="1150" t="s">
        <v>1081</v>
      </c>
      <c r="W329" s="1157">
        <v>163000</v>
      </c>
      <c r="X329" s="1150" t="s">
        <v>618</v>
      </c>
      <c r="Y329" s="1158">
        <v>43835.418020833335</v>
      </c>
      <c r="Z329" s="1150" t="s">
        <v>618</v>
      </c>
      <c r="AA329" s="1158">
        <v>43894.61579861111</v>
      </c>
      <c r="AB329" s="1138">
        <f t="shared" si="5"/>
        <v>326000</v>
      </c>
    </row>
    <row r="330" ht="24" customHeight="1" spans="1:28" x14ac:dyDescent="0.25">
      <c r="A330" s="1159">
        <v>110914</v>
      </c>
      <c r="B330" s="1159" t="s">
        <v>1074</v>
      </c>
      <c r="C330" s="1159" t="s">
        <v>1102</v>
      </c>
      <c r="D330" s="1160">
        <v>43831</v>
      </c>
      <c r="E330" s="1161">
        <v>32530000</v>
      </c>
      <c r="F330" s="1159" t="s">
        <v>387</v>
      </c>
      <c r="G330" s="1162" t="s">
        <v>611</v>
      </c>
      <c r="H330" s="1163">
        <v>1998</v>
      </c>
      <c r="I330" s="1159" t="s">
        <v>612</v>
      </c>
      <c r="J330" s="1162" t="s">
        <v>14</v>
      </c>
      <c r="K330" s="1159" t="s">
        <v>18</v>
      </c>
      <c r="L330" s="1159" t="s">
        <v>1074</v>
      </c>
      <c r="M330" s="1162" t="s">
        <v>14</v>
      </c>
      <c r="N330" s="1162" t="s">
        <v>738</v>
      </c>
      <c r="O330" s="1164">
        <v>71</v>
      </c>
      <c r="P330" s="1164">
        <v>0</v>
      </c>
      <c r="Q330" s="1164">
        <v>7</v>
      </c>
      <c r="R330" s="1159" t="s">
        <v>710</v>
      </c>
      <c r="S330" s="1159" t="s">
        <v>625</v>
      </c>
      <c r="T330" s="1159" t="s">
        <v>1081</v>
      </c>
      <c r="U330" s="1166">
        <v>163000</v>
      </c>
      <c r="V330" s="1159" t="s">
        <v>1081</v>
      </c>
      <c r="W330" s="1166">
        <v>163000</v>
      </c>
      <c r="X330" s="1159" t="s">
        <v>618</v>
      </c>
      <c r="Y330" s="1167">
        <v>43835.40835648148</v>
      </c>
      <c r="Z330" s="1159" t="s">
        <v>618</v>
      </c>
      <c r="AA330" s="1167">
        <v>43894.615648148145</v>
      </c>
      <c r="AB330" s="1138">
        <f t="shared" si="5"/>
        <v>326000</v>
      </c>
    </row>
    <row r="331" ht="24" customHeight="1" spans="1:28" x14ac:dyDescent="0.25">
      <c r="A331" s="1150">
        <v>110922</v>
      </c>
      <c r="B331" s="1150" t="s">
        <v>1074</v>
      </c>
      <c r="C331" s="1150" t="s">
        <v>1103</v>
      </c>
      <c r="D331" s="1151">
        <v>43831</v>
      </c>
      <c r="E331" s="1152">
        <v>34530000</v>
      </c>
      <c r="F331" s="1150" t="s">
        <v>387</v>
      </c>
      <c r="G331" s="1153" t="s">
        <v>611</v>
      </c>
      <c r="H331" s="1154">
        <v>1998</v>
      </c>
      <c r="I331" s="1150" t="s">
        <v>612</v>
      </c>
      <c r="J331" s="1153" t="s">
        <v>14</v>
      </c>
      <c r="K331" s="1150" t="s">
        <v>18</v>
      </c>
      <c r="L331" s="1150" t="s">
        <v>1074</v>
      </c>
      <c r="M331" s="1153" t="s">
        <v>14</v>
      </c>
      <c r="N331" s="1153" t="s">
        <v>738</v>
      </c>
      <c r="O331" s="1155">
        <v>71</v>
      </c>
      <c r="P331" s="1155">
        <v>0</v>
      </c>
      <c r="Q331" s="1155">
        <v>7</v>
      </c>
      <c r="R331" s="1150" t="s">
        <v>710</v>
      </c>
      <c r="S331" s="1150" t="s">
        <v>625</v>
      </c>
      <c r="T331" s="1150" t="s">
        <v>1081</v>
      </c>
      <c r="U331" s="1157">
        <v>163000</v>
      </c>
      <c r="V331" s="1150" t="s">
        <v>1081</v>
      </c>
      <c r="W331" s="1157">
        <v>163000</v>
      </c>
      <c r="X331" s="1150" t="s">
        <v>618</v>
      </c>
      <c r="Y331" s="1158">
        <v>43835.41835648148</v>
      </c>
      <c r="Z331" s="1150" t="s">
        <v>618</v>
      </c>
      <c r="AA331" s="1158">
        <v>43894.61623842592</v>
      </c>
      <c r="AB331" s="1138">
        <f t="shared" si="5"/>
        <v>326000</v>
      </c>
    </row>
    <row r="332" spans="1:28" x14ac:dyDescent="0.25">
      <c r="A332" s="1159">
        <v>110909</v>
      </c>
      <c r="B332" s="1159" t="s">
        <v>1074</v>
      </c>
      <c r="C332" s="1159" t="s">
        <v>1104</v>
      </c>
      <c r="D332" s="1160">
        <v>43831</v>
      </c>
      <c r="E332" s="1161">
        <v>26280000</v>
      </c>
      <c r="F332" s="1159" t="s">
        <v>387</v>
      </c>
      <c r="G332" s="1162" t="s">
        <v>611</v>
      </c>
      <c r="H332" s="1163">
        <v>1998</v>
      </c>
      <c r="I332" s="1159" t="s">
        <v>612</v>
      </c>
      <c r="J332" s="1162" t="s">
        <v>14</v>
      </c>
      <c r="K332" s="1159" t="s">
        <v>18</v>
      </c>
      <c r="L332" s="1159" t="s">
        <v>1074</v>
      </c>
      <c r="M332" s="1162" t="s">
        <v>14</v>
      </c>
      <c r="N332" s="1162" t="s">
        <v>738</v>
      </c>
      <c r="O332" s="1164">
        <v>71</v>
      </c>
      <c r="P332" s="1164">
        <v>0</v>
      </c>
      <c r="Q332" s="1164">
        <v>5</v>
      </c>
      <c r="R332" s="1159" t="s">
        <v>710</v>
      </c>
      <c r="S332" s="1159" t="s">
        <v>625</v>
      </c>
      <c r="T332" s="1159" t="s">
        <v>1076</v>
      </c>
      <c r="U332" s="1166">
        <v>176200</v>
      </c>
      <c r="V332" s="1159" t="s">
        <v>1076</v>
      </c>
      <c r="W332" s="1166">
        <v>176200</v>
      </c>
      <c r="X332" s="1159" t="s">
        <v>618</v>
      </c>
      <c r="Y332" s="1167">
        <v>43835.39388888889</v>
      </c>
      <c r="Z332" s="1159" t="s">
        <v>618</v>
      </c>
      <c r="AA332" s="1167">
        <v>43894.61069444445</v>
      </c>
      <c r="AB332" s="1138">
        <f t="shared" si="5"/>
        <v>352400</v>
      </c>
    </row>
    <row r="333" spans="1:28" x14ac:dyDescent="0.25">
      <c r="A333" s="1150">
        <v>110917</v>
      </c>
      <c r="B333" s="1150" t="s">
        <v>1074</v>
      </c>
      <c r="C333" s="1150" t="s">
        <v>1105</v>
      </c>
      <c r="D333" s="1151">
        <v>43831</v>
      </c>
      <c r="E333" s="1152">
        <v>28280000</v>
      </c>
      <c r="F333" s="1150" t="s">
        <v>387</v>
      </c>
      <c r="G333" s="1153" t="s">
        <v>611</v>
      </c>
      <c r="H333" s="1154">
        <v>1998</v>
      </c>
      <c r="I333" s="1150" t="s">
        <v>612</v>
      </c>
      <c r="J333" s="1153" t="s">
        <v>14</v>
      </c>
      <c r="K333" s="1150" t="s">
        <v>18</v>
      </c>
      <c r="L333" s="1150" t="s">
        <v>1074</v>
      </c>
      <c r="M333" s="1153" t="s">
        <v>14</v>
      </c>
      <c r="N333" s="1153" t="s">
        <v>738</v>
      </c>
      <c r="O333" s="1155">
        <v>71</v>
      </c>
      <c r="P333" s="1155">
        <v>0</v>
      </c>
      <c r="Q333" s="1155">
        <v>5</v>
      </c>
      <c r="R333" s="1150" t="s">
        <v>710</v>
      </c>
      <c r="S333" s="1150" t="s">
        <v>625</v>
      </c>
      <c r="T333" s="1150" t="s">
        <v>1076</v>
      </c>
      <c r="U333" s="1157">
        <v>176200</v>
      </c>
      <c r="V333" s="1150" t="s">
        <v>1076</v>
      </c>
      <c r="W333" s="1157">
        <v>176200</v>
      </c>
      <c r="X333" s="1150" t="s">
        <v>618</v>
      </c>
      <c r="Y333" s="1158">
        <v>43835.41652777778</v>
      </c>
      <c r="Z333" s="1150" t="s">
        <v>618</v>
      </c>
      <c r="AA333" s="1158">
        <v>43894.61231481482</v>
      </c>
      <c r="AB333" s="1138">
        <f t="shared" si="5"/>
        <v>352400</v>
      </c>
    </row>
    <row r="334" spans="1:28" x14ac:dyDescent="0.25">
      <c r="A334" s="1159">
        <v>110910</v>
      </c>
      <c r="B334" s="1159" t="s">
        <v>1074</v>
      </c>
      <c r="C334" s="1159" t="s">
        <v>1106</v>
      </c>
      <c r="D334" s="1160">
        <v>43831</v>
      </c>
      <c r="E334" s="1161">
        <v>26930000</v>
      </c>
      <c r="F334" s="1159" t="s">
        <v>387</v>
      </c>
      <c r="G334" s="1162" t="s">
        <v>611</v>
      </c>
      <c r="H334" s="1163">
        <v>1998</v>
      </c>
      <c r="I334" s="1159" t="s">
        <v>612</v>
      </c>
      <c r="J334" s="1162" t="s">
        <v>14</v>
      </c>
      <c r="K334" s="1159" t="s">
        <v>18</v>
      </c>
      <c r="L334" s="1159" t="s">
        <v>1074</v>
      </c>
      <c r="M334" s="1162" t="s">
        <v>14</v>
      </c>
      <c r="N334" s="1162" t="s">
        <v>738</v>
      </c>
      <c r="O334" s="1164">
        <v>71</v>
      </c>
      <c r="P334" s="1164">
        <v>0</v>
      </c>
      <c r="Q334" s="1164">
        <v>7</v>
      </c>
      <c r="R334" s="1159" t="s">
        <v>710</v>
      </c>
      <c r="S334" s="1159" t="s">
        <v>625</v>
      </c>
      <c r="T334" s="1159" t="s">
        <v>1076</v>
      </c>
      <c r="U334" s="1166">
        <v>176200</v>
      </c>
      <c r="V334" s="1159" t="s">
        <v>1076</v>
      </c>
      <c r="W334" s="1166">
        <v>176200</v>
      </c>
      <c r="X334" s="1159" t="s">
        <v>618</v>
      </c>
      <c r="Y334" s="1167">
        <v>43835.406539351854</v>
      </c>
      <c r="Z334" s="1159" t="s">
        <v>618</v>
      </c>
      <c r="AA334" s="1167">
        <v>43894.61136574074</v>
      </c>
      <c r="AB334" s="1138">
        <f t="shared" si="5"/>
        <v>352400</v>
      </c>
    </row>
    <row r="335" spans="1:28" x14ac:dyDescent="0.25">
      <c r="A335" s="1150">
        <v>110918</v>
      </c>
      <c r="B335" s="1150" t="s">
        <v>1074</v>
      </c>
      <c r="C335" s="1150" t="s">
        <v>1107</v>
      </c>
      <c r="D335" s="1151">
        <v>43831</v>
      </c>
      <c r="E335" s="1152">
        <v>28930000</v>
      </c>
      <c r="F335" s="1150" t="s">
        <v>387</v>
      </c>
      <c r="G335" s="1153" t="s">
        <v>611</v>
      </c>
      <c r="H335" s="1154">
        <v>1998</v>
      </c>
      <c r="I335" s="1150" t="s">
        <v>612</v>
      </c>
      <c r="J335" s="1153" t="s">
        <v>14</v>
      </c>
      <c r="K335" s="1150" t="s">
        <v>18</v>
      </c>
      <c r="L335" s="1150" t="s">
        <v>1074</v>
      </c>
      <c r="M335" s="1153" t="s">
        <v>14</v>
      </c>
      <c r="N335" s="1153" t="s">
        <v>738</v>
      </c>
      <c r="O335" s="1155">
        <v>71</v>
      </c>
      <c r="P335" s="1155">
        <v>0</v>
      </c>
      <c r="Q335" s="1155">
        <v>7</v>
      </c>
      <c r="R335" s="1150" t="s">
        <v>710</v>
      </c>
      <c r="S335" s="1150" t="s">
        <v>625</v>
      </c>
      <c r="T335" s="1150" t="s">
        <v>1076</v>
      </c>
      <c r="U335" s="1157">
        <v>176200</v>
      </c>
      <c r="V335" s="1150" t="s">
        <v>1076</v>
      </c>
      <c r="W335" s="1157">
        <v>176200</v>
      </c>
      <c r="X335" s="1150" t="s">
        <v>618</v>
      </c>
      <c r="Y335" s="1158">
        <v>43835.41699074074</v>
      </c>
      <c r="Z335" s="1150" t="s">
        <v>618</v>
      </c>
      <c r="AA335" s="1158">
        <v>43894.612534722226</v>
      </c>
      <c r="AB335" s="1138">
        <f t="shared" si="5"/>
        <v>352400</v>
      </c>
    </row>
    <row r="336" ht="24" customHeight="1" spans="1:28" x14ac:dyDescent="0.25">
      <c r="A336" s="1159">
        <v>110947</v>
      </c>
      <c r="B336" s="1159" t="s">
        <v>1074</v>
      </c>
      <c r="C336" s="1159" t="s">
        <v>1108</v>
      </c>
      <c r="D336" s="1160">
        <v>43831</v>
      </c>
      <c r="E336" s="1161">
        <v>31660000</v>
      </c>
      <c r="F336" s="1159" t="s">
        <v>610</v>
      </c>
      <c r="G336" s="1162" t="s">
        <v>611</v>
      </c>
      <c r="H336" s="1163">
        <v>2199</v>
      </c>
      <c r="I336" s="1159" t="s">
        <v>612</v>
      </c>
      <c r="J336" s="1162" t="s">
        <v>14</v>
      </c>
      <c r="K336" s="1159" t="s">
        <v>18</v>
      </c>
      <c r="L336" s="1159" t="s">
        <v>1074</v>
      </c>
      <c r="M336" s="1162" t="s">
        <v>14</v>
      </c>
      <c r="N336" s="1162" t="s">
        <v>738</v>
      </c>
      <c r="O336" s="1164">
        <v>71</v>
      </c>
      <c r="P336" s="1164">
        <v>0</v>
      </c>
      <c r="Q336" s="1164">
        <v>5</v>
      </c>
      <c r="R336" s="1159" t="s">
        <v>690</v>
      </c>
      <c r="S336" s="1159" t="s">
        <v>625</v>
      </c>
      <c r="T336" s="1159" t="s">
        <v>1081</v>
      </c>
      <c r="U336" s="1166">
        <v>163000</v>
      </c>
      <c r="V336" s="1159" t="s">
        <v>1081</v>
      </c>
      <c r="W336" s="1166">
        <v>163000</v>
      </c>
      <c r="X336" s="1159" t="s">
        <v>618</v>
      </c>
      <c r="Y336" s="1167">
        <v>43835.58336805555</v>
      </c>
      <c r="Z336" s="1159" t="s">
        <v>618</v>
      </c>
      <c r="AA336" s="1167">
        <v>43894.6430787037</v>
      </c>
      <c r="AB336" s="1138">
        <f t="shared" si="5"/>
        <v>326000</v>
      </c>
    </row>
    <row r="337" ht="24" customHeight="1" spans="1:28" x14ac:dyDescent="0.25">
      <c r="A337" s="1150">
        <v>110955</v>
      </c>
      <c r="B337" s="1150" t="s">
        <v>1074</v>
      </c>
      <c r="C337" s="1150" t="s">
        <v>1109</v>
      </c>
      <c r="D337" s="1151">
        <v>43831</v>
      </c>
      <c r="E337" s="1152">
        <v>33660000</v>
      </c>
      <c r="F337" s="1150" t="s">
        <v>610</v>
      </c>
      <c r="G337" s="1153" t="s">
        <v>611</v>
      </c>
      <c r="H337" s="1154">
        <v>2199</v>
      </c>
      <c r="I337" s="1150" t="s">
        <v>612</v>
      </c>
      <c r="J337" s="1153" t="s">
        <v>14</v>
      </c>
      <c r="K337" s="1150" t="s">
        <v>18</v>
      </c>
      <c r="L337" s="1150" t="s">
        <v>1074</v>
      </c>
      <c r="M337" s="1153" t="s">
        <v>14</v>
      </c>
      <c r="N337" s="1153" t="s">
        <v>738</v>
      </c>
      <c r="O337" s="1155">
        <v>71</v>
      </c>
      <c r="P337" s="1155">
        <v>0</v>
      </c>
      <c r="Q337" s="1155">
        <v>5</v>
      </c>
      <c r="R337" s="1150" t="s">
        <v>842</v>
      </c>
      <c r="S337" s="1150" t="s">
        <v>625</v>
      </c>
      <c r="T337" s="1150" t="s">
        <v>1081</v>
      </c>
      <c r="U337" s="1157">
        <v>163000</v>
      </c>
      <c r="V337" s="1150" t="s">
        <v>1081</v>
      </c>
      <c r="W337" s="1157">
        <v>163000</v>
      </c>
      <c r="X337" s="1150" t="s">
        <v>618</v>
      </c>
      <c r="Y337" s="1158">
        <v>43835.58854166667</v>
      </c>
      <c r="Z337" s="1150" t="s">
        <v>618</v>
      </c>
      <c r="AA337" s="1158">
        <v>43894.64332175926</v>
      </c>
      <c r="AB337" s="1138">
        <f t="shared" si="5"/>
        <v>326000</v>
      </c>
    </row>
    <row r="338" ht="24" customHeight="1" spans="1:28" x14ac:dyDescent="0.25">
      <c r="A338" s="1159">
        <v>110948</v>
      </c>
      <c r="B338" s="1159" t="s">
        <v>1074</v>
      </c>
      <c r="C338" s="1159" t="s">
        <v>1110</v>
      </c>
      <c r="D338" s="1160">
        <v>43831</v>
      </c>
      <c r="E338" s="1161">
        <v>32310000</v>
      </c>
      <c r="F338" s="1159" t="s">
        <v>610</v>
      </c>
      <c r="G338" s="1162" t="s">
        <v>611</v>
      </c>
      <c r="H338" s="1163">
        <v>2199</v>
      </c>
      <c r="I338" s="1159" t="s">
        <v>612</v>
      </c>
      <c r="J338" s="1162" t="s">
        <v>14</v>
      </c>
      <c r="K338" s="1159" t="s">
        <v>18</v>
      </c>
      <c r="L338" s="1159" t="s">
        <v>1074</v>
      </c>
      <c r="M338" s="1162" t="s">
        <v>14</v>
      </c>
      <c r="N338" s="1162" t="s">
        <v>738</v>
      </c>
      <c r="O338" s="1164">
        <v>71</v>
      </c>
      <c r="P338" s="1164">
        <v>0</v>
      </c>
      <c r="Q338" s="1164">
        <v>7</v>
      </c>
      <c r="R338" s="1159" t="s">
        <v>690</v>
      </c>
      <c r="S338" s="1159" t="s">
        <v>625</v>
      </c>
      <c r="T338" s="1159" t="s">
        <v>1081</v>
      </c>
      <c r="U338" s="1166">
        <v>163000</v>
      </c>
      <c r="V338" s="1159" t="s">
        <v>1081</v>
      </c>
      <c r="W338" s="1166">
        <v>163000</v>
      </c>
      <c r="X338" s="1159" t="s">
        <v>618</v>
      </c>
      <c r="Y338" s="1167">
        <v>43835.58366898148</v>
      </c>
      <c r="Z338" s="1159" t="s">
        <v>618</v>
      </c>
      <c r="AA338" s="1167">
        <v>43894.64321759259</v>
      </c>
      <c r="AB338" s="1138">
        <f t="shared" si="5"/>
        <v>326000</v>
      </c>
    </row>
    <row r="339" ht="24" customHeight="1" spans="1:28" x14ac:dyDescent="0.25">
      <c r="A339" s="1150">
        <v>110956</v>
      </c>
      <c r="B339" s="1150" t="s">
        <v>1074</v>
      </c>
      <c r="C339" s="1150" t="s">
        <v>1111</v>
      </c>
      <c r="D339" s="1151">
        <v>43831</v>
      </c>
      <c r="E339" s="1152">
        <v>34310000</v>
      </c>
      <c r="F339" s="1150" t="s">
        <v>610</v>
      </c>
      <c r="G339" s="1153" t="s">
        <v>611</v>
      </c>
      <c r="H339" s="1154">
        <v>2199</v>
      </c>
      <c r="I339" s="1150" t="s">
        <v>612</v>
      </c>
      <c r="J339" s="1153" t="s">
        <v>14</v>
      </c>
      <c r="K339" s="1150" t="s">
        <v>18</v>
      </c>
      <c r="L339" s="1150" t="s">
        <v>1074</v>
      </c>
      <c r="M339" s="1153" t="s">
        <v>14</v>
      </c>
      <c r="N339" s="1153" t="s">
        <v>738</v>
      </c>
      <c r="O339" s="1155">
        <v>71</v>
      </c>
      <c r="P339" s="1155">
        <v>0</v>
      </c>
      <c r="Q339" s="1155">
        <v>7</v>
      </c>
      <c r="R339" s="1150" t="s">
        <v>842</v>
      </c>
      <c r="S339" s="1150" t="s">
        <v>625</v>
      </c>
      <c r="T339" s="1150" t="s">
        <v>1081</v>
      </c>
      <c r="U339" s="1157">
        <v>163000</v>
      </c>
      <c r="V339" s="1150" t="s">
        <v>1081</v>
      </c>
      <c r="W339" s="1157">
        <v>163000</v>
      </c>
      <c r="X339" s="1150" t="s">
        <v>618</v>
      </c>
      <c r="Y339" s="1158">
        <v>43835.58936342593</v>
      </c>
      <c r="Z339" s="1150" t="s">
        <v>618</v>
      </c>
      <c r="AA339" s="1158">
        <v>43894.643483796295</v>
      </c>
      <c r="AB339" s="1138">
        <f t="shared" si="5"/>
        <v>326000</v>
      </c>
    </row>
    <row r="340" ht="24" customHeight="1" spans="1:28" x14ac:dyDescent="0.25">
      <c r="A340" s="1159">
        <v>110951</v>
      </c>
      <c r="B340" s="1159" t="s">
        <v>1074</v>
      </c>
      <c r="C340" s="1159" t="s">
        <v>1112</v>
      </c>
      <c r="D340" s="1160">
        <v>43831</v>
      </c>
      <c r="E340" s="1161">
        <v>38220000</v>
      </c>
      <c r="F340" s="1159" t="s">
        <v>610</v>
      </c>
      <c r="G340" s="1162" t="s">
        <v>611</v>
      </c>
      <c r="H340" s="1163">
        <v>2199</v>
      </c>
      <c r="I340" s="1159" t="s">
        <v>612</v>
      </c>
      <c r="J340" s="1162" t="s">
        <v>14</v>
      </c>
      <c r="K340" s="1159" t="s">
        <v>18</v>
      </c>
      <c r="L340" s="1159" t="s">
        <v>1074</v>
      </c>
      <c r="M340" s="1162" t="s">
        <v>14</v>
      </c>
      <c r="N340" s="1162" t="s">
        <v>738</v>
      </c>
      <c r="O340" s="1164">
        <v>71</v>
      </c>
      <c r="P340" s="1164">
        <v>0</v>
      </c>
      <c r="Q340" s="1164">
        <v>5</v>
      </c>
      <c r="R340" s="1159" t="s">
        <v>690</v>
      </c>
      <c r="S340" s="1159" t="s">
        <v>625</v>
      </c>
      <c r="T340" s="1159" t="s">
        <v>1081</v>
      </c>
      <c r="U340" s="1166">
        <v>163000</v>
      </c>
      <c r="V340" s="1159" t="s">
        <v>1081</v>
      </c>
      <c r="W340" s="1166">
        <v>163000</v>
      </c>
      <c r="X340" s="1159" t="s">
        <v>618</v>
      </c>
      <c r="Y340" s="1167">
        <v>43835.58472222222</v>
      </c>
      <c r="Z340" s="1159" t="s">
        <v>618</v>
      </c>
      <c r="AA340" s="1167">
        <v>43894.634097222224</v>
      </c>
      <c r="AB340" s="1138">
        <f t="shared" si="5"/>
        <v>326000</v>
      </c>
    </row>
    <row r="341" ht="24" customHeight="1" spans="1:28" x14ac:dyDescent="0.25">
      <c r="A341" s="1150">
        <v>110959</v>
      </c>
      <c r="B341" s="1150" t="s">
        <v>1074</v>
      </c>
      <c r="C341" s="1150" t="s">
        <v>1113</v>
      </c>
      <c r="D341" s="1151">
        <v>43831</v>
      </c>
      <c r="E341" s="1152">
        <v>40220000</v>
      </c>
      <c r="F341" s="1150" t="s">
        <v>610</v>
      </c>
      <c r="G341" s="1153" t="s">
        <v>611</v>
      </c>
      <c r="H341" s="1154">
        <v>2199</v>
      </c>
      <c r="I341" s="1150" t="s">
        <v>612</v>
      </c>
      <c r="J341" s="1153" t="s">
        <v>14</v>
      </c>
      <c r="K341" s="1150" t="s">
        <v>18</v>
      </c>
      <c r="L341" s="1150" t="s">
        <v>1074</v>
      </c>
      <c r="M341" s="1153" t="s">
        <v>14</v>
      </c>
      <c r="N341" s="1153" t="s">
        <v>738</v>
      </c>
      <c r="O341" s="1155">
        <v>71</v>
      </c>
      <c r="P341" s="1155">
        <v>0</v>
      </c>
      <c r="Q341" s="1155">
        <v>5</v>
      </c>
      <c r="R341" s="1150" t="s">
        <v>842</v>
      </c>
      <c r="S341" s="1150" t="s">
        <v>625</v>
      </c>
      <c r="T341" s="1150" t="s">
        <v>1081</v>
      </c>
      <c r="U341" s="1157">
        <v>163000</v>
      </c>
      <c r="V341" s="1150" t="s">
        <v>1081</v>
      </c>
      <c r="W341" s="1157">
        <v>163000</v>
      </c>
      <c r="X341" s="1150" t="s">
        <v>618</v>
      </c>
      <c r="Y341" s="1158">
        <v>43835.59201388889</v>
      </c>
      <c r="Z341" s="1150" t="s">
        <v>618</v>
      </c>
      <c r="AA341" s="1158">
        <v>43894.63458333333</v>
      </c>
      <c r="AB341" s="1138">
        <f t="shared" si="5"/>
        <v>326000</v>
      </c>
    </row>
    <row r="342" ht="24" customHeight="1" spans="1:28" x14ac:dyDescent="0.25">
      <c r="A342" s="1159">
        <v>110952</v>
      </c>
      <c r="B342" s="1159" t="s">
        <v>1074</v>
      </c>
      <c r="C342" s="1159" t="s">
        <v>1114</v>
      </c>
      <c r="D342" s="1160">
        <v>43831</v>
      </c>
      <c r="E342" s="1161">
        <v>38870000</v>
      </c>
      <c r="F342" s="1159" t="s">
        <v>610</v>
      </c>
      <c r="G342" s="1162" t="s">
        <v>611</v>
      </c>
      <c r="H342" s="1163">
        <v>2199</v>
      </c>
      <c r="I342" s="1159" t="s">
        <v>612</v>
      </c>
      <c r="J342" s="1162" t="s">
        <v>14</v>
      </c>
      <c r="K342" s="1159" t="s">
        <v>18</v>
      </c>
      <c r="L342" s="1159" t="s">
        <v>1074</v>
      </c>
      <c r="M342" s="1162" t="s">
        <v>14</v>
      </c>
      <c r="N342" s="1162" t="s">
        <v>738</v>
      </c>
      <c r="O342" s="1164">
        <v>71</v>
      </c>
      <c r="P342" s="1164">
        <v>0</v>
      </c>
      <c r="Q342" s="1164">
        <v>7</v>
      </c>
      <c r="R342" s="1159" t="s">
        <v>690</v>
      </c>
      <c r="S342" s="1159" t="s">
        <v>625</v>
      </c>
      <c r="T342" s="1159" t="s">
        <v>1081</v>
      </c>
      <c r="U342" s="1166">
        <v>163000</v>
      </c>
      <c r="V342" s="1159" t="s">
        <v>1081</v>
      </c>
      <c r="W342" s="1166">
        <v>163000</v>
      </c>
      <c r="X342" s="1159" t="s">
        <v>618</v>
      </c>
      <c r="Y342" s="1167">
        <v>43835.585115740745</v>
      </c>
      <c r="Z342" s="1159" t="s">
        <v>618</v>
      </c>
      <c r="AA342" s="1167">
        <v>43894.63428240741</v>
      </c>
      <c r="AB342" s="1138">
        <f t="shared" si="5"/>
        <v>326000</v>
      </c>
    </row>
    <row r="343" ht="24" customHeight="1" spans="1:28" x14ac:dyDescent="0.25">
      <c r="A343" s="1150">
        <v>110960</v>
      </c>
      <c r="B343" s="1150" t="s">
        <v>1074</v>
      </c>
      <c r="C343" s="1150" t="s">
        <v>1115</v>
      </c>
      <c r="D343" s="1151">
        <v>43831</v>
      </c>
      <c r="E343" s="1152">
        <v>40870000</v>
      </c>
      <c r="F343" s="1150" t="s">
        <v>610</v>
      </c>
      <c r="G343" s="1153" t="s">
        <v>611</v>
      </c>
      <c r="H343" s="1154">
        <v>2199</v>
      </c>
      <c r="I343" s="1150" t="s">
        <v>612</v>
      </c>
      <c r="J343" s="1153" t="s">
        <v>14</v>
      </c>
      <c r="K343" s="1150" t="s">
        <v>18</v>
      </c>
      <c r="L343" s="1150" t="s">
        <v>1074</v>
      </c>
      <c r="M343" s="1153" t="s">
        <v>14</v>
      </c>
      <c r="N343" s="1153" t="s">
        <v>738</v>
      </c>
      <c r="O343" s="1155">
        <v>71</v>
      </c>
      <c r="P343" s="1155">
        <v>0</v>
      </c>
      <c r="Q343" s="1155">
        <v>7</v>
      </c>
      <c r="R343" s="1150" t="s">
        <v>842</v>
      </c>
      <c r="S343" s="1150" t="s">
        <v>625</v>
      </c>
      <c r="T343" s="1150" t="s">
        <v>1081</v>
      </c>
      <c r="U343" s="1157">
        <v>163000</v>
      </c>
      <c r="V343" s="1150" t="s">
        <v>1081</v>
      </c>
      <c r="W343" s="1157">
        <v>163000</v>
      </c>
      <c r="X343" s="1150" t="s">
        <v>618</v>
      </c>
      <c r="Y343" s="1158">
        <v>43835.592453703706</v>
      </c>
      <c r="Z343" s="1150" t="s">
        <v>618</v>
      </c>
      <c r="AA343" s="1158">
        <v>43894.63494212963</v>
      </c>
      <c r="AB343" s="1138">
        <f t="shared" si="5"/>
        <v>326000</v>
      </c>
    </row>
    <row r="344" spans="1:28" x14ac:dyDescent="0.25">
      <c r="A344" s="1159">
        <v>110949</v>
      </c>
      <c r="B344" s="1159" t="s">
        <v>1074</v>
      </c>
      <c r="C344" s="1159" t="s">
        <v>1116</v>
      </c>
      <c r="D344" s="1160">
        <v>43831</v>
      </c>
      <c r="E344" s="1161">
        <v>34730000</v>
      </c>
      <c r="F344" s="1159" t="s">
        <v>610</v>
      </c>
      <c r="G344" s="1162" t="s">
        <v>611</v>
      </c>
      <c r="H344" s="1163">
        <v>2199</v>
      </c>
      <c r="I344" s="1159" t="s">
        <v>612</v>
      </c>
      <c r="J344" s="1162" t="s">
        <v>14</v>
      </c>
      <c r="K344" s="1159" t="s">
        <v>18</v>
      </c>
      <c r="L344" s="1159" t="s">
        <v>1074</v>
      </c>
      <c r="M344" s="1162" t="s">
        <v>14</v>
      </c>
      <c r="N344" s="1162" t="s">
        <v>738</v>
      </c>
      <c r="O344" s="1164">
        <v>71</v>
      </c>
      <c r="P344" s="1164">
        <v>0</v>
      </c>
      <c r="Q344" s="1164">
        <v>5</v>
      </c>
      <c r="R344" s="1159" t="s">
        <v>690</v>
      </c>
      <c r="S344" s="1159" t="s">
        <v>625</v>
      </c>
      <c r="T344" s="1159" t="s">
        <v>1081</v>
      </c>
      <c r="U344" s="1166">
        <v>163000</v>
      </c>
      <c r="V344" s="1159" t="s">
        <v>1081</v>
      </c>
      <c r="W344" s="1166">
        <v>163000</v>
      </c>
      <c r="X344" s="1159" t="s">
        <v>618</v>
      </c>
      <c r="Y344" s="1167">
        <v>43835.58398148148</v>
      </c>
      <c r="Z344" s="1159" t="s">
        <v>618</v>
      </c>
      <c r="AA344" s="1167">
        <v>43894.64388888889</v>
      </c>
      <c r="AB344" s="1138">
        <f t="shared" si="5"/>
        <v>326000</v>
      </c>
    </row>
    <row r="345" spans="1:28" x14ac:dyDescent="0.25">
      <c r="A345" s="1150">
        <v>110957</v>
      </c>
      <c r="B345" s="1150" t="s">
        <v>1074</v>
      </c>
      <c r="C345" s="1150" t="s">
        <v>1117</v>
      </c>
      <c r="D345" s="1151">
        <v>43831</v>
      </c>
      <c r="E345" s="1152">
        <v>36730000</v>
      </c>
      <c r="F345" s="1150" t="s">
        <v>610</v>
      </c>
      <c r="G345" s="1153" t="s">
        <v>611</v>
      </c>
      <c r="H345" s="1154">
        <v>2199</v>
      </c>
      <c r="I345" s="1150" t="s">
        <v>612</v>
      </c>
      <c r="J345" s="1153" t="s">
        <v>14</v>
      </c>
      <c r="K345" s="1150" t="s">
        <v>18</v>
      </c>
      <c r="L345" s="1150" t="s">
        <v>1074</v>
      </c>
      <c r="M345" s="1153" t="s">
        <v>14</v>
      </c>
      <c r="N345" s="1153" t="s">
        <v>738</v>
      </c>
      <c r="O345" s="1155">
        <v>71</v>
      </c>
      <c r="P345" s="1155">
        <v>0</v>
      </c>
      <c r="Q345" s="1155">
        <v>5</v>
      </c>
      <c r="R345" s="1150" t="s">
        <v>842</v>
      </c>
      <c r="S345" s="1150" t="s">
        <v>625</v>
      </c>
      <c r="T345" s="1150" t="s">
        <v>1081</v>
      </c>
      <c r="U345" s="1157">
        <v>163000</v>
      </c>
      <c r="V345" s="1150" t="s">
        <v>1081</v>
      </c>
      <c r="W345" s="1157">
        <v>163000</v>
      </c>
      <c r="X345" s="1150" t="s">
        <v>618</v>
      </c>
      <c r="Y345" s="1158">
        <v>43835.59052083333</v>
      </c>
      <c r="Z345" s="1150" t="s">
        <v>618</v>
      </c>
      <c r="AA345" s="1158">
        <v>43894.64417824074</v>
      </c>
      <c r="AB345" s="1138">
        <f t="shared" si="5"/>
        <v>326000</v>
      </c>
    </row>
    <row r="346" spans="1:28" x14ac:dyDescent="0.25">
      <c r="A346" s="1159">
        <v>110950</v>
      </c>
      <c r="B346" s="1159" t="s">
        <v>1074</v>
      </c>
      <c r="C346" s="1159" t="s">
        <v>1118</v>
      </c>
      <c r="D346" s="1160">
        <v>43831</v>
      </c>
      <c r="E346" s="1161">
        <v>35380000</v>
      </c>
      <c r="F346" s="1159" t="s">
        <v>610</v>
      </c>
      <c r="G346" s="1162" t="s">
        <v>611</v>
      </c>
      <c r="H346" s="1163">
        <v>2199</v>
      </c>
      <c r="I346" s="1159" t="s">
        <v>612</v>
      </c>
      <c r="J346" s="1162" t="s">
        <v>14</v>
      </c>
      <c r="K346" s="1159" t="s">
        <v>18</v>
      </c>
      <c r="L346" s="1159" t="s">
        <v>1074</v>
      </c>
      <c r="M346" s="1162" t="s">
        <v>14</v>
      </c>
      <c r="N346" s="1162" t="s">
        <v>738</v>
      </c>
      <c r="O346" s="1164">
        <v>71</v>
      </c>
      <c r="P346" s="1164">
        <v>0</v>
      </c>
      <c r="Q346" s="1164">
        <v>7</v>
      </c>
      <c r="R346" s="1159" t="s">
        <v>690</v>
      </c>
      <c r="S346" s="1159" t="s">
        <v>625</v>
      </c>
      <c r="T346" s="1159" t="s">
        <v>1081</v>
      </c>
      <c r="U346" s="1166">
        <v>163000</v>
      </c>
      <c r="V346" s="1159" t="s">
        <v>1081</v>
      </c>
      <c r="W346" s="1166">
        <v>163000</v>
      </c>
      <c r="X346" s="1159" t="s">
        <v>618</v>
      </c>
      <c r="Y346" s="1167">
        <v>43835.58427083334</v>
      </c>
      <c r="Z346" s="1159" t="s">
        <v>618</v>
      </c>
      <c r="AA346" s="1167">
        <v>43894.6440162037</v>
      </c>
      <c r="AB346" s="1138">
        <f t="shared" si="5"/>
        <v>326000</v>
      </c>
    </row>
    <row r="347" spans="1:28" x14ac:dyDescent="0.25">
      <c r="A347" s="1150">
        <v>110958</v>
      </c>
      <c r="B347" s="1150" t="s">
        <v>1074</v>
      </c>
      <c r="C347" s="1150" t="s">
        <v>1119</v>
      </c>
      <c r="D347" s="1151">
        <v>43831</v>
      </c>
      <c r="E347" s="1152">
        <v>37380000</v>
      </c>
      <c r="F347" s="1150" t="s">
        <v>610</v>
      </c>
      <c r="G347" s="1153" t="s">
        <v>611</v>
      </c>
      <c r="H347" s="1154">
        <v>2199</v>
      </c>
      <c r="I347" s="1150" t="s">
        <v>612</v>
      </c>
      <c r="J347" s="1153" t="s">
        <v>14</v>
      </c>
      <c r="K347" s="1150" t="s">
        <v>18</v>
      </c>
      <c r="L347" s="1150" t="s">
        <v>1074</v>
      </c>
      <c r="M347" s="1153" t="s">
        <v>14</v>
      </c>
      <c r="N347" s="1153" t="s">
        <v>738</v>
      </c>
      <c r="O347" s="1155">
        <v>71</v>
      </c>
      <c r="P347" s="1155">
        <v>0</v>
      </c>
      <c r="Q347" s="1155">
        <v>7</v>
      </c>
      <c r="R347" s="1150" t="s">
        <v>842</v>
      </c>
      <c r="S347" s="1150" t="s">
        <v>625</v>
      </c>
      <c r="T347" s="1150" t="s">
        <v>1081</v>
      </c>
      <c r="U347" s="1157">
        <v>163000</v>
      </c>
      <c r="V347" s="1150" t="s">
        <v>1081</v>
      </c>
      <c r="W347" s="1157">
        <v>163000</v>
      </c>
      <c r="X347" s="1150" t="s">
        <v>618</v>
      </c>
      <c r="Y347" s="1158">
        <v>43835.59108796297</v>
      </c>
      <c r="Z347" s="1150" t="s">
        <v>618</v>
      </c>
      <c r="AA347" s="1158">
        <v>43894.64461805555</v>
      </c>
      <c r="AB347" s="1138">
        <f t="shared" si="5"/>
        <v>326000</v>
      </c>
    </row>
    <row r="348" spans="1:28" x14ac:dyDescent="0.25">
      <c r="A348" s="1159">
        <v>110945</v>
      </c>
      <c r="B348" s="1159" t="s">
        <v>1074</v>
      </c>
      <c r="C348" s="1159" t="s">
        <v>1120</v>
      </c>
      <c r="D348" s="1160">
        <v>43831</v>
      </c>
      <c r="E348" s="1161">
        <v>29130000</v>
      </c>
      <c r="F348" s="1159" t="s">
        <v>610</v>
      </c>
      <c r="G348" s="1162" t="s">
        <v>611</v>
      </c>
      <c r="H348" s="1163">
        <v>2199</v>
      </c>
      <c r="I348" s="1159" t="s">
        <v>612</v>
      </c>
      <c r="J348" s="1162" t="s">
        <v>14</v>
      </c>
      <c r="K348" s="1159" t="s">
        <v>18</v>
      </c>
      <c r="L348" s="1159" t="s">
        <v>1074</v>
      </c>
      <c r="M348" s="1162" t="s">
        <v>14</v>
      </c>
      <c r="N348" s="1162" t="s">
        <v>738</v>
      </c>
      <c r="O348" s="1164">
        <v>71</v>
      </c>
      <c r="P348" s="1164">
        <v>0</v>
      </c>
      <c r="Q348" s="1164">
        <v>5</v>
      </c>
      <c r="R348" s="1159" t="s">
        <v>690</v>
      </c>
      <c r="S348" s="1159" t="s">
        <v>625</v>
      </c>
      <c r="T348" s="1159" t="s">
        <v>1076</v>
      </c>
      <c r="U348" s="1166">
        <v>176200</v>
      </c>
      <c r="V348" s="1159" t="s">
        <v>1076</v>
      </c>
      <c r="W348" s="1166">
        <v>176200</v>
      </c>
      <c r="X348" s="1159" t="s">
        <v>618</v>
      </c>
      <c r="Y348" s="1167">
        <v>43835.58167824074</v>
      </c>
      <c r="Z348" s="1159" t="s">
        <v>618</v>
      </c>
      <c r="AA348" s="1167">
        <v>43894.64225694444</v>
      </c>
      <c r="AB348" s="1138">
        <f t="shared" si="5"/>
        <v>352400</v>
      </c>
    </row>
    <row r="349" spans="1:28" x14ac:dyDescent="0.25">
      <c r="A349" s="1150">
        <v>110953</v>
      </c>
      <c r="B349" s="1150" t="s">
        <v>1074</v>
      </c>
      <c r="C349" s="1150" t="s">
        <v>1121</v>
      </c>
      <c r="D349" s="1151">
        <v>43831</v>
      </c>
      <c r="E349" s="1152">
        <v>31130000</v>
      </c>
      <c r="F349" s="1150" t="s">
        <v>610</v>
      </c>
      <c r="G349" s="1153" t="s">
        <v>611</v>
      </c>
      <c r="H349" s="1154">
        <v>2199</v>
      </c>
      <c r="I349" s="1150" t="s">
        <v>612</v>
      </c>
      <c r="J349" s="1153" t="s">
        <v>14</v>
      </c>
      <c r="K349" s="1150" t="s">
        <v>18</v>
      </c>
      <c r="L349" s="1150" t="s">
        <v>1074</v>
      </c>
      <c r="M349" s="1153" t="s">
        <v>14</v>
      </c>
      <c r="N349" s="1153" t="s">
        <v>738</v>
      </c>
      <c r="O349" s="1155">
        <v>71</v>
      </c>
      <c r="P349" s="1155">
        <v>0</v>
      </c>
      <c r="Q349" s="1155">
        <v>5</v>
      </c>
      <c r="R349" s="1150" t="s">
        <v>690</v>
      </c>
      <c r="S349" s="1150" t="s">
        <v>625</v>
      </c>
      <c r="T349" s="1150" t="s">
        <v>1076</v>
      </c>
      <c r="U349" s="1157">
        <v>176200</v>
      </c>
      <c r="V349" s="1150" t="s">
        <v>1076</v>
      </c>
      <c r="W349" s="1157">
        <v>176200</v>
      </c>
      <c r="X349" s="1150" t="s">
        <v>618</v>
      </c>
      <c r="Y349" s="1158">
        <v>43835.587488425925</v>
      </c>
      <c r="Z349" s="1150" t="s">
        <v>618</v>
      </c>
      <c r="AA349" s="1158">
        <v>43894.642488425925</v>
      </c>
      <c r="AB349" s="1138">
        <f t="shared" si="5"/>
        <v>352400</v>
      </c>
    </row>
    <row r="350" spans="1:28" x14ac:dyDescent="0.25">
      <c r="A350" s="1159">
        <v>110946</v>
      </c>
      <c r="B350" s="1159" t="s">
        <v>1074</v>
      </c>
      <c r="C350" s="1159" t="s">
        <v>1122</v>
      </c>
      <c r="D350" s="1160">
        <v>43831</v>
      </c>
      <c r="E350" s="1161">
        <v>29780000</v>
      </c>
      <c r="F350" s="1159" t="s">
        <v>610</v>
      </c>
      <c r="G350" s="1162" t="s">
        <v>611</v>
      </c>
      <c r="H350" s="1163">
        <v>2199</v>
      </c>
      <c r="I350" s="1159" t="s">
        <v>612</v>
      </c>
      <c r="J350" s="1162" t="s">
        <v>14</v>
      </c>
      <c r="K350" s="1159" t="s">
        <v>18</v>
      </c>
      <c r="L350" s="1159" t="s">
        <v>1074</v>
      </c>
      <c r="M350" s="1162" t="s">
        <v>14</v>
      </c>
      <c r="N350" s="1162" t="s">
        <v>738</v>
      </c>
      <c r="O350" s="1164">
        <v>71</v>
      </c>
      <c r="P350" s="1164">
        <v>0</v>
      </c>
      <c r="Q350" s="1164">
        <v>7</v>
      </c>
      <c r="R350" s="1159" t="s">
        <v>690</v>
      </c>
      <c r="S350" s="1159" t="s">
        <v>625</v>
      </c>
      <c r="T350" s="1159" t="s">
        <v>1076</v>
      </c>
      <c r="U350" s="1166">
        <v>176200</v>
      </c>
      <c r="V350" s="1159" t="s">
        <v>1076</v>
      </c>
      <c r="W350" s="1166">
        <v>176200</v>
      </c>
      <c r="X350" s="1159" t="s">
        <v>618</v>
      </c>
      <c r="Y350" s="1167">
        <v>43835.58306712963</v>
      </c>
      <c r="Z350" s="1159" t="s">
        <v>618</v>
      </c>
      <c r="AA350" s="1167">
        <v>43894.642372685186</v>
      </c>
      <c r="AB350" s="1138">
        <f t="shared" si="5"/>
        <v>352400</v>
      </c>
    </row>
    <row r="351" spans="1:28" x14ac:dyDescent="0.25">
      <c r="A351" s="1150">
        <v>110954</v>
      </c>
      <c r="B351" s="1150" t="s">
        <v>1074</v>
      </c>
      <c r="C351" s="1150" t="s">
        <v>1123</v>
      </c>
      <c r="D351" s="1151">
        <v>43831</v>
      </c>
      <c r="E351" s="1152">
        <v>31780000</v>
      </c>
      <c r="F351" s="1150" t="s">
        <v>610</v>
      </c>
      <c r="G351" s="1153" t="s">
        <v>611</v>
      </c>
      <c r="H351" s="1154">
        <v>2199</v>
      </c>
      <c r="I351" s="1150" t="s">
        <v>612</v>
      </c>
      <c r="J351" s="1153" t="s">
        <v>14</v>
      </c>
      <c r="K351" s="1150" t="s">
        <v>18</v>
      </c>
      <c r="L351" s="1150" t="s">
        <v>1074</v>
      </c>
      <c r="M351" s="1153" t="s">
        <v>14</v>
      </c>
      <c r="N351" s="1153" t="s">
        <v>738</v>
      </c>
      <c r="O351" s="1155">
        <v>71</v>
      </c>
      <c r="P351" s="1155">
        <v>0</v>
      </c>
      <c r="Q351" s="1155">
        <v>7</v>
      </c>
      <c r="R351" s="1150" t="s">
        <v>690</v>
      </c>
      <c r="S351" s="1150" t="s">
        <v>625</v>
      </c>
      <c r="T351" s="1150" t="s">
        <v>1076</v>
      </c>
      <c r="U351" s="1157">
        <v>176200</v>
      </c>
      <c r="V351" s="1150" t="s">
        <v>1076</v>
      </c>
      <c r="W351" s="1157">
        <v>176200</v>
      </c>
      <c r="X351" s="1150" t="s">
        <v>618</v>
      </c>
      <c r="Y351" s="1158">
        <v>43835.58792824074</v>
      </c>
      <c r="Z351" s="1150" t="s">
        <v>618</v>
      </c>
      <c r="AA351" s="1158">
        <v>43894.64261574074</v>
      </c>
      <c r="AB351" s="1138">
        <f t="shared" si="5"/>
        <v>352400</v>
      </c>
    </row>
    <row r="352" ht="24" customHeight="1" spans="1:28" x14ac:dyDescent="0.25">
      <c r="A352" s="1159">
        <v>110620</v>
      </c>
      <c r="B352" s="1159" t="s">
        <v>1124</v>
      </c>
      <c r="C352" s="1159" t="s">
        <v>1125</v>
      </c>
      <c r="D352" s="1160">
        <v>43733</v>
      </c>
      <c r="E352" s="1161">
        <v>24270000</v>
      </c>
      <c r="F352" s="1159" t="s">
        <v>387</v>
      </c>
      <c r="G352" s="1162" t="s">
        <v>611</v>
      </c>
      <c r="H352" s="1163">
        <v>1598</v>
      </c>
      <c r="I352" s="1159" t="s">
        <v>612</v>
      </c>
      <c r="J352" s="1162" t="s">
        <v>14</v>
      </c>
      <c r="K352" s="1159" t="s">
        <v>18</v>
      </c>
      <c r="L352" s="1159" t="s">
        <v>1126</v>
      </c>
      <c r="M352" s="1162" t="s">
        <v>14</v>
      </c>
      <c r="N352" s="1162" t="s">
        <v>631</v>
      </c>
      <c r="O352" s="1164">
        <v>60</v>
      </c>
      <c r="P352" s="1164">
        <v>0</v>
      </c>
      <c r="Q352" s="1164">
        <v>5</v>
      </c>
      <c r="R352" s="1159" t="s">
        <v>662</v>
      </c>
      <c r="S352" s="1159" t="s">
        <v>819</v>
      </c>
      <c r="T352" s="1159" t="s">
        <v>667</v>
      </c>
      <c r="U352" s="1166">
        <v>131000</v>
      </c>
      <c r="V352" s="1159" t="s">
        <v>667</v>
      </c>
      <c r="W352" s="1166">
        <v>131000</v>
      </c>
      <c r="X352" s="1159" t="s">
        <v>618</v>
      </c>
      <c r="Y352" s="1167">
        <v>43733.67326388889</v>
      </c>
      <c r="Z352" s="1159" t="s">
        <v>618</v>
      </c>
      <c r="AA352" s="1167">
        <v>43897.45584490741</v>
      </c>
      <c r="AB352" s="1138">
        <f t="shared" si="5"/>
        <v>262000</v>
      </c>
    </row>
    <row r="353" ht="24" customHeight="1" spans="1:28" x14ac:dyDescent="0.25">
      <c r="A353" s="1150">
        <v>110621</v>
      </c>
      <c r="B353" s="1150" t="s">
        <v>1124</v>
      </c>
      <c r="C353" s="1150" t="s">
        <v>1127</v>
      </c>
      <c r="D353" s="1151">
        <v>43733</v>
      </c>
      <c r="E353" s="1152">
        <v>26370000</v>
      </c>
      <c r="F353" s="1150" t="s">
        <v>387</v>
      </c>
      <c r="G353" s="1153" t="s">
        <v>611</v>
      </c>
      <c r="H353" s="1154">
        <v>1598</v>
      </c>
      <c r="I353" s="1150" t="s">
        <v>612</v>
      </c>
      <c r="J353" s="1153" t="s">
        <v>14</v>
      </c>
      <c r="K353" s="1150" t="s">
        <v>18</v>
      </c>
      <c r="L353" s="1150" t="s">
        <v>1126</v>
      </c>
      <c r="M353" s="1153" t="s">
        <v>14</v>
      </c>
      <c r="N353" s="1153" t="s">
        <v>631</v>
      </c>
      <c r="O353" s="1155">
        <v>60</v>
      </c>
      <c r="P353" s="1155">
        <v>0</v>
      </c>
      <c r="Q353" s="1155">
        <v>5</v>
      </c>
      <c r="R353" s="1150" t="s">
        <v>662</v>
      </c>
      <c r="S353" s="1150" t="s">
        <v>819</v>
      </c>
      <c r="T353" s="1150" t="s">
        <v>667</v>
      </c>
      <c r="U353" s="1157">
        <v>131000</v>
      </c>
      <c r="V353" s="1150" t="s">
        <v>667</v>
      </c>
      <c r="W353" s="1157">
        <v>131000</v>
      </c>
      <c r="X353" s="1150" t="s">
        <v>618</v>
      </c>
      <c r="Y353" s="1158">
        <v>43733.690300925926</v>
      </c>
      <c r="Z353" s="1150" t="s">
        <v>618</v>
      </c>
      <c r="AA353" s="1158">
        <v>43897.45625</v>
      </c>
      <c r="AB353" s="1138">
        <f t="shared" si="5"/>
        <v>262000</v>
      </c>
    </row>
    <row r="354" ht="24" customHeight="1" spans="1:28" x14ac:dyDescent="0.25">
      <c r="A354" s="1159">
        <v>110623</v>
      </c>
      <c r="B354" s="1159" t="s">
        <v>1124</v>
      </c>
      <c r="C354" s="1159" t="s">
        <v>1128</v>
      </c>
      <c r="D354" s="1160">
        <v>43733</v>
      </c>
      <c r="E354" s="1161">
        <v>29960000</v>
      </c>
      <c r="F354" s="1159" t="s">
        <v>387</v>
      </c>
      <c r="G354" s="1162" t="s">
        <v>611</v>
      </c>
      <c r="H354" s="1163">
        <v>1598</v>
      </c>
      <c r="I354" s="1159" t="s">
        <v>612</v>
      </c>
      <c r="J354" s="1162" t="s">
        <v>14</v>
      </c>
      <c r="K354" s="1159" t="s">
        <v>18</v>
      </c>
      <c r="L354" s="1159" t="s">
        <v>1126</v>
      </c>
      <c r="M354" s="1162" t="s">
        <v>14</v>
      </c>
      <c r="N354" s="1162" t="s">
        <v>631</v>
      </c>
      <c r="O354" s="1164">
        <v>60</v>
      </c>
      <c r="P354" s="1164">
        <v>0</v>
      </c>
      <c r="Q354" s="1164">
        <v>5</v>
      </c>
      <c r="R354" s="1159" t="s">
        <v>662</v>
      </c>
      <c r="S354" s="1159" t="s">
        <v>819</v>
      </c>
      <c r="T354" s="1159" t="s">
        <v>667</v>
      </c>
      <c r="U354" s="1166">
        <v>131000</v>
      </c>
      <c r="V354" s="1159" t="s">
        <v>667</v>
      </c>
      <c r="W354" s="1166">
        <v>131000</v>
      </c>
      <c r="X354" s="1159" t="s">
        <v>618</v>
      </c>
      <c r="Y354" s="1167">
        <v>43733.71253472222</v>
      </c>
      <c r="Z354" s="1159" t="s">
        <v>618</v>
      </c>
      <c r="AA354" s="1167">
        <v>43897.456828703704</v>
      </c>
      <c r="AB354" s="1138">
        <f t="shared" si="5"/>
        <v>262000</v>
      </c>
    </row>
    <row r="355" ht="24" customHeight="1" spans="1:28" x14ac:dyDescent="0.25">
      <c r="A355" s="1150">
        <v>110624</v>
      </c>
      <c r="B355" s="1150" t="s">
        <v>1124</v>
      </c>
      <c r="C355" s="1150" t="s">
        <v>1129</v>
      </c>
      <c r="D355" s="1151">
        <v>43733</v>
      </c>
      <c r="E355" s="1152">
        <v>32870000</v>
      </c>
      <c r="F355" s="1150" t="s">
        <v>387</v>
      </c>
      <c r="G355" s="1153" t="s">
        <v>611</v>
      </c>
      <c r="H355" s="1154">
        <v>1598</v>
      </c>
      <c r="I355" s="1150" t="s">
        <v>612</v>
      </c>
      <c r="J355" s="1153" t="s">
        <v>14</v>
      </c>
      <c r="K355" s="1150" t="s">
        <v>18</v>
      </c>
      <c r="L355" s="1150" t="s">
        <v>1126</v>
      </c>
      <c r="M355" s="1153" t="s">
        <v>14</v>
      </c>
      <c r="N355" s="1153" t="s">
        <v>631</v>
      </c>
      <c r="O355" s="1155">
        <v>60</v>
      </c>
      <c r="P355" s="1155">
        <v>0</v>
      </c>
      <c r="Q355" s="1155">
        <v>5</v>
      </c>
      <c r="R355" s="1150" t="s">
        <v>662</v>
      </c>
      <c r="S355" s="1150" t="s">
        <v>819</v>
      </c>
      <c r="T355" s="1150" t="s">
        <v>663</v>
      </c>
      <c r="U355" s="1157">
        <v>174000</v>
      </c>
      <c r="V355" s="1150" t="s">
        <v>663</v>
      </c>
      <c r="W355" s="1157">
        <v>174000</v>
      </c>
      <c r="X355" s="1150" t="s">
        <v>618</v>
      </c>
      <c r="Y355" s="1158">
        <v>43733.71876157407</v>
      </c>
      <c r="Z355" s="1150" t="s">
        <v>618</v>
      </c>
      <c r="AA355" s="1158">
        <v>43897.45709490741</v>
      </c>
      <c r="AB355" s="1138">
        <f t="shared" si="5"/>
        <v>348000</v>
      </c>
    </row>
    <row r="356" ht="24" customHeight="1" spans="1:28" x14ac:dyDescent="0.25">
      <c r="A356" s="1159">
        <v>110622</v>
      </c>
      <c r="B356" s="1159" t="s">
        <v>1124</v>
      </c>
      <c r="C356" s="1159" t="s">
        <v>1130</v>
      </c>
      <c r="D356" s="1160">
        <v>43733</v>
      </c>
      <c r="E356" s="1161">
        <v>28050000</v>
      </c>
      <c r="F356" s="1159" t="s">
        <v>387</v>
      </c>
      <c r="G356" s="1162" t="s">
        <v>611</v>
      </c>
      <c r="H356" s="1163">
        <v>1598</v>
      </c>
      <c r="I356" s="1159" t="s">
        <v>612</v>
      </c>
      <c r="J356" s="1162" t="s">
        <v>14</v>
      </c>
      <c r="K356" s="1159" t="s">
        <v>18</v>
      </c>
      <c r="L356" s="1159" t="s">
        <v>1126</v>
      </c>
      <c r="M356" s="1162" t="s">
        <v>14</v>
      </c>
      <c r="N356" s="1162" t="s">
        <v>631</v>
      </c>
      <c r="O356" s="1164">
        <v>60</v>
      </c>
      <c r="P356" s="1164">
        <v>0</v>
      </c>
      <c r="Q356" s="1164">
        <v>5</v>
      </c>
      <c r="R356" s="1159" t="s">
        <v>662</v>
      </c>
      <c r="S356" s="1159" t="s">
        <v>819</v>
      </c>
      <c r="T356" s="1159" t="s">
        <v>667</v>
      </c>
      <c r="U356" s="1166">
        <v>131000</v>
      </c>
      <c r="V356" s="1159" t="s">
        <v>667</v>
      </c>
      <c r="W356" s="1166">
        <v>131000</v>
      </c>
      <c r="X356" s="1159" t="s">
        <v>618</v>
      </c>
      <c r="Y356" s="1167">
        <v>43733.706041666665</v>
      </c>
      <c r="Z356" s="1159" t="s">
        <v>618</v>
      </c>
      <c r="AA356" s="1167">
        <v>43897.45652777777</v>
      </c>
      <c r="AB356" s="1138">
        <f t="shared" si="5"/>
        <v>262000</v>
      </c>
    </row>
    <row r="357" ht="24" customHeight="1" spans="1:28" x14ac:dyDescent="0.25">
      <c r="A357" s="1150">
        <v>110239</v>
      </c>
      <c r="B357" s="1150" t="s">
        <v>1124</v>
      </c>
      <c r="C357" s="1150" t="s">
        <v>1131</v>
      </c>
      <c r="D357" s="1151">
        <v>43549</v>
      </c>
      <c r="E357" s="1152">
        <v>23500000</v>
      </c>
      <c r="F357" s="1150" t="s">
        <v>404</v>
      </c>
      <c r="G357" s="1153" t="s">
        <v>611</v>
      </c>
      <c r="H357" s="1154">
        <v>1999</v>
      </c>
      <c r="I357" s="1150" t="s">
        <v>612</v>
      </c>
      <c r="J357" s="1153" t="s">
        <v>14</v>
      </c>
      <c r="K357" s="1150" t="s">
        <v>18</v>
      </c>
      <c r="L357" s="1150" t="s">
        <v>1124</v>
      </c>
      <c r="M357" s="1153" t="s">
        <v>14</v>
      </c>
      <c r="N357" s="1153" t="s">
        <v>631</v>
      </c>
      <c r="O357" s="1155">
        <v>64</v>
      </c>
      <c r="P357" s="1155">
        <v>0</v>
      </c>
      <c r="Q357" s="1155">
        <v>5</v>
      </c>
      <c r="R357" s="1150" t="s">
        <v>710</v>
      </c>
      <c r="S357" s="1150" t="s">
        <v>819</v>
      </c>
      <c r="T357" s="1150" t="s">
        <v>678</v>
      </c>
      <c r="U357" s="1157">
        <v>114500</v>
      </c>
      <c r="V357" s="1150" t="s">
        <v>678</v>
      </c>
      <c r="W357" s="1157">
        <v>114500</v>
      </c>
      <c r="X357" s="1150" t="s">
        <v>664</v>
      </c>
      <c r="Y357" s="1158">
        <v>43549.488275462965</v>
      </c>
      <c r="Z357" s="1150" t="s">
        <v>618</v>
      </c>
      <c r="AA357" s="1158">
        <v>43673.02516203704</v>
      </c>
      <c r="AB357" s="1138">
        <f t="shared" si="5"/>
        <v>229000</v>
      </c>
    </row>
    <row r="358" ht="24" customHeight="1" spans="1:28" x14ac:dyDescent="0.25">
      <c r="A358" s="1159">
        <v>110238</v>
      </c>
      <c r="B358" s="1159" t="s">
        <v>1124</v>
      </c>
      <c r="C358" s="1159" t="s">
        <v>1132</v>
      </c>
      <c r="D358" s="1160">
        <v>43549</v>
      </c>
      <c r="E358" s="1161">
        <v>21400000</v>
      </c>
      <c r="F358" s="1159" t="s">
        <v>404</v>
      </c>
      <c r="G358" s="1162" t="s">
        <v>611</v>
      </c>
      <c r="H358" s="1163">
        <v>1999</v>
      </c>
      <c r="I358" s="1159" t="s">
        <v>612</v>
      </c>
      <c r="J358" s="1162" t="s">
        <v>14</v>
      </c>
      <c r="K358" s="1159" t="s">
        <v>18</v>
      </c>
      <c r="L358" s="1159" t="s">
        <v>1124</v>
      </c>
      <c r="M358" s="1162" t="s">
        <v>14</v>
      </c>
      <c r="N358" s="1162" t="s">
        <v>631</v>
      </c>
      <c r="O358" s="1164">
        <v>64</v>
      </c>
      <c r="P358" s="1164">
        <v>0</v>
      </c>
      <c r="Q358" s="1164">
        <v>5</v>
      </c>
      <c r="R358" s="1159" t="s">
        <v>710</v>
      </c>
      <c r="S358" s="1159" t="s">
        <v>819</v>
      </c>
      <c r="T358" s="1159" t="s">
        <v>678</v>
      </c>
      <c r="U358" s="1166">
        <v>114500</v>
      </c>
      <c r="V358" s="1159" t="s">
        <v>678</v>
      </c>
      <c r="W358" s="1166">
        <v>114500</v>
      </c>
      <c r="X358" s="1159" t="s">
        <v>664</v>
      </c>
      <c r="Y358" s="1167">
        <v>43549.48237268519</v>
      </c>
      <c r="Z358" s="1159" t="s">
        <v>618</v>
      </c>
      <c r="AA358" s="1167">
        <v>43673.02516203704</v>
      </c>
      <c r="AB358" s="1138">
        <f t="shared" si="5"/>
        <v>229000</v>
      </c>
    </row>
    <row r="359" ht="24" customHeight="1" spans="1:28" x14ac:dyDescent="0.25">
      <c r="A359" s="1150">
        <v>110243</v>
      </c>
      <c r="B359" s="1150" t="s">
        <v>1124</v>
      </c>
      <c r="C359" s="1150" t="s">
        <v>1133</v>
      </c>
      <c r="D359" s="1151">
        <v>43549</v>
      </c>
      <c r="E359" s="1152">
        <v>32070000</v>
      </c>
      <c r="F359" s="1150" t="s">
        <v>387</v>
      </c>
      <c r="G359" s="1153" t="s">
        <v>611</v>
      </c>
      <c r="H359" s="1154">
        <v>1999</v>
      </c>
      <c r="I359" s="1150" t="s">
        <v>612</v>
      </c>
      <c r="J359" s="1153" t="s">
        <v>14</v>
      </c>
      <c r="K359" s="1150" t="s">
        <v>18</v>
      </c>
      <c r="L359" s="1150" t="s">
        <v>1124</v>
      </c>
      <c r="M359" s="1153" t="s">
        <v>14</v>
      </c>
      <c r="N359" s="1153" t="s">
        <v>631</v>
      </c>
      <c r="O359" s="1155">
        <v>60</v>
      </c>
      <c r="P359" s="1155">
        <v>0</v>
      </c>
      <c r="Q359" s="1155">
        <v>5</v>
      </c>
      <c r="R359" s="1150" t="s">
        <v>662</v>
      </c>
      <c r="S359" s="1150" t="s">
        <v>819</v>
      </c>
      <c r="T359" s="1150" t="s">
        <v>663</v>
      </c>
      <c r="U359" s="1157">
        <v>174000</v>
      </c>
      <c r="V359" s="1150" t="s">
        <v>663</v>
      </c>
      <c r="W359" s="1157">
        <v>174000</v>
      </c>
      <c r="X359" s="1150" t="s">
        <v>664</v>
      </c>
      <c r="Y359" s="1158">
        <v>43549.509606481486</v>
      </c>
      <c r="Z359" s="1150" t="s">
        <v>618</v>
      </c>
      <c r="AA359" s="1158">
        <v>43897.46611111111</v>
      </c>
      <c r="AB359" s="1138">
        <f t="shared" si="5"/>
        <v>348000</v>
      </c>
    </row>
    <row r="360" ht="24" customHeight="1" spans="1:28" x14ac:dyDescent="0.25">
      <c r="A360" s="1159">
        <v>110240</v>
      </c>
      <c r="B360" s="1159" t="s">
        <v>1124</v>
      </c>
      <c r="C360" s="1159" t="s">
        <v>1134</v>
      </c>
      <c r="D360" s="1160">
        <v>43549</v>
      </c>
      <c r="E360" s="1161">
        <v>25270000</v>
      </c>
      <c r="F360" s="1159" t="s">
        <v>387</v>
      </c>
      <c r="G360" s="1162" t="s">
        <v>611</v>
      </c>
      <c r="H360" s="1163">
        <v>1999</v>
      </c>
      <c r="I360" s="1159" t="s">
        <v>612</v>
      </c>
      <c r="J360" s="1162" t="s">
        <v>14</v>
      </c>
      <c r="K360" s="1159" t="s">
        <v>18</v>
      </c>
      <c r="L360" s="1159" t="s">
        <v>1124</v>
      </c>
      <c r="M360" s="1162" t="s">
        <v>14</v>
      </c>
      <c r="N360" s="1162" t="s">
        <v>631</v>
      </c>
      <c r="O360" s="1164">
        <v>60</v>
      </c>
      <c r="P360" s="1164">
        <v>0</v>
      </c>
      <c r="Q360" s="1164">
        <v>5</v>
      </c>
      <c r="R360" s="1159" t="s">
        <v>662</v>
      </c>
      <c r="S360" s="1159" t="s">
        <v>819</v>
      </c>
      <c r="T360" s="1159" t="s">
        <v>678</v>
      </c>
      <c r="U360" s="1166">
        <v>114500</v>
      </c>
      <c r="V360" s="1159" t="s">
        <v>678</v>
      </c>
      <c r="W360" s="1166">
        <v>114500</v>
      </c>
      <c r="X360" s="1159" t="s">
        <v>664</v>
      </c>
      <c r="Y360" s="1167">
        <v>43549.49664351852</v>
      </c>
      <c r="Z360" s="1159" t="s">
        <v>618</v>
      </c>
      <c r="AA360" s="1167">
        <v>43897.4653587963</v>
      </c>
      <c r="AB360" s="1138">
        <f t="shared" si="5"/>
        <v>229000</v>
      </c>
    </row>
    <row r="361" ht="24" customHeight="1" spans="1:28" x14ac:dyDescent="0.25">
      <c r="A361" s="1150">
        <v>110241</v>
      </c>
      <c r="B361" s="1150" t="s">
        <v>1124</v>
      </c>
      <c r="C361" s="1150" t="s">
        <v>1135</v>
      </c>
      <c r="D361" s="1151">
        <v>43549</v>
      </c>
      <c r="E361" s="1152">
        <v>27280000</v>
      </c>
      <c r="F361" s="1150" t="s">
        <v>387</v>
      </c>
      <c r="G361" s="1153" t="s">
        <v>611</v>
      </c>
      <c r="H361" s="1154">
        <v>1999</v>
      </c>
      <c r="I361" s="1150" t="s">
        <v>612</v>
      </c>
      <c r="J361" s="1153" t="s">
        <v>14</v>
      </c>
      <c r="K361" s="1150" t="s">
        <v>18</v>
      </c>
      <c r="L361" s="1150" t="s">
        <v>1124</v>
      </c>
      <c r="M361" s="1153" t="s">
        <v>14</v>
      </c>
      <c r="N361" s="1153" t="s">
        <v>631</v>
      </c>
      <c r="O361" s="1155">
        <v>60</v>
      </c>
      <c r="P361" s="1155">
        <v>0</v>
      </c>
      <c r="Q361" s="1155">
        <v>5</v>
      </c>
      <c r="R361" s="1150" t="s">
        <v>662</v>
      </c>
      <c r="S361" s="1150" t="s">
        <v>819</v>
      </c>
      <c r="T361" s="1150" t="s">
        <v>667</v>
      </c>
      <c r="U361" s="1157">
        <v>131000</v>
      </c>
      <c r="V361" s="1150" t="s">
        <v>667</v>
      </c>
      <c r="W361" s="1157">
        <v>131000</v>
      </c>
      <c r="X361" s="1150" t="s">
        <v>664</v>
      </c>
      <c r="Y361" s="1158">
        <v>43549.50188657407</v>
      </c>
      <c r="Z361" s="1150" t="s">
        <v>618</v>
      </c>
      <c r="AA361" s="1158">
        <v>43897.46577546296</v>
      </c>
      <c r="AB361" s="1138">
        <f t="shared" si="5"/>
        <v>262000</v>
      </c>
    </row>
    <row r="362" ht="24" customHeight="1" spans="1:28" x14ac:dyDescent="0.25">
      <c r="A362" s="1159">
        <v>110242</v>
      </c>
      <c r="B362" s="1159" t="s">
        <v>1124</v>
      </c>
      <c r="C362" s="1159" t="s">
        <v>1136</v>
      </c>
      <c r="D362" s="1160">
        <v>43549</v>
      </c>
      <c r="E362" s="1161">
        <v>29200000</v>
      </c>
      <c r="F362" s="1159" t="s">
        <v>387</v>
      </c>
      <c r="G362" s="1162" t="s">
        <v>611</v>
      </c>
      <c r="H362" s="1163">
        <v>1999</v>
      </c>
      <c r="I362" s="1159" t="s">
        <v>612</v>
      </c>
      <c r="J362" s="1162" t="s">
        <v>14</v>
      </c>
      <c r="K362" s="1159" t="s">
        <v>18</v>
      </c>
      <c r="L362" s="1159" t="s">
        <v>1124</v>
      </c>
      <c r="M362" s="1162" t="s">
        <v>14</v>
      </c>
      <c r="N362" s="1162" t="s">
        <v>631</v>
      </c>
      <c r="O362" s="1164">
        <v>60</v>
      </c>
      <c r="P362" s="1164">
        <v>0</v>
      </c>
      <c r="Q362" s="1164">
        <v>5</v>
      </c>
      <c r="R362" s="1159" t="s">
        <v>662</v>
      </c>
      <c r="S362" s="1159" t="s">
        <v>819</v>
      </c>
      <c r="T362" s="1159" t="s">
        <v>667</v>
      </c>
      <c r="U362" s="1166">
        <v>131000</v>
      </c>
      <c r="V362" s="1159" t="s">
        <v>667</v>
      </c>
      <c r="W362" s="1166">
        <v>131000</v>
      </c>
      <c r="X362" s="1159" t="s">
        <v>664</v>
      </c>
      <c r="Y362" s="1167">
        <v>43549.506527777776</v>
      </c>
      <c r="Z362" s="1159" t="s">
        <v>618</v>
      </c>
      <c r="AA362" s="1167">
        <v>43897.46587962963</v>
      </c>
      <c r="AB362" s="1138">
        <f t="shared" si="5"/>
        <v>262000</v>
      </c>
    </row>
    <row r="363" spans="1:28" x14ac:dyDescent="0.25">
      <c r="A363" s="1150">
        <v>110235</v>
      </c>
      <c r="B363" s="1150" t="s">
        <v>1124</v>
      </c>
      <c r="C363" s="1150" t="s">
        <v>1137</v>
      </c>
      <c r="D363" s="1151">
        <v>43549</v>
      </c>
      <c r="E363" s="1152">
        <v>22880000</v>
      </c>
      <c r="F363" s="1150" t="s">
        <v>387</v>
      </c>
      <c r="G363" s="1153" t="s">
        <v>611</v>
      </c>
      <c r="H363" s="1154">
        <v>1999</v>
      </c>
      <c r="I363" s="1150" t="s">
        <v>612</v>
      </c>
      <c r="J363" s="1153" t="s">
        <v>14</v>
      </c>
      <c r="K363" s="1150" t="s">
        <v>18</v>
      </c>
      <c r="L363" s="1150" t="s">
        <v>1124</v>
      </c>
      <c r="M363" s="1153" t="s">
        <v>14</v>
      </c>
      <c r="N363" s="1153" t="s">
        <v>631</v>
      </c>
      <c r="O363" s="1155">
        <v>60</v>
      </c>
      <c r="P363" s="1155">
        <v>0</v>
      </c>
      <c r="Q363" s="1155">
        <v>5</v>
      </c>
      <c r="R363" s="1150" t="s">
        <v>662</v>
      </c>
      <c r="S363" s="1150" t="s">
        <v>819</v>
      </c>
      <c r="T363" s="1150" t="s">
        <v>678</v>
      </c>
      <c r="U363" s="1157">
        <v>114500</v>
      </c>
      <c r="V363" s="1150" t="s">
        <v>678</v>
      </c>
      <c r="W363" s="1157">
        <v>114500</v>
      </c>
      <c r="X363" s="1150" t="s">
        <v>664</v>
      </c>
      <c r="Y363" s="1158">
        <v>43549.47077546296</v>
      </c>
      <c r="Z363" s="1150" t="s">
        <v>618</v>
      </c>
      <c r="AA363" s="1158">
        <v>43897.4640625</v>
      </c>
      <c r="AB363" s="1138">
        <f t="shared" si="5"/>
        <v>229000</v>
      </c>
    </row>
    <row r="364" ht="24" customHeight="1" spans="1:28" x14ac:dyDescent="0.25">
      <c r="A364" s="1159">
        <v>110429</v>
      </c>
      <c r="B364" s="1159" t="s">
        <v>1124</v>
      </c>
      <c r="C364" s="1159" t="s">
        <v>1138</v>
      </c>
      <c r="D364" s="1160">
        <v>43672</v>
      </c>
      <c r="E364" s="1161">
        <v>28077030</v>
      </c>
      <c r="F364" s="1159" t="s">
        <v>681</v>
      </c>
      <c r="G364" s="1162" t="s">
        <v>611</v>
      </c>
      <c r="H364" s="1163">
        <v>1999</v>
      </c>
      <c r="I364" s="1159" t="s">
        <v>629</v>
      </c>
      <c r="J364" s="1162" t="s">
        <v>14</v>
      </c>
      <c r="K364" s="1159" t="s">
        <v>18</v>
      </c>
      <c r="L364" s="1159" t="s">
        <v>1124</v>
      </c>
      <c r="M364" s="1162" t="s">
        <v>14</v>
      </c>
      <c r="N364" s="1162" t="s">
        <v>682</v>
      </c>
      <c r="O364" s="1164">
        <v>65</v>
      </c>
      <c r="P364" s="1165"/>
      <c r="Q364" s="1164">
        <v>5</v>
      </c>
      <c r="R364" s="1159" t="s">
        <v>842</v>
      </c>
      <c r="S364" s="1159" t="s">
        <v>819</v>
      </c>
      <c r="T364" s="1159" t="s">
        <v>678</v>
      </c>
      <c r="U364" s="1166">
        <v>114500</v>
      </c>
      <c r="V364" s="1159" t="s">
        <v>678</v>
      </c>
      <c r="W364" s="1166">
        <v>114500</v>
      </c>
      <c r="X364" s="1159" t="s">
        <v>618</v>
      </c>
      <c r="Y364" s="1167">
        <v>43672.96859953704</v>
      </c>
      <c r="Z364" s="1159" t="s">
        <v>618</v>
      </c>
      <c r="AA364" s="1167">
        <v>43897.47126157407</v>
      </c>
      <c r="AB364" s="1138">
        <f t="shared" si="5"/>
        <v>229000</v>
      </c>
    </row>
    <row r="365" ht="24" customHeight="1" spans="1:28" x14ac:dyDescent="0.25">
      <c r="A365" s="1150">
        <v>110430</v>
      </c>
      <c r="B365" s="1150" t="s">
        <v>1124</v>
      </c>
      <c r="C365" s="1150" t="s">
        <v>1139</v>
      </c>
      <c r="D365" s="1151">
        <v>43672</v>
      </c>
      <c r="E365" s="1152">
        <v>36487904</v>
      </c>
      <c r="F365" s="1150" t="s">
        <v>681</v>
      </c>
      <c r="G365" s="1153" t="s">
        <v>611</v>
      </c>
      <c r="H365" s="1154">
        <v>1999</v>
      </c>
      <c r="I365" s="1150" t="s">
        <v>629</v>
      </c>
      <c r="J365" s="1153" t="s">
        <v>14</v>
      </c>
      <c r="K365" s="1150" t="s">
        <v>18</v>
      </c>
      <c r="L365" s="1150" t="s">
        <v>1124</v>
      </c>
      <c r="M365" s="1153" t="s">
        <v>14</v>
      </c>
      <c r="N365" s="1153" t="s">
        <v>682</v>
      </c>
      <c r="O365" s="1155">
        <v>65</v>
      </c>
      <c r="P365" s="1156"/>
      <c r="Q365" s="1155">
        <v>5</v>
      </c>
      <c r="R365" s="1150" t="s">
        <v>842</v>
      </c>
      <c r="S365" s="1150" t="s">
        <v>819</v>
      </c>
      <c r="T365" s="1150" t="s">
        <v>667</v>
      </c>
      <c r="U365" s="1157">
        <v>131000</v>
      </c>
      <c r="V365" s="1150" t="s">
        <v>667</v>
      </c>
      <c r="W365" s="1157">
        <v>131000</v>
      </c>
      <c r="X365" s="1150" t="s">
        <v>618</v>
      </c>
      <c r="Y365" s="1158">
        <v>43672.97297453704</v>
      </c>
      <c r="Z365" s="1150" t="s">
        <v>618</v>
      </c>
      <c r="AA365" s="1158">
        <v>43897.47210648148</v>
      </c>
      <c r="AB365" s="1138">
        <f t="shared" si="5"/>
        <v>262000</v>
      </c>
    </row>
    <row r="366" ht="24" customHeight="1" spans="1:28" x14ac:dyDescent="0.25">
      <c r="A366" s="1159">
        <v>110428</v>
      </c>
      <c r="B366" s="1159" t="s">
        <v>1124</v>
      </c>
      <c r="C366" s="1159" t="s">
        <v>1140</v>
      </c>
      <c r="D366" s="1160">
        <v>43672</v>
      </c>
      <c r="E366" s="1161">
        <v>30187396</v>
      </c>
      <c r="F366" s="1159" t="s">
        <v>681</v>
      </c>
      <c r="G366" s="1162" t="s">
        <v>611</v>
      </c>
      <c r="H366" s="1163">
        <v>1999</v>
      </c>
      <c r="I366" s="1159" t="s">
        <v>629</v>
      </c>
      <c r="J366" s="1162" t="s">
        <v>14</v>
      </c>
      <c r="K366" s="1159" t="s">
        <v>18</v>
      </c>
      <c r="L366" s="1159" t="s">
        <v>1124</v>
      </c>
      <c r="M366" s="1162" t="s">
        <v>14</v>
      </c>
      <c r="N366" s="1162" t="s">
        <v>682</v>
      </c>
      <c r="O366" s="1164">
        <v>65</v>
      </c>
      <c r="P366" s="1165"/>
      <c r="Q366" s="1164">
        <v>5</v>
      </c>
      <c r="R366" s="1159" t="s">
        <v>842</v>
      </c>
      <c r="S366" s="1159" t="s">
        <v>819</v>
      </c>
      <c r="T366" s="1159" t="s">
        <v>678</v>
      </c>
      <c r="U366" s="1166">
        <v>114500</v>
      </c>
      <c r="V366" s="1159" t="s">
        <v>678</v>
      </c>
      <c r="W366" s="1166">
        <v>114500</v>
      </c>
      <c r="X366" s="1159" t="s">
        <v>618</v>
      </c>
      <c r="Y366" s="1167">
        <v>43672.95408564815</v>
      </c>
      <c r="Z366" s="1159" t="s">
        <v>618</v>
      </c>
      <c r="AA366" s="1167">
        <v>43897.47149305556</v>
      </c>
      <c r="AB366" s="1138">
        <f t="shared" si="5"/>
        <v>229000</v>
      </c>
    </row>
    <row r="367" ht="24" customHeight="1" spans="1:28" x14ac:dyDescent="0.25">
      <c r="A367" s="1150">
        <v>110378</v>
      </c>
      <c r="B367" s="1150" t="s">
        <v>1124</v>
      </c>
      <c r="C367" s="1150" t="s">
        <v>1141</v>
      </c>
      <c r="D367" s="1151">
        <v>43668</v>
      </c>
      <c r="E367" s="1152">
        <v>33867792</v>
      </c>
      <c r="F367" s="1150" t="s">
        <v>681</v>
      </c>
      <c r="G367" s="1153" t="s">
        <v>611</v>
      </c>
      <c r="H367" s="1154">
        <v>1999</v>
      </c>
      <c r="I367" s="1150" t="s">
        <v>629</v>
      </c>
      <c r="J367" s="1153" t="s">
        <v>14</v>
      </c>
      <c r="K367" s="1150" t="s">
        <v>18</v>
      </c>
      <c r="L367" s="1150" t="s">
        <v>1124</v>
      </c>
      <c r="M367" s="1153" t="s">
        <v>14</v>
      </c>
      <c r="N367" s="1153" t="s">
        <v>682</v>
      </c>
      <c r="O367" s="1155">
        <v>65</v>
      </c>
      <c r="P367" s="1156"/>
      <c r="Q367" s="1155">
        <v>5</v>
      </c>
      <c r="R367" s="1150" t="s">
        <v>842</v>
      </c>
      <c r="S367" s="1150" t="s">
        <v>819</v>
      </c>
      <c r="T367" s="1150" t="s">
        <v>667</v>
      </c>
      <c r="U367" s="1157">
        <v>131000</v>
      </c>
      <c r="V367" s="1150" t="s">
        <v>667</v>
      </c>
      <c r="W367" s="1157">
        <v>131000</v>
      </c>
      <c r="X367" s="1150" t="s">
        <v>767</v>
      </c>
      <c r="Y367" s="1158">
        <v>43668.465266203704</v>
      </c>
      <c r="Z367" s="1150" t="s">
        <v>618</v>
      </c>
      <c r="AA367" s="1158">
        <v>43897.47189814815</v>
      </c>
      <c r="AB367" s="1138">
        <f t="shared" si="5"/>
        <v>262000</v>
      </c>
    </row>
    <row r="368" ht="24" customHeight="1" spans="1:28" x14ac:dyDescent="0.25">
      <c r="A368" s="1159">
        <v>110427</v>
      </c>
      <c r="B368" s="1159" t="s">
        <v>1124</v>
      </c>
      <c r="C368" s="1159" t="s">
        <v>1142</v>
      </c>
      <c r="D368" s="1160">
        <v>43672</v>
      </c>
      <c r="E368" s="1161">
        <v>31910348</v>
      </c>
      <c r="F368" s="1159" t="s">
        <v>681</v>
      </c>
      <c r="G368" s="1162" t="s">
        <v>611</v>
      </c>
      <c r="H368" s="1163">
        <v>1999</v>
      </c>
      <c r="I368" s="1159" t="s">
        <v>629</v>
      </c>
      <c r="J368" s="1162" t="s">
        <v>14</v>
      </c>
      <c r="K368" s="1159" t="s">
        <v>18</v>
      </c>
      <c r="L368" s="1159" t="s">
        <v>1124</v>
      </c>
      <c r="M368" s="1162" t="s">
        <v>14</v>
      </c>
      <c r="N368" s="1162" t="s">
        <v>682</v>
      </c>
      <c r="O368" s="1164">
        <v>65</v>
      </c>
      <c r="P368" s="1165"/>
      <c r="Q368" s="1164">
        <v>5</v>
      </c>
      <c r="R368" s="1159" t="s">
        <v>842</v>
      </c>
      <c r="S368" s="1159" t="s">
        <v>819</v>
      </c>
      <c r="T368" s="1159" t="s">
        <v>667</v>
      </c>
      <c r="U368" s="1166">
        <v>131000</v>
      </c>
      <c r="V368" s="1159" t="s">
        <v>667</v>
      </c>
      <c r="W368" s="1166">
        <v>131000</v>
      </c>
      <c r="X368" s="1159" t="s">
        <v>618</v>
      </c>
      <c r="Y368" s="1167">
        <v>43672.94042824074</v>
      </c>
      <c r="Z368" s="1159" t="s">
        <v>618</v>
      </c>
      <c r="AA368" s="1167">
        <v>43897.47170138889</v>
      </c>
      <c r="AB368" s="1138">
        <f t="shared" si="5"/>
        <v>262000</v>
      </c>
    </row>
    <row r="369" ht="24" customHeight="1" spans="1:28" x14ac:dyDescent="0.25">
      <c r="A369" s="1150">
        <v>111104</v>
      </c>
      <c r="B369" s="1150" t="s">
        <v>1143</v>
      </c>
      <c r="C369" s="1150" t="s">
        <v>1144</v>
      </c>
      <c r="D369" s="1151">
        <v>43907</v>
      </c>
      <c r="E369" s="1152">
        <v>35270000</v>
      </c>
      <c r="F369" s="1150" t="s">
        <v>610</v>
      </c>
      <c r="G369" s="1153" t="s">
        <v>611</v>
      </c>
      <c r="H369" s="1154">
        <v>2151</v>
      </c>
      <c r="I369" s="1150" t="s">
        <v>612</v>
      </c>
      <c r="J369" s="1153" t="s">
        <v>14</v>
      </c>
      <c r="K369" s="1150" t="s">
        <v>76</v>
      </c>
      <c r="L369" s="1150" t="s">
        <v>1145</v>
      </c>
      <c r="M369" s="1153" t="s">
        <v>14</v>
      </c>
      <c r="N369" s="1153" t="s">
        <v>738</v>
      </c>
      <c r="O369" s="1155">
        <v>71</v>
      </c>
      <c r="P369" s="1156"/>
      <c r="Q369" s="1155">
        <v>5</v>
      </c>
      <c r="R369" s="1150" t="s">
        <v>842</v>
      </c>
      <c r="S369" s="1150" t="s">
        <v>648</v>
      </c>
      <c r="T369" s="1150" t="s">
        <v>1076</v>
      </c>
      <c r="U369" s="1157">
        <v>176200</v>
      </c>
      <c r="V369" s="1150" t="s">
        <v>1076</v>
      </c>
      <c r="W369" s="1157">
        <v>176200</v>
      </c>
      <c r="X369" s="1150" t="s">
        <v>618</v>
      </c>
      <c r="Y369" s="1158">
        <v>43914.05927083333</v>
      </c>
      <c r="Z369" s="1150" t="s">
        <v>618</v>
      </c>
      <c r="AA369" s="1158">
        <v>43914.05927083333</v>
      </c>
      <c r="AB369" s="1138">
        <f t="shared" si="5"/>
        <v>352400</v>
      </c>
    </row>
    <row r="370" ht="24" customHeight="1" spans="1:28" x14ac:dyDescent="0.25">
      <c r="A370" s="1159">
        <v>111106</v>
      </c>
      <c r="B370" s="1159" t="s">
        <v>1143</v>
      </c>
      <c r="C370" s="1159" t="s">
        <v>1146</v>
      </c>
      <c r="D370" s="1160">
        <v>43907</v>
      </c>
      <c r="E370" s="1161">
        <v>36470000</v>
      </c>
      <c r="F370" s="1159" t="s">
        <v>610</v>
      </c>
      <c r="G370" s="1162" t="s">
        <v>611</v>
      </c>
      <c r="H370" s="1163">
        <v>2151</v>
      </c>
      <c r="I370" s="1159" t="s">
        <v>612</v>
      </c>
      <c r="J370" s="1162" t="s">
        <v>14</v>
      </c>
      <c r="K370" s="1159" t="s">
        <v>76</v>
      </c>
      <c r="L370" s="1159" t="s">
        <v>1145</v>
      </c>
      <c r="M370" s="1162" t="s">
        <v>14</v>
      </c>
      <c r="N370" s="1162" t="s">
        <v>738</v>
      </c>
      <c r="O370" s="1164">
        <v>71</v>
      </c>
      <c r="P370" s="1165"/>
      <c r="Q370" s="1164">
        <v>6</v>
      </c>
      <c r="R370" s="1159" t="s">
        <v>842</v>
      </c>
      <c r="S370" s="1159" t="s">
        <v>648</v>
      </c>
      <c r="T370" s="1159" t="s">
        <v>1076</v>
      </c>
      <c r="U370" s="1166">
        <v>176200</v>
      </c>
      <c r="V370" s="1159" t="s">
        <v>1076</v>
      </c>
      <c r="W370" s="1166">
        <v>176200</v>
      </c>
      <c r="X370" s="1159" t="s">
        <v>618</v>
      </c>
      <c r="Y370" s="1167">
        <v>43914.06443287037</v>
      </c>
      <c r="Z370" s="1159" t="s">
        <v>618</v>
      </c>
      <c r="AA370" s="1167">
        <v>43914.081041666665</v>
      </c>
      <c r="AB370" s="1138">
        <f t="shared" si="5"/>
        <v>352400</v>
      </c>
    </row>
    <row r="371" ht="24" customHeight="1" spans="1:28" x14ac:dyDescent="0.25">
      <c r="A371" s="1150">
        <v>111105</v>
      </c>
      <c r="B371" s="1150" t="s">
        <v>1143</v>
      </c>
      <c r="C371" s="1150" t="s">
        <v>1147</v>
      </c>
      <c r="D371" s="1151">
        <v>43907</v>
      </c>
      <c r="E371" s="1152">
        <v>35970000</v>
      </c>
      <c r="F371" s="1150" t="s">
        <v>610</v>
      </c>
      <c r="G371" s="1153" t="s">
        <v>611</v>
      </c>
      <c r="H371" s="1154">
        <v>2151</v>
      </c>
      <c r="I371" s="1150" t="s">
        <v>612</v>
      </c>
      <c r="J371" s="1153" t="s">
        <v>14</v>
      </c>
      <c r="K371" s="1150" t="s">
        <v>76</v>
      </c>
      <c r="L371" s="1150" t="s">
        <v>1145</v>
      </c>
      <c r="M371" s="1153" t="s">
        <v>14</v>
      </c>
      <c r="N371" s="1153" t="s">
        <v>738</v>
      </c>
      <c r="O371" s="1155">
        <v>71</v>
      </c>
      <c r="P371" s="1156"/>
      <c r="Q371" s="1155">
        <v>7</v>
      </c>
      <c r="R371" s="1150" t="s">
        <v>842</v>
      </c>
      <c r="S371" s="1150" t="s">
        <v>648</v>
      </c>
      <c r="T371" s="1150" t="s">
        <v>1076</v>
      </c>
      <c r="U371" s="1157">
        <v>176200</v>
      </c>
      <c r="V371" s="1150" t="s">
        <v>1076</v>
      </c>
      <c r="W371" s="1157">
        <v>176200</v>
      </c>
      <c r="X371" s="1150" t="s">
        <v>618</v>
      </c>
      <c r="Y371" s="1158">
        <v>43914.0640162037</v>
      </c>
      <c r="Z371" s="1150" t="s">
        <v>618</v>
      </c>
      <c r="AA371" s="1158">
        <v>43914.06443287037</v>
      </c>
      <c r="AB371" s="1138">
        <f t="shared" si="5"/>
        <v>352400</v>
      </c>
    </row>
    <row r="372" ht="24" customHeight="1" spans="1:28" x14ac:dyDescent="0.25">
      <c r="A372" s="1159">
        <v>111107</v>
      </c>
      <c r="B372" s="1159" t="s">
        <v>1143</v>
      </c>
      <c r="C372" s="1159" t="s">
        <v>1148</v>
      </c>
      <c r="D372" s="1160">
        <v>43907</v>
      </c>
      <c r="E372" s="1161">
        <v>37570000</v>
      </c>
      <c r="F372" s="1159" t="s">
        <v>610</v>
      </c>
      <c r="G372" s="1162" t="s">
        <v>611</v>
      </c>
      <c r="H372" s="1163">
        <v>2151</v>
      </c>
      <c r="I372" s="1159" t="s">
        <v>612</v>
      </c>
      <c r="J372" s="1162" t="s">
        <v>14</v>
      </c>
      <c r="K372" s="1159" t="s">
        <v>76</v>
      </c>
      <c r="L372" s="1159" t="s">
        <v>1145</v>
      </c>
      <c r="M372" s="1162" t="s">
        <v>14</v>
      </c>
      <c r="N372" s="1162" t="s">
        <v>738</v>
      </c>
      <c r="O372" s="1164">
        <v>71</v>
      </c>
      <c r="P372" s="1165"/>
      <c r="Q372" s="1164">
        <v>5</v>
      </c>
      <c r="R372" s="1159" t="s">
        <v>842</v>
      </c>
      <c r="S372" s="1159" t="s">
        <v>648</v>
      </c>
      <c r="T372" s="1159" t="s">
        <v>1076</v>
      </c>
      <c r="U372" s="1166">
        <v>176200</v>
      </c>
      <c r="V372" s="1159" t="s">
        <v>1076</v>
      </c>
      <c r="W372" s="1166">
        <v>176200</v>
      </c>
      <c r="X372" s="1159" t="s">
        <v>618</v>
      </c>
      <c r="Y372" s="1167">
        <v>43914.06488425926</v>
      </c>
      <c r="Z372" s="1159" t="s">
        <v>618</v>
      </c>
      <c r="AA372" s="1167">
        <v>43914.06534722222</v>
      </c>
      <c r="AB372" s="1138">
        <f t="shared" si="5"/>
        <v>352400</v>
      </c>
    </row>
    <row r="373" ht="24" customHeight="1" spans="1:28" x14ac:dyDescent="0.25">
      <c r="A373" s="1150">
        <v>111109</v>
      </c>
      <c r="B373" s="1150" t="s">
        <v>1143</v>
      </c>
      <c r="C373" s="1150" t="s">
        <v>1149</v>
      </c>
      <c r="D373" s="1151">
        <v>43907</v>
      </c>
      <c r="E373" s="1152">
        <v>38770000</v>
      </c>
      <c r="F373" s="1150" t="s">
        <v>610</v>
      </c>
      <c r="G373" s="1153" t="s">
        <v>611</v>
      </c>
      <c r="H373" s="1154">
        <v>2151</v>
      </c>
      <c r="I373" s="1150" t="s">
        <v>612</v>
      </c>
      <c r="J373" s="1153" t="s">
        <v>14</v>
      </c>
      <c r="K373" s="1150" t="s">
        <v>76</v>
      </c>
      <c r="L373" s="1150" t="s">
        <v>1145</v>
      </c>
      <c r="M373" s="1153" t="s">
        <v>14</v>
      </c>
      <c r="N373" s="1153" t="s">
        <v>738</v>
      </c>
      <c r="O373" s="1155">
        <v>71</v>
      </c>
      <c r="P373" s="1156"/>
      <c r="Q373" s="1155">
        <v>6</v>
      </c>
      <c r="R373" s="1150" t="s">
        <v>842</v>
      </c>
      <c r="S373" s="1150" t="s">
        <v>648</v>
      </c>
      <c r="T373" s="1150" t="s">
        <v>1076</v>
      </c>
      <c r="U373" s="1157">
        <v>176200</v>
      </c>
      <c r="V373" s="1150" t="s">
        <v>1076</v>
      </c>
      <c r="W373" s="1157">
        <v>176200</v>
      </c>
      <c r="X373" s="1150" t="s">
        <v>618</v>
      </c>
      <c r="Y373" s="1158">
        <v>43914.06581018519</v>
      </c>
      <c r="Z373" s="1150" t="s">
        <v>618</v>
      </c>
      <c r="AA373" s="1158">
        <v>43914.08135416667</v>
      </c>
      <c r="AB373" s="1138">
        <f t="shared" si="5"/>
        <v>352400</v>
      </c>
    </row>
    <row r="374" ht="24" customHeight="1" spans="1:28" x14ac:dyDescent="0.25">
      <c r="A374" s="1159">
        <v>111108</v>
      </c>
      <c r="B374" s="1159" t="s">
        <v>1143</v>
      </c>
      <c r="C374" s="1159" t="s">
        <v>1150</v>
      </c>
      <c r="D374" s="1160">
        <v>43907</v>
      </c>
      <c r="E374" s="1161">
        <v>38270000</v>
      </c>
      <c r="F374" s="1159" t="s">
        <v>610</v>
      </c>
      <c r="G374" s="1162" t="s">
        <v>611</v>
      </c>
      <c r="H374" s="1163">
        <v>2151</v>
      </c>
      <c r="I374" s="1159" t="s">
        <v>612</v>
      </c>
      <c r="J374" s="1162" t="s">
        <v>14</v>
      </c>
      <c r="K374" s="1159" t="s">
        <v>76</v>
      </c>
      <c r="L374" s="1159" t="s">
        <v>1145</v>
      </c>
      <c r="M374" s="1162" t="s">
        <v>14</v>
      </c>
      <c r="N374" s="1162" t="s">
        <v>738</v>
      </c>
      <c r="O374" s="1164">
        <v>71</v>
      </c>
      <c r="P374" s="1165"/>
      <c r="Q374" s="1164">
        <v>7</v>
      </c>
      <c r="R374" s="1159" t="s">
        <v>842</v>
      </c>
      <c r="S374" s="1159" t="s">
        <v>648</v>
      </c>
      <c r="T374" s="1159" t="s">
        <v>1076</v>
      </c>
      <c r="U374" s="1166">
        <v>176200</v>
      </c>
      <c r="V374" s="1159" t="s">
        <v>1076</v>
      </c>
      <c r="W374" s="1166">
        <v>176200</v>
      </c>
      <c r="X374" s="1159" t="s">
        <v>618</v>
      </c>
      <c r="Y374" s="1167">
        <v>43914.06534722222</v>
      </c>
      <c r="Z374" s="1159" t="s">
        <v>618</v>
      </c>
      <c r="AA374" s="1167">
        <v>43914.06581018519</v>
      </c>
      <c r="AB374" s="1138">
        <f t="shared" si="5"/>
        <v>352400</v>
      </c>
    </row>
    <row r="375" ht="24" customHeight="1" spans="1:28" x14ac:dyDescent="0.25">
      <c r="A375" s="1150">
        <v>111110</v>
      </c>
      <c r="B375" s="1150" t="s">
        <v>1143</v>
      </c>
      <c r="C375" s="1150" t="s">
        <v>1151</v>
      </c>
      <c r="D375" s="1151">
        <v>43907</v>
      </c>
      <c r="E375" s="1152">
        <v>38170000</v>
      </c>
      <c r="F375" s="1150" t="s">
        <v>610</v>
      </c>
      <c r="G375" s="1153" t="s">
        <v>611</v>
      </c>
      <c r="H375" s="1154">
        <v>2151</v>
      </c>
      <c r="I375" s="1150" t="s">
        <v>612</v>
      </c>
      <c r="J375" s="1153" t="s">
        <v>14</v>
      </c>
      <c r="K375" s="1150" t="s">
        <v>76</v>
      </c>
      <c r="L375" s="1150" t="s">
        <v>1145</v>
      </c>
      <c r="M375" s="1153" t="s">
        <v>14</v>
      </c>
      <c r="N375" s="1153" t="s">
        <v>738</v>
      </c>
      <c r="O375" s="1155">
        <v>71</v>
      </c>
      <c r="P375" s="1156"/>
      <c r="Q375" s="1155">
        <v>5</v>
      </c>
      <c r="R375" s="1150" t="s">
        <v>842</v>
      </c>
      <c r="S375" s="1150" t="s">
        <v>648</v>
      </c>
      <c r="T375" s="1150" t="s">
        <v>1076</v>
      </c>
      <c r="U375" s="1157">
        <v>176200</v>
      </c>
      <c r="V375" s="1150" t="s">
        <v>1076</v>
      </c>
      <c r="W375" s="1157">
        <v>176200</v>
      </c>
      <c r="X375" s="1150" t="s">
        <v>618</v>
      </c>
      <c r="Y375" s="1158">
        <v>43914.07372685186</v>
      </c>
      <c r="Z375" s="1150" t="s">
        <v>618</v>
      </c>
      <c r="AA375" s="1158">
        <v>43914.07739583333</v>
      </c>
      <c r="AB375" s="1138">
        <f t="shared" si="5"/>
        <v>352400</v>
      </c>
    </row>
    <row r="376" ht="24" customHeight="1" spans="1:28" x14ac:dyDescent="0.25">
      <c r="A376" s="1159">
        <v>111112</v>
      </c>
      <c r="B376" s="1159" t="s">
        <v>1143</v>
      </c>
      <c r="C376" s="1159" t="s">
        <v>1152</v>
      </c>
      <c r="D376" s="1160">
        <v>43907</v>
      </c>
      <c r="E376" s="1161">
        <v>38970000</v>
      </c>
      <c r="F376" s="1159" t="s">
        <v>610</v>
      </c>
      <c r="G376" s="1162" t="s">
        <v>611</v>
      </c>
      <c r="H376" s="1163">
        <v>2151</v>
      </c>
      <c r="I376" s="1159" t="s">
        <v>612</v>
      </c>
      <c r="J376" s="1162" t="s">
        <v>14</v>
      </c>
      <c r="K376" s="1159" t="s">
        <v>76</v>
      </c>
      <c r="L376" s="1159" t="s">
        <v>1145</v>
      </c>
      <c r="M376" s="1162" t="s">
        <v>14</v>
      </c>
      <c r="N376" s="1162" t="s">
        <v>738</v>
      </c>
      <c r="O376" s="1164">
        <v>71</v>
      </c>
      <c r="P376" s="1165"/>
      <c r="Q376" s="1164">
        <v>6</v>
      </c>
      <c r="R376" s="1159" t="s">
        <v>842</v>
      </c>
      <c r="S376" s="1159" t="s">
        <v>648</v>
      </c>
      <c r="T376" s="1159" t="s">
        <v>1076</v>
      </c>
      <c r="U376" s="1166">
        <v>176200</v>
      </c>
      <c r="V376" s="1159" t="s">
        <v>1076</v>
      </c>
      <c r="W376" s="1166">
        <v>176200</v>
      </c>
      <c r="X376" s="1159" t="s">
        <v>618</v>
      </c>
      <c r="Y376" s="1167">
        <v>43914.07806712963</v>
      </c>
      <c r="Z376" s="1159" t="s">
        <v>618</v>
      </c>
      <c r="AA376" s="1167">
        <v>43914.07871527778</v>
      </c>
      <c r="AB376" s="1138">
        <f t="shared" si="5"/>
        <v>352400</v>
      </c>
    </row>
    <row r="377" ht="24" customHeight="1" spans="1:28" x14ac:dyDescent="0.25">
      <c r="A377" s="1150">
        <v>111111</v>
      </c>
      <c r="B377" s="1150" t="s">
        <v>1143</v>
      </c>
      <c r="C377" s="1150" t="s">
        <v>1153</v>
      </c>
      <c r="D377" s="1151">
        <v>43907</v>
      </c>
      <c r="E377" s="1152">
        <v>38870000</v>
      </c>
      <c r="F377" s="1150" t="s">
        <v>610</v>
      </c>
      <c r="G377" s="1153" t="s">
        <v>611</v>
      </c>
      <c r="H377" s="1154">
        <v>2151</v>
      </c>
      <c r="I377" s="1150" t="s">
        <v>612</v>
      </c>
      <c r="J377" s="1153" t="s">
        <v>14</v>
      </c>
      <c r="K377" s="1150" t="s">
        <v>76</v>
      </c>
      <c r="L377" s="1150" t="s">
        <v>1145</v>
      </c>
      <c r="M377" s="1153" t="s">
        <v>14</v>
      </c>
      <c r="N377" s="1153" t="s">
        <v>738</v>
      </c>
      <c r="O377" s="1155">
        <v>71</v>
      </c>
      <c r="P377" s="1156"/>
      <c r="Q377" s="1155">
        <v>7</v>
      </c>
      <c r="R377" s="1150" t="s">
        <v>842</v>
      </c>
      <c r="S377" s="1150" t="s">
        <v>648</v>
      </c>
      <c r="T377" s="1150" t="s">
        <v>1076</v>
      </c>
      <c r="U377" s="1157">
        <v>176200</v>
      </c>
      <c r="V377" s="1150" t="s">
        <v>1076</v>
      </c>
      <c r="W377" s="1157">
        <v>176200</v>
      </c>
      <c r="X377" s="1150" t="s">
        <v>618</v>
      </c>
      <c r="Y377" s="1158">
        <v>43914.07739583333</v>
      </c>
      <c r="Z377" s="1150" t="s">
        <v>618</v>
      </c>
      <c r="AA377" s="1158">
        <v>43914.07806712963</v>
      </c>
      <c r="AB377" s="1138">
        <f t="shared" si="5"/>
        <v>352400</v>
      </c>
    </row>
    <row r="378" ht="24" customHeight="1" spans="1:28" x14ac:dyDescent="0.25">
      <c r="A378" s="1159">
        <v>111113</v>
      </c>
      <c r="B378" s="1159" t="s">
        <v>1143</v>
      </c>
      <c r="C378" s="1159" t="s">
        <v>1154</v>
      </c>
      <c r="D378" s="1160">
        <v>43907</v>
      </c>
      <c r="E378" s="1161">
        <v>40470000</v>
      </c>
      <c r="F378" s="1159" t="s">
        <v>610</v>
      </c>
      <c r="G378" s="1162" t="s">
        <v>611</v>
      </c>
      <c r="H378" s="1163">
        <v>2151</v>
      </c>
      <c r="I378" s="1159" t="s">
        <v>612</v>
      </c>
      <c r="J378" s="1162" t="s">
        <v>14</v>
      </c>
      <c r="K378" s="1159" t="s">
        <v>76</v>
      </c>
      <c r="L378" s="1159" t="s">
        <v>1145</v>
      </c>
      <c r="M378" s="1162" t="s">
        <v>14</v>
      </c>
      <c r="N378" s="1162" t="s">
        <v>738</v>
      </c>
      <c r="O378" s="1164">
        <v>71</v>
      </c>
      <c r="P378" s="1165"/>
      <c r="Q378" s="1164">
        <v>5</v>
      </c>
      <c r="R378" s="1159" t="s">
        <v>842</v>
      </c>
      <c r="S378" s="1159" t="s">
        <v>648</v>
      </c>
      <c r="T378" s="1159" t="s">
        <v>1076</v>
      </c>
      <c r="U378" s="1166">
        <v>176200</v>
      </c>
      <c r="V378" s="1159" t="s">
        <v>1076</v>
      </c>
      <c r="W378" s="1166">
        <v>176200</v>
      </c>
      <c r="X378" s="1159" t="s">
        <v>618</v>
      </c>
      <c r="Y378" s="1167">
        <v>43914.07871527778</v>
      </c>
      <c r="Z378" s="1159" t="s">
        <v>618</v>
      </c>
      <c r="AA378" s="1167">
        <v>43914.07932870371</v>
      </c>
      <c r="AB378" s="1138">
        <f t="shared" si="5"/>
        <v>352400</v>
      </c>
    </row>
    <row r="379" ht="24" customHeight="1" spans="1:28" x14ac:dyDescent="0.25">
      <c r="A379" s="1150">
        <v>111115</v>
      </c>
      <c r="B379" s="1150" t="s">
        <v>1143</v>
      </c>
      <c r="C379" s="1150" t="s">
        <v>1155</v>
      </c>
      <c r="D379" s="1151">
        <v>43907</v>
      </c>
      <c r="E379" s="1152">
        <v>41270000</v>
      </c>
      <c r="F379" s="1150" t="s">
        <v>610</v>
      </c>
      <c r="G379" s="1153" t="s">
        <v>611</v>
      </c>
      <c r="H379" s="1154">
        <v>2151</v>
      </c>
      <c r="I379" s="1150" t="s">
        <v>612</v>
      </c>
      <c r="J379" s="1153" t="s">
        <v>14</v>
      </c>
      <c r="K379" s="1150" t="s">
        <v>76</v>
      </c>
      <c r="L379" s="1150" t="s">
        <v>1145</v>
      </c>
      <c r="M379" s="1153" t="s">
        <v>14</v>
      </c>
      <c r="N379" s="1153" t="s">
        <v>738</v>
      </c>
      <c r="O379" s="1155">
        <v>71</v>
      </c>
      <c r="P379" s="1156"/>
      <c r="Q379" s="1155">
        <v>6</v>
      </c>
      <c r="R379" s="1150" t="s">
        <v>842</v>
      </c>
      <c r="S379" s="1150" t="s">
        <v>648</v>
      </c>
      <c r="T379" s="1150" t="s">
        <v>1076</v>
      </c>
      <c r="U379" s="1157">
        <v>176200</v>
      </c>
      <c r="V379" s="1150" t="s">
        <v>1076</v>
      </c>
      <c r="W379" s="1157">
        <v>176200</v>
      </c>
      <c r="X379" s="1150" t="s">
        <v>618</v>
      </c>
      <c r="Y379" s="1158">
        <v>43914.07976851852</v>
      </c>
      <c r="Z379" s="1150" t="s">
        <v>618</v>
      </c>
      <c r="AA379" s="1158">
        <v>43914.07976851852</v>
      </c>
      <c r="AB379" s="1138">
        <f t="shared" si="5"/>
        <v>352400</v>
      </c>
    </row>
    <row r="380" ht="24" customHeight="1" spans="1:28" x14ac:dyDescent="0.25">
      <c r="A380" s="1159">
        <v>111114</v>
      </c>
      <c r="B380" s="1159" t="s">
        <v>1143</v>
      </c>
      <c r="C380" s="1159" t="s">
        <v>1156</v>
      </c>
      <c r="D380" s="1160">
        <v>43907</v>
      </c>
      <c r="E380" s="1161">
        <v>41170000</v>
      </c>
      <c r="F380" s="1159" t="s">
        <v>610</v>
      </c>
      <c r="G380" s="1162" t="s">
        <v>611</v>
      </c>
      <c r="H380" s="1163">
        <v>2151</v>
      </c>
      <c r="I380" s="1159" t="s">
        <v>612</v>
      </c>
      <c r="J380" s="1162" t="s">
        <v>14</v>
      </c>
      <c r="K380" s="1159" t="s">
        <v>76</v>
      </c>
      <c r="L380" s="1159" t="s">
        <v>1145</v>
      </c>
      <c r="M380" s="1162" t="s">
        <v>14</v>
      </c>
      <c r="N380" s="1162" t="s">
        <v>738</v>
      </c>
      <c r="O380" s="1164">
        <v>71</v>
      </c>
      <c r="P380" s="1165"/>
      <c r="Q380" s="1164">
        <v>7</v>
      </c>
      <c r="R380" s="1159" t="s">
        <v>842</v>
      </c>
      <c r="S380" s="1159" t="s">
        <v>648</v>
      </c>
      <c r="T380" s="1159" t="s">
        <v>1076</v>
      </c>
      <c r="U380" s="1166">
        <v>176200</v>
      </c>
      <c r="V380" s="1159" t="s">
        <v>1076</v>
      </c>
      <c r="W380" s="1166">
        <v>176200</v>
      </c>
      <c r="X380" s="1159" t="s">
        <v>618</v>
      </c>
      <c r="Y380" s="1167">
        <v>43914.07932870371</v>
      </c>
      <c r="Z380" s="1159" t="s">
        <v>618</v>
      </c>
      <c r="AA380" s="1167">
        <v>43914.07976851852</v>
      </c>
      <c r="AB380" s="1138">
        <f t="shared" si="5"/>
        <v>352400</v>
      </c>
    </row>
    <row r="381" ht="24" customHeight="1" spans="1:28" x14ac:dyDescent="0.25">
      <c r="A381" s="1150">
        <v>111098</v>
      </c>
      <c r="B381" s="1150" t="s">
        <v>1143</v>
      </c>
      <c r="C381" s="1150" t="s">
        <v>1157</v>
      </c>
      <c r="D381" s="1151">
        <v>43907</v>
      </c>
      <c r="E381" s="1152">
        <v>29480000</v>
      </c>
      <c r="F381" s="1150" t="s">
        <v>610</v>
      </c>
      <c r="G381" s="1153" t="s">
        <v>611</v>
      </c>
      <c r="H381" s="1154">
        <v>2151</v>
      </c>
      <c r="I381" s="1150" t="s">
        <v>612</v>
      </c>
      <c r="J381" s="1153" t="s">
        <v>14</v>
      </c>
      <c r="K381" s="1150" t="s">
        <v>76</v>
      </c>
      <c r="L381" s="1150" t="s">
        <v>1145</v>
      </c>
      <c r="M381" s="1153" t="s">
        <v>14</v>
      </c>
      <c r="N381" s="1153" t="s">
        <v>738</v>
      </c>
      <c r="O381" s="1155">
        <v>71</v>
      </c>
      <c r="P381" s="1156"/>
      <c r="Q381" s="1155">
        <v>5</v>
      </c>
      <c r="R381" s="1150" t="s">
        <v>842</v>
      </c>
      <c r="S381" s="1150" t="s">
        <v>648</v>
      </c>
      <c r="T381" s="1150" t="s">
        <v>1076</v>
      </c>
      <c r="U381" s="1157">
        <v>176200</v>
      </c>
      <c r="V381" s="1150" t="s">
        <v>1076</v>
      </c>
      <c r="W381" s="1157">
        <v>176200</v>
      </c>
      <c r="X381" s="1150" t="s">
        <v>618</v>
      </c>
      <c r="Y381" s="1158">
        <v>43914.00950231482</v>
      </c>
      <c r="Z381" s="1150" t="s">
        <v>618</v>
      </c>
      <c r="AA381" s="1158">
        <v>43914.045798611114</v>
      </c>
      <c r="AB381" s="1138">
        <f t="shared" si="5"/>
        <v>352400</v>
      </c>
    </row>
    <row r="382" ht="24" customHeight="1" spans="1:28" x14ac:dyDescent="0.25">
      <c r="A382" s="1159">
        <v>111100</v>
      </c>
      <c r="B382" s="1159" t="s">
        <v>1143</v>
      </c>
      <c r="C382" s="1159" t="s">
        <v>1158</v>
      </c>
      <c r="D382" s="1160">
        <v>43907</v>
      </c>
      <c r="E382" s="1161">
        <v>30280000</v>
      </c>
      <c r="F382" s="1159" t="s">
        <v>610</v>
      </c>
      <c r="G382" s="1162" t="s">
        <v>611</v>
      </c>
      <c r="H382" s="1163">
        <v>2151</v>
      </c>
      <c r="I382" s="1159" t="s">
        <v>612</v>
      </c>
      <c r="J382" s="1162" t="s">
        <v>14</v>
      </c>
      <c r="K382" s="1159" t="s">
        <v>76</v>
      </c>
      <c r="L382" s="1159" t="s">
        <v>1145</v>
      </c>
      <c r="M382" s="1162" t="s">
        <v>14</v>
      </c>
      <c r="N382" s="1162" t="s">
        <v>738</v>
      </c>
      <c r="O382" s="1164">
        <v>71</v>
      </c>
      <c r="P382" s="1165"/>
      <c r="Q382" s="1164">
        <v>6</v>
      </c>
      <c r="R382" s="1159" t="s">
        <v>842</v>
      </c>
      <c r="S382" s="1159" t="s">
        <v>648</v>
      </c>
      <c r="T382" s="1159" t="s">
        <v>1076</v>
      </c>
      <c r="U382" s="1166">
        <v>176200</v>
      </c>
      <c r="V382" s="1159" t="s">
        <v>1076</v>
      </c>
      <c r="W382" s="1166">
        <v>176200</v>
      </c>
      <c r="X382" s="1159" t="s">
        <v>618</v>
      </c>
      <c r="Y382" s="1167">
        <v>43914.049791666665</v>
      </c>
      <c r="Z382" s="1159" t="s">
        <v>618</v>
      </c>
      <c r="AA382" s="1167">
        <v>43914.049791666665</v>
      </c>
      <c r="AB382" s="1138">
        <f t="shared" si="5"/>
        <v>352400</v>
      </c>
    </row>
    <row r="383" ht="24" customHeight="1" spans="1:28" x14ac:dyDescent="0.25">
      <c r="A383" s="1150">
        <v>111099</v>
      </c>
      <c r="B383" s="1150" t="s">
        <v>1143</v>
      </c>
      <c r="C383" s="1150" t="s">
        <v>1159</v>
      </c>
      <c r="D383" s="1151">
        <v>43907</v>
      </c>
      <c r="E383" s="1152">
        <v>30180000</v>
      </c>
      <c r="F383" s="1150" t="s">
        <v>610</v>
      </c>
      <c r="G383" s="1153" t="s">
        <v>611</v>
      </c>
      <c r="H383" s="1154">
        <v>2151</v>
      </c>
      <c r="I383" s="1150" t="s">
        <v>612</v>
      </c>
      <c r="J383" s="1153" t="s">
        <v>14</v>
      </c>
      <c r="K383" s="1150" t="s">
        <v>76</v>
      </c>
      <c r="L383" s="1150" t="s">
        <v>1145</v>
      </c>
      <c r="M383" s="1153" t="s">
        <v>14</v>
      </c>
      <c r="N383" s="1153" t="s">
        <v>738</v>
      </c>
      <c r="O383" s="1155">
        <v>71</v>
      </c>
      <c r="P383" s="1156"/>
      <c r="Q383" s="1155">
        <v>7</v>
      </c>
      <c r="R383" s="1150" t="s">
        <v>842</v>
      </c>
      <c r="S383" s="1150" t="s">
        <v>648</v>
      </c>
      <c r="T383" s="1150" t="s">
        <v>1076</v>
      </c>
      <c r="U383" s="1157">
        <v>176200</v>
      </c>
      <c r="V383" s="1150" t="s">
        <v>1076</v>
      </c>
      <c r="W383" s="1157">
        <v>176200</v>
      </c>
      <c r="X383" s="1150" t="s">
        <v>618</v>
      </c>
      <c r="Y383" s="1158">
        <v>43914.04494212963</v>
      </c>
      <c r="Z383" s="1150" t="s">
        <v>618</v>
      </c>
      <c r="AA383" s="1158">
        <v>43914.047581018516</v>
      </c>
      <c r="AB383" s="1138">
        <f t="shared" si="5"/>
        <v>352400</v>
      </c>
    </row>
    <row r="384" ht="24" customHeight="1" spans="1:28" x14ac:dyDescent="0.25">
      <c r="A384" s="1159">
        <v>111101</v>
      </c>
      <c r="B384" s="1159" t="s">
        <v>1143</v>
      </c>
      <c r="C384" s="1159" t="s">
        <v>1160</v>
      </c>
      <c r="D384" s="1160">
        <v>43907</v>
      </c>
      <c r="E384" s="1161">
        <v>31780000</v>
      </c>
      <c r="F384" s="1159" t="s">
        <v>610</v>
      </c>
      <c r="G384" s="1162" t="s">
        <v>611</v>
      </c>
      <c r="H384" s="1163">
        <v>2151</v>
      </c>
      <c r="I384" s="1159" t="s">
        <v>612</v>
      </c>
      <c r="J384" s="1162" t="s">
        <v>14</v>
      </c>
      <c r="K384" s="1159" t="s">
        <v>76</v>
      </c>
      <c r="L384" s="1159" t="s">
        <v>1145</v>
      </c>
      <c r="M384" s="1162" t="s">
        <v>14</v>
      </c>
      <c r="N384" s="1162" t="s">
        <v>738</v>
      </c>
      <c r="O384" s="1164">
        <v>71</v>
      </c>
      <c r="P384" s="1165"/>
      <c r="Q384" s="1164">
        <v>5</v>
      </c>
      <c r="R384" s="1159" t="s">
        <v>842</v>
      </c>
      <c r="S384" s="1159" t="s">
        <v>648</v>
      </c>
      <c r="T384" s="1159" t="s">
        <v>1076</v>
      </c>
      <c r="U384" s="1166">
        <v>176200</v>
      </c>
      <c r="V384" s="1159" t="s">
        <v>1076</v>
      </c>
      <c r="W384" s="1166">
        <v>176200</v>
      </c>
      <c r="X384" s="1159" t="s">
        <v>618</v>
      </c>
      <c r="Y384" s="1167">
        <v>43914.05579861111</v>
      </c>
      <c r="Z384" s="1159" t="s">
        <v>618</v>
      </c>
      <c r="AA384" s="1167">
        <v>43914.05641203704</v>
      </c>
      <c r="AB384" s="1138">
        <f t="shared" si="5"/>
        <v>352400</v>
      </c>
    </row>
    <row r="385" ht="24" customHeight="1" spans="1:28" x14ac:dyDescent="0.25">
      <c r="A385" s="1150">
        <v>111103</v>
      </c>
      <c r="B385" s="1150" t="s">
        <v>1143</v>
      </c>
      <c r="C385" s="1150" t="s">
        <v>1161</v>
      </c>
      <c r="D385" s="1151">
        <v>43907</v>
      </c>
      <c r="E385" s="1152">
        <v>32580000</v>
      </c>
      <c r="F385" s="1150" t="s">
        <v>610</v>
      </c>
      <c r="G385" s="1153" t="s">
        <v>611</v>
      </c>
      <c r="H385" s="1154">
        <v>2151</v>
      </c>
      <c r="I385" s="1150" t="s">
        <v>612</v>
      </c>
      <c r="J385" s="1153" t="s">
        <v>14</v>
      </c>
      <c r="K385" s="1150" t="s">
        <v>76</v>
      </c>
      <c r="L385" s="1150" t="s">
        <v>1145</v>
      </c>
      <c r="M385" s="1153" t="s">
        <v>14</v>
      </c>
      <c r="N385" s="1153" t="s">
        <v>738</v>
      </c>
      <c r="O385" s="1155">
        <v>71</v>
      </c>
      <c r="P385" s="1156"/>
      <c r="Q385" s="1155">
        <v>6</v>
      </c>
      <c r="R385" s="1150" t="s">
        <v>842</v>
      </c>
      <c r="S385" s="1150" t="s">
        <v>648</v>
      </c>
      <c r="T385" s="1150" t="s">
        <v>1076</v>
      </c>
      <c r="U385" s="1157">
        <v>176200</v>
      </c>
      <c r="V385" s="1150" t="s">
        <v>1076</v>
      </c>
      <c r="W385" s="1157">
        <v>176200</v>
      </c>
      <c r="X385" s="1150" t="s">
        <v>618</v>
      </c>
      <c r="Y385" s="1158">
        <v>43914.05693287037</v>
      </c>
      <c r="Z385" s="1150" t="s">
        <v>618</v>
      </c>
      <c r="AA385" s="1158">
        <v>43914.05693287037</v>
      </c>
      <c r="AB385" s="1138">
        <f t="shared" si="5"/>
        <v>352400</v>
      </c>
    </row>
    <row r="386" ht="24" customHeight="1" spans="1:28" x14ac:dyDescent="0.25">
      <c r="A386" s="1159">
        <v>111102</v>
      </c>
      <c r="B386" s="1159" t="s">
        <v>1143</v>
      </c>
      <c r="C386" s="1159" t="s">
        <v>1162</v>
      </c>
      <c r="D386" s="1160">
        <v>43907</v>
      </c>
      <c r="E386" s="1161">
        <v>32480000</v>
      </c>
      <c r="F386" s="1159" t="s">
        <v>610</v>
      </c>
      <c r="G386" s="1162" t="s">
        <v>611</v>
      </c>
      <c r="H386" s="1163">
        <v>2151</v>
      </c>
      <c r="I386" s="1159" t="s">
        <v>612</v>
      </c>
      <c r="J386" s="1162" t="s">
        <v>14</v>
      </c>
      <c r="K386" s="1159" t="s">
        <v>76</v>
      </c>
      <c r="L386" s="1159" t="s">
        <v>1145</v>
      </c>
      <c r="M386" s="1162" t="s">
        <v>14</v>
      </c>
      <c r="N386" s="1162" t="s">
        <v>738</v>
      </c>
      <c r="O386" s="1164">
        <v>71</v>
      </c>
      <c r="P386" s="1165"/>
      <c r="Q386" s="1164">
        <v>7</v>
      </c>
      <c r="R386" s="1159" t="s">
        <v>842</v>
      </c>
      <c r="S386" s="1159" t="s">
        <v>648</v>
      </c>
      <c r="T386" s="1159" t="s">
        <v>1076</v>
      </c>
      <c r="U386" s="1166">
        <v>176200</v>
      </c>
      <c r="V386" s="1159" t="s">
        <v>1076</v>
      </c>
      <c r="W386" s="1166">
        <v>176200</v>
      </c>
      <c r="X386" s="1159" t="s">
        <v>618</v>
      </c>
      <c r="Y386" s="1167">
        <v>43914.05641203704</v>
      </c>
      <c r="Z386" s="1159" t="s">
        <v>618</v>
      </c>
      <c r="AA386" s="1167">
        <v>43914.05693287037</v>
      </c>
      <c r="AB386" s="1138">
        <f t="shared" si="5"/>
        <v>352400</v>
      </c>
    </row>
    <row r="387" ht="24" customHeight="1" spans="1:28" x14ac:dyDescent="0.25">
      <c r="A387" s="1150">
        <v>111095</v>
      </c>
      <c r="B387" s="1150" t="s">
        <v>1143</v>
      </c>
      <c r="C387" s="1150" t="s">
        <v>1163</v>
      </c>
      <c r="D387" s="1151">
        <v>43907</v>
      </c>
      <c r="E387" s="1152">
        <v>32270000</v>
      </c>
      <c r="F387" s="1150" t="s">
        <v>610</v>
      </c>
      <c r="G387" s="1153" t="s">
        <v>611</v>
      </c>
      <c r="H387" s="1154">
        <v>2151</v>
      </c>
      <c r="I387" s="1150" t="s">
        <v>612</v>
      </c>
      <c r="J387" s="1153" t="s">
        <v>14</v>
      </c>
      <c r="K387" s="1150" t="s">
        <v>76</v>
      </c>
      <c r="L387" s="1150" t="s">
        <v>1145</v>
      </c>
      <c r="M387" s="1153" t="s">
        <v>14</v>
      </c>
      <c r="N387" s="1153" t="s">
        <v>738</v>
      </c>
      <c r="O387" s="1155">
        <v>71</v>
      </c>
      <c r="P387" s="1156"/>
      <c r="Q387" s="1155">
        <v>5</v>
      </c>
      <c r="R387" s="1150" t="s">
        <v>842</v>
      </c>
      <c r="S387" s="1150" t="s">
        <v>648</v>
      </c>
      <c r="T387" s="1150" t="s">
        <v>1076</v>
      </c>
      <c r="U387" s="1157">
        <v>176200</v>
      </c>
      <c r="V387" s="1150" t="s">
        <v>1076</v>
      </c>
      <c r="W387" s="1157">
        <v>176200</v>
      </c>
      <c r="X387" s="1150" t="s">
        <v>618</v>
      </c>
      <c r="Y387" s="1158">
        <v>43914.004155092596</v>
      </c>
      <c r="Z387" s="1150" t="s">
        <v>618</v>
      </c>
      <c r="AA387" s="1158">
        <v>43914.006365740745</v>
      </c>
      <c r="AB387" s="1138">
        <f t="shared" ref="AB387:AB450" si="6">W387*2</f>
        <v>352400</v>
      </c>
    </row>
    <row r="388" ht="24" customHeight="1" spans="1:28" x14ac:dyDescent="0.25">
      <c r="A388" s="1159">
        <v>111096</v>
      </c>
      <c r="B388" s="1159" t="s">
        <v>1143</v>
      </c>
      <c r="C388" s="1159" t="s">
        <v>1164</v>
      </c>
      <c r="D388" s="1160">
        <v>43907</v>
      </c>
      <c r="E388" s="1161">
        <v>33070000</v>
      </c>
      <c r="F388" s="1159" t="s">
        <v>610</v>
      </c>
      <c r="G388" s="1162" t="s">
        <v>611</v>
      </c>
      <c r="H388" s="1163">
        <v>2151</v>
      </c>
      <c r="I388" s="1159" t="s">
        <v>612</v>
      </c>
      <c r="J388" s="1162" t="s">
        <v>14</v>
      </c>
      <c r="K388" s="1159" t="s">
        <v>76</v>
      </c>
      <c r="L388" s="1159" t="s">
        <v>1145</v>
      </c>
      <c r="M388" s="1162" t="s">
        <v>14</v>
      </c>
      <c r="N388" s="1162" t="s">
        <v>738</v>
      </c>
      <c r="O388" s="1164">
        <v>71</v>
      </c>
      <c r="P388" s="1165"/>
      <c r="Q388" s="1164">
        <v>6</v>
      </c>
      <c r="R388" s="1159" t="s">
        <v>842</v>
      </c>
      <c r="S388" s="1159" t="s">
        <v>648</v>
      </c>
      <c r="T388" s="1159" t="s">
        <v>1076</v>
      </c>
      <c r="U388" s="1166">
        <v>176200</v>
      </c>
      <c r="V388" s="1159" t="s">
        <v>1076</v>
      </c>
      <c r="W388" s="1166">
        <v>176200</v>
      </c>
      <c r="X388" s="1159" t="s">
        <v>618</v>
      </c>
      <c r="Y388" s="1167">
        <v>43914.00780092593</v>
      </c>
      <c r="Z388" s="1159" t="s">
        <v>618</v>
      </c>
      <c r="AA388" s="1167">
        <v>43914.00818287037</v>
      </c>
      <c r="AB388" s="1138">
        <f t="shared" si="6"/>
        <v>352400</v>
      </c>
    </row>
    <row r="389" ht="24" customHeight="1" spans="1:28" x14ac:dyDescent="0.25">
      <c r="A389" s="1150">
        <v>111097</v>
      </c>
      <c r="B389" s="1150" t="s">
        <v>1143</v>
      </c>
      <c r="C389" s="1150" t="s">
        <v>1165</v>
      </c>
      <c r="D389" s="1151">
        <v>43907</v>
      </c>
      <c r="E389" s="1152">
        <v>32970000</v>
      </c>
      <c r="F389" s="1150" t="s">
        <v>610</v>
      </c>
      <c r="G389" s="1153" t="s">
        <v>611</v>
      </c>
      <c r="H389" s="1154">
        <v>2151</v>
      </c>
      <c r="I389" s="1150" t="s">
        <v>612</v>
      </c>
      <c r="J389" s="1153" t="s">
        <v>14</v>
      </c>
      <c r="K389" s="1150" t="s">
        <v>76</v>
      </c>
      <c r="L389" s="1150" t="s">
        <v>1145</v>
      </c>
      <c r="M389" s="1153" t="s">
        <v>14</v>
      </c>
      <c r="N389" s="1153" t="s">
        <v>738</v>
      </c>
      <c r="O389" s="1155">
        <v>71</v>
      </c>
      <c r="P389" s="1156"/>
      <c r="Q389" s="1155">
        <v>7</v>
      </c>
      <c r="R389" s="1150" t="s">
        <v>842</v>
      </c>
      <c r="S389" s="1150" t="s">
        <v>648</v>
      </c>
      <c r="T389" s="1150" t="s">
        <v>1076</v>
      </c>
      <c r="U389" s="1157">
        <v>176200</v>
      </c>
      <c r="V389" s="1150" t="s">
        <v>1076</v>
      </c>
      <c r="W389" s="1157">
        <v>176200</v>
      </c>
      <c r="X389" s="1150" t="s">
        <v>618</v>
      </c>
      <c r="Y389" s="1158">
        <v>43914.00818287037</v>
      </c>
      <c r="Z389" s="1150" t="s">
        <v>618</v>
      </c>
      <c r="AA389" s="1158">
        <v>43914.00818287037</v>
      </c>
      <c r="AB389" s="1138">
        <f t="shared" si="6"/>
        <v>352400</v>
      </c>
    </row>
    <row r="390" ht="24" customHeight="1" spans="1:28" x14ac:dyDescent="0.25">
      <c r="A390" s="1159">
        <v>111092</v>
      </c>
      <c r="B390" s="1159" t="s">
        <v>1143</v>
      </c>
      <c r="C390" s="1159" t="s">
        <v>1166</v>
      </c>
      <c r="D390" s="1160">
        <v>43907</v>
      </c>
      <c r="E390" s="1161">
        <v>34570000</v>
      </c>
      <c r="F390" s="1159" t="s">
        <v>610</v>
      </c>
      <c r="G390" s="1162" t="s">
        <v>611</v>
      </c>
      <c r="H390" s="1163">
        <v>2151</v>
      </c>
      <c r="I390" s="1159" t="s">
        <v>612</v>
      </c>
      <c r="J390" s="1162" t="s">
        <v>14</v>
      </c>
      <c r="K390" s="1159" t="s">
        <v>76</v>
      </c>
      <c r="L390" s="1159" t="s">
        <v>1145</v>
      </c>
      <c r="M390" s="1162" t="s">
        <v>14</v>
      </c>
      <c r="N390" s="1162" t="s">
        <v>738</v>
      </c>
      <c r="O390" s="1164">
        <v>71</v>
      </c>
      <c r="P390" s="1165"/>
      <c r="Q390" s="1164">
        <v>5</v>
      </c>
      <c r="R390" s="1159" t="s">
        <v>842</v>
      </c>
      <c r="S390" s="1159" t="s">
        <v>648</v>
      </c>
      <c r="T390" s="1159" t="s">
        <v>1076</v>
      </c>
      <c r="U390" s="1166">
        <v>176200</v>
      </c>
      <c r="V390" s="1159" t="s">
        <v>1076</v>
      </c>
      <c r="W390" s="1166">
        <v>176200</v>
      </c>
      <c r="X390" s="1159" t="s">
        <v>618</v>
      </c>
      <c r="Y390" s="1167">
        <v>43913.531122685185</v>
      </c>
      <c r="Z390" s="1159" t="s">
        <v>618</v>
      </c>
      <c r="AA390" s="1167">
        <v>43914.00607638889</v>
      </c>
      <c r="AB390" s="1138">
        <f t="shared" si="6"/>
        <v>352400</v>
      </c>
    </row>
    <row r="391" ht="24" customHeight="1" spans="1:28" x14ac:dyDescent="0.25">
      <c r="A391" s="1150">
        <v>111093</v>
      </c>
      <c r="B391" s="1150" t="s">
        <v>1143</v>
      </c>
      <c r="C391" s="1150" t="s">
        <v>1167</v>
      </c>
      <c r="D391" s="1151">
        <v>43907</v>
      </c>
      <c r="E391" s="1152">
        <v>35370000</v>
      </c>
      <c r="F391" s="1150" t="s">
        <v>610</v>
      </c>
      <c r="G391" s="1153" t="s">
        <v>611</v>
      </c>
      <c r="H391" s="1154">
        <v>2151</v>
      </c>
      <c r="I391" s="1150" t="s">
        <v>612</v>
      </c>
      <c r="J391" s="1153" t="s">
        <v>14</v>
      </c>
      <c r="K391" s="1150" t="s">
        <v>76</v>
      </c>
      <c r="L391" s="1150" t="s">
        <v>1145</v>
      </c>
      <c r="M391" s="1153" t="s">
        <v>14</v>
      </c>
      <c r="N391" s="1153" t="s">
        <v>738</v>
      </c>
      <c r="O391" s="1155">
        <v>71</v>
      </c>
      <c r="P391" s="1156"/>
      <c r="Q391" s="1155">
        <v>6</v>
      </c>
      <c r="R391" s="1150" t="s">
        <v>842</v>
      </c>
      <c r="S391" s="1150" t="s">
        <v>648</v>
      </c>
      <c r="T391" s="1150" t="s">
        <v>1076</v>
      </c>
      <c r="U391" s="1157">
        <v>176200</v>
      </c>
      <c r="V391" s="1150" t="s">
        <v>1076</v>
      </c>
      <c r="W391" s="1157">
        <v>176200</v>
      </c>
      <c r="X391" s="1150" t="s">
        <v>618</v>
      </c>
      <c r="Y391" s="1158">
        <v>43914.00293981482</v>
      </c>
      <c r="Z391" s="1150" t="s">
        <v>618</v>
      </c>
      <c r="AA391" s="1158">
        <v>43914.006273148145</v>
      </c>
      <c r="AB391" s="1138">
        <f t="shared" si="6"/>
        <v>352400</v>
      </c>
    </row>
    <row r="392" ht="24" customHeight="1" spans="1:28" x14ac:dyDescent="0.25">
      <c r="A392" s="1159">
        <v>111094</v>
      </c>
      <c r="B392" s="1159" t="s">
        <v>1143</v>
      </c>
      <c r="C392" s="1159" t="s">
        <v>1168</v>
      </c>
      <c r="D392" s="1160">
        <v>43907</v>
      </c>
      <c r="E392" s="1161">
        <v>35270000</v>
      </c>
      <c r="F392" s="1159" t="s">
        <v>610</v>
      </c>
      <c r="G392" s="1162" t="s">
        <v>611</v>
      </c>
      <c r="H392" s="1163">
        <v>2151</v>
      </c>
      <c r="I392" s="1159" t="s">
        <v>612</v>
      </c>
      <c r="J392" s="1162" t="s">
        <v>14</v>
      </c>
      <c r="K392" s="1159" t="s">
        <v>76</v>
      </c>
      <c r="L392" s="1159" t="s">
        <v>1145</v>
      </c>
      <c r="M392" s="1162" t="s">
        <v>14</v>
      </c>
      <c r="N392" s="1162" t="s">
        <v>738</v>
      </c>
      <c r="O392" s="1164">
        <v>71</v>
      </c>
      <c r="P392" s="1165"/>
      <c r="Q392" s="1164">
        <v>7</v>
      </c>
      <c r="R392" s="1159" t="s">
        <v>842</v>
      </c>
      <c r="S392" s="1159" t="s">
        <v>648</v>
      </c>
      <c r="T392" s="1159" t="s">
        <v>1076</v>
      </c>
      <c r="U392" s="1166">
        <v>176200</v>
      </c>
      <c r="V392" s="1159" t="s">
        <v>1076</v>
      </c>
      <c r="W392" s="1166">
        <v>176200</v>
      </c>
      <c r="X392" s="1159" t="s">
        <v>618</v>
      </c>
      <c r="Y392" s="1167">
        <v>43914.00349537037</v>
      </c>
      <c r="Z392" s="1159" t="s">
        <v>618</v>
      </c>
      <c r="AA392" s="1167">
        <v>43914.00619212963</v>
      </c>
      <c r="AB392" s="1138">
        <f t="shared" si="6"/>
        <v>352400</v>
      </c>
    </row>
    <row r="393" spans="1:28" x14ac:dyDescent="0.25">
      <c r="A393" s="1150">
        <v>111145</v>
      </c>
      <c r="B393" s="1150" t="s">
        <v>1169</v>
      </c>
      <c r="C393" s="1150" t="s">
        <v>1170</v>
      </c>
      <c r="D393" s="1151">
        <v>43913</v>
      </c>
      <c r="E393" s="1152">
        <v>2101000</v>
      </c>
      <c r="F393" s="1150" t="s">
        <v>387</v>
      </c>
      <c r="G393" s="1153" t="s">
        <v>611</v>
      </c>
      <c r="H393" s="1154">
        <v>1591</v>
      </c>
      <c r="I393" s="1150" t="s">
        <v>612</v>
      </c>
      <c r="J393" s="1153" t="s">
        <v>14</v>
      </c>
      <c r="K393" s="1150" t="s">
        <v>76</v>
      </c>
      <c r="L393" s="1150" t="s">
        <v>1169</v>
      </c>
      <c r="M393" s="1153" t="s">
        <v>14</v>
      </c>
      <c r="N393" s="1153" t="s">
        <v>851</v>
      </c>
      <c r="O393" s="1155">
        <v>54</v>
      </c>
      <c r="P393" s="1156"/>
      <c r="Q393" s="1155">
        <v>5</v>
      </c>
      <c r="R393" s="1150" t="s">
        <v>710</v>
      </c>
      <c r="S393" s="1150" t="s">
        <v>974</v>
      </c>
      <c r="T393" s="1150" t="s">
        <v>667</v>
      </c>
      <c r="U393" s="1157">
        <v>131000</v>
      </c>
      <c r="V393" s="1150" t="s">
        <v>667</v>
      </c>
      <c r="W393" s="1157">
        <v>131000</v>
      </c>
      <c r="X393" s="1150" t="s">
        <v>618</v>
      </c>
      <c r="Y393" s="1158">
        <v>43919.93425925926</v>
      </c>
      <c r="Z393" s="1150" t="s">
        <v>618</v>
      </c>
      <c r="AA393" s="1158">
        <v>43919.93425925926</v>
      </c>
      <c r="AB393" s="1138">
        <f t="shared" si="6"/>
        <v>262000</v>
      </c>
    </row>
    <row r="394" spans="1:28" x14ac:dyDescent="0.25">
      <c r="A394" s="1159">
        <v>111146</v>
      </c>
      <c r="B394" s="1159" t="s">
        <v>1169</v>
      </c>
      <c r="C394" s="1159" t="s">
        <v>1171</v>
      </c>
      <c r="D394" s="1160">
        <v>43913</v>
      </c>
      <c r="E394" s="1161">
        <v>2101000</v>
      </c>
      <c r="F394" s="1159" t="s">
        <v>387</v>
      </c>
      <c r="G394" s="1162" t="s">
        <v>611</v>
      </c>
      <c r="H394" s="1163">
        <v>1591</v>
      </c>
      <c r="I394" s="1159" t="s">
        <v>612</v>
      </c>
      <c r="J394" s="1162" t="s">
        <v>14</v>
      </c>
      <c r="K394" s="1159" t="s">
        <v>76</v>
      </c>
      <c r="L394" s="1159" t="s">
        <v>1169</v>
      </c>
      <c r="M394" s="1162" t="s">
        <v>14</v>
      </c>
      <c r="N394" s="1162" t="s">
        <v>851</v>
      </c>
      <c r="O394" s="1164">
        <v>54</v>
      </c>
      <c r="P394" s="1165"/>
      <c r="Q394" s="1164">
        <v>5</v>
      </c>
      <c r="R394" s="1159" t="s">
        <v>710</v>
      </c>
      <c r="S394" s="1159" t="s">
        <v>974</v>
      </c>
      <c r="T394" s="1159" t="s">
        <v>663</v>
      </c>
      <c r="U394" s="1166">
        <v>174000</v>
      </c>
      <c r="V394" s="1159" t="s">
        <v>663</v>
      </c>
      <c r="W394" s="1166">
        <v>174000</v>
      </c>
      <c r="X394" s="1159" t="s">
        <v>618</v>
      </c>
      <c r="Y394" s="1167">
        <v>43919.94042824074</v>
      </c>
      <c r="Z394" s="1159" t="s">
        <v>618</v>
      </c>
      <c r="AA394" s="1167">
        <v>43919.94042824074</v>
      </c>
      <c r="AB394" s="1138">
        <f t="shared" si="6"/>
        <v>348000</v>
      </c>
    </row>
    <row r="395" spans="1:28" x14ac:dyDescent="0.25">
      <c r="A395" s="1150">
        <v>111144</v>
      </c>
      <c r="B395" s="1150" t="s">
        <v>1169</v>
      </c>
      <c r="C395" s="1150" t="s">
        <v>1172</v>
      </c>
      <c r="D395" s="1151">
        <v>43913</v>
      </c>
      <c r="E395" s="1152">
        <v>1910000</v>
      </c>
      <c r="F395" s="1150" t="s">
        <v>387</v>
      </c>
      <c r="G395" s="1153" t="s">
        <v>611</v>
      </c>
      <c r="H395" s="1154">
        <v>1591</v>
      </c>
      <c r="I395" s="1150" t="s">
        <v>612</v>
      </c>
      <c r="J395" s="1153" t="s">
        <v>14</v>
      </c>
      <c r="K395" s="1150" t="s">
        <v>76</v>
      </c>
      <c r="L395" s="1150" t="s">
        <v>1169</v>
      </c>
      <c r="M395" s="1153" t="s">
        <v>14</v>
      </c>
      <c r="N395" s="1153" t="s">
        <v>851</v>
      </c>
      <c r="O395" s="1155">
        <v>54</v>
      </c>
      <c r="P395" s="1156"/>
      <c r="Q395" s="1155">
        <v>5</v>
      </c>
      <c r="R395" s="1150" t="s">
        <v>710</v>
      </c>
      <c r="S395" s="1150" t="s">
        <v>974</v>
      </c>
      <c r="T395" s="1150" t="s">
        <v>667</v>
      </c>
      <c r="U395" s="1157">
        <v>131000</v>
      </c>
      <c r="V395" s="1150" t="s">
        <v>667</v>
      </c>
      <c r="W395" s="1157">
        <v>131000</v>
      </c>
      <c r="X395" s="1150" t="s">
        <v>618</v>
      </c>
      <c r="Y395" s="1158">
        <v>43919.929131944446</v>
      </c>
      <c r="Z395" s="1150" t="s">
        <v>618</v>
      </c>
      <c r="AA395" s="1158">
        <v>43919.929236111115</v>
      </c>
      <c r="AB395" s="1138">
        <f t="shared" si="6"/>
        <v>262000</v>
      </c>
    </row>
    <row r="396" spans="1:28" x14ac:dyDescent="0.25">
      <c r="A396" s="1159">
        <v>111150</v>
      </c>
      <c r="B396" s="1159" t="s">
        <v>1169</v>
      </c>
      <c r="C396" s="1159" t="s">
        <v>1173</v>
      </c>
      <c r="D396" s="1160">
        <v>43913</v>
      </c>
      <c r="E396" s="1161">
        <v>49280000</v>
      </c>
      <c r="F396" s="1159" t="s">
        <v>759</v>
      </c>
      <c r="G396" s="1162" t="s">
        <v>611</v>
      </c>
      <c r="H396" s="1162">
        <v>150</v>
      </c>
      <c r="I396" s="1159" t="s">
        <v>612</v>
      </c>
      <c r="J396" s="1162" t="s">
        <v>14</v>
      </c>
      <c r="K396" s="1159" t="s">
        <v>76</v>
      </c>
      <c r="L396" s="1159" t="s">
        <v>1169</v>
      </c>
      <c r="M396" s="1162" t="s">
        <v>14</v>
      </c>
      <c r="N396" s="1162" t="s">
        <v>738</v>
      </c>
      <c r="O396" s="1164">
        <v>0</v>
      </c>
      <c r="P396" s="1165"/>
      <c r="Q396" s="1164">
        <v>5</v>
      </c>
      <c r="R396" s="1159" t="s">
        <v>773</v>
      </c>
      <c r="S396" s="1159" t="s">
        <v>974</v>
      </c>
      <c r="T396" s="1159" t="s">
        <v>667</v>
      </c>
      <c r="U396" s="1166">
        <v>131000</v>
      </c>
      <c r="V396" s="1159" t="s">
        <v>667</v>
      </c>
      <c r="W396" s="1166">
        <v>131000</v>
      </c>
      <c r="X396" s="1159" t="s">
        <v>618</v>
      </c>
      <c r="Y396" s="1167">
        <v>43919.9946875</v>
      </c>
      <c r="Z396" s="1159" t="s">
        <v>618</v>
      </c>
      <c r="AA396" s="1167">
        <v>43920.006516203706</v>
      </c>
      <c r="AB396" s="1138">
        <f t="shared" si="6"/>
        <v>262000</v>
      </c>
    </row>
    <row r="397" spans="1:28" x14ac:dyDescent="0.25">
      <c r="A397" s="1150">
        <v>111149</v>
      </c>
      <c r="B397" s="1150" t="s">
        <v>1169</v>
      </c>
      <c r="C397" s="1150" t="s">
        <v>1174</v>
      </c>
      <c r="D397" s="1151">
        <v>43913</v>
      </c>
      <c r="E397" s="1152">
        <v>42690000</v>
      </c>
      <c r="F397" s="1150" t="s">
        <v>759</v>
      </c>
      <c r="G397" s="1153" t="s">
        <v>611</v>
      </c>
      <c r="H397" s="1153">
        <v>100</v>
      </c>
      <c r="I397" s="1150" t="s">
        <v>612</v>
      </c>
      <c r="J397" s="1153" t="s">
        <v>14</v>
      </c>
      <c r="K397" s="1150" t="s">
        <v>76</v>
      </c>
      <c r="L397" s="1150" t="s">
        <v>1169</v>
      </c>
      <c r="M397" s="1153" t="s">
        <v>14</v>
      </c>
      <c r="N397" s="1153" t="s">
        <v>738</v>
      </c>
      <c r="O397" s="1155">
        <v>0</v>
      </c>
      <c r="P397" s="1156"/>
      <c r="Q397" s="1155">
        <v>5</v>
      </c>
      <c r="R397" s="1150" t="s">
        <v>773</v>
      </c>
      <c r="S397" s="1150" t="s">
        <v>974</v>
      </c>
      <c r="T397" s="1150" t="s">
        <v>667</v>
      </c>
      <c r="U397" s="1157">
        <v>131000</v>
      </c>
      <c r="V397" s="1150" t="s">
        <v>667</v>
      </c>
      <c r="W397" s="1157">
        <v>131000</v>
      </c>
      <c r="X397" s="1150" t="s">
        <v>618</v>
      </c>
      <c r="Y397" s="1158">
        <v>43919.99375</v>
      </c>
      <c r="Z397" s="1150" t="s">
        <v>618</v>
      </c>
      <c r="AA397" s="1158">
        <v>43920.00945601852</v>
      </c>
      <c r="AB397" s="1138">
        <f t="shared" si="6"/>
        <v>262000</v>
      </c>
    </row>
    <row r="398" spans="1:28" x14ac:dyDescent="0.25">
      <c r="A398" s="1159">
        <v>108321</v>
      </c>
      <c r="B398" s="1159" t="s">
        <v>1175</v>
      </c>
      <c r="C398" s="1159" t="s">
        <v>1176</v>
      </c>
      <c r="D398" s="1160">
        <v>42740</v>
      </c>
      <c r="E398" s="1161">
        <v>63420000</v>
      </c>
      <c r="F398" s="1159" t="s">
        <v>610</v>
      </c>
      <c r="G398" s="1162" t="s">
        <v>611</v>
      </c>
      <c r="H398" s="1163">
        <v>2497</v>
      </c>
      <c r="I398" s="1159" t="s">
        <v>629</v>
      </c>
      <c r="J398" s="1162" t="s">
        <v>14</v>
      </c>
      <c r="K398" s="1159" t="s">
        <v>18</v>
      </c>
      <c r="L398" s="1159" t="s">
        <v>1175</v>
      </c>
      <c r="M398" s="1162" t="s">
        <v>14</v>
      </c>
      <c r="N398" s="1162" t="s">
        <v>886</v>
      </c>
      <c r="O398" s="1164">
        <v>75</v>
      </c>
      <c r="P398" s="1165"/>
      <c r="Q398" s="1164">
        <v>15</v>
      </c>
      <c r="R398" s="1159" t="s">
        <v>690</v>
      </c>
      <c r="S398" s="1159" t="s">
        <v>625</v>
      </c>
      <c r="T398" s="1159" t="s">
        <v>1177</v>
      </c>
      <c r="U398" s="1166">
        <v>122800</v>
      </c>
      <c r="V398" s="1159" t="s">
        <v>1177</v>
      </c>
      <c r="W398" s="1166">
        <v>122800</v>
      </c>
      <c r="X398" s="1159" t="s">
        <v>635</v>
      </c>
      <c r="Y398" s="1167">
        <v>42740.40137731482</v>
      </c>
      <c r="Z398" s="1159" t="s">
        <v>664</v>
      </c>
      <c r="AA398" s="1167">
        <v>43503.4717824074</v>
      </c>
      <c r="AB398" s="1138">
        <f t="shared" si="6"/>
        <v>245600</v>
      </c>
    </row>
    <row r="399" spans="1:28" x14ac:dyDescent="0.25">
      <c r="A399" s="1150">
        <v>108028</v>
      </c>
      <c r="B399" s="1150" t="s">
        <v>1175</v>
      </c>
      <c r="C399" s="1150" t="s">
        <v>1178</v>
      </c>
      <c r="D399" s="1151">
        <v>42487</v>
      </c>
      <c r="E399" s="1152">
        <v>64890000</v>
      </c>
      <c r="F399" s="1150" t="s">
        <v>610</v>
      </c>
      <c r="G399" s="1153" t="s">
        <v>611</v>
      </c>
      <c r="H399" s="1154">
        <v>2497</v>
      </c>
      <c r="I399" s="1150" t="s">
        <v>629</v>
      </c>
      <c r="J399" s="1153" t="s">
        <v>14</v>
      </c>
      <c r="K399" s="1150" t="s">
        <v>18</v>
      </c>
      <c r="L399" s="1150" t="s">
        <v>1175</v>
      </c>
      <c r="M399" s="1153" t="s">
        <v>14</v>
      </c>
      <c r="N399" s="1153" t="s">
        <v>886</v>
      </c>
      <c r="O399" s="1155">
        <v>75</v>
      </c>
      <c r="P399" s="1156"/>
      <c r="Q399" s="1155">
        <v>15</v>
      </c>
      <c r="R399" s="1150" t="s">
        <v>690</v>
      </c>
      <c r="S399" s="1150" t="s">
        <v>625</v>
      </c>
      <c r="T399" s="1150" t="s">
        <v>1179</v>
      </c>
      <c r="U399" s="1157">
        <v>220000</v>
      </c>
      <c r="V399" s="1150" t="s">
        <v>1179</v>
      </c>
      <c r="W399" s="1157">
        <v>220000</v>
      </c>
      <c r="X399" s="1150" t="s">
        <v>635</v>
      </c>
      <c r="Y399" s="1158">
        <v>42487.40862268519</v>
      </c>
      <c r="Z399" s="1150" t="s">
        <v>664</v>
      </c>
      <c r="AA399" s="1158">
        <v>43503.47390046297</v>
      </c>
      <c r="AB399" s="1138">
        <f t="shared" si="6"/>
        <v>440000</v>
      </c>
    </row>
    <row r="400" spans="1:28" x14ac:dyDescent="0.25">
      <c r="A400" s="1159">
        <v>107678</v>
      </c>
      <c r="B400" s="1159" t="s">
        <v>1175</v>
      </c>
      <c r="C400" s="1159" t="s">
        <v>1180</v>
      </c>
      <c r="D400" s="1160">
        <v>42265</v>
      </c>
      <c r="E400" s="1161">
        <v>61030000</v>
      </c>
      <c r="F400" s="1159" t="s">
        <v>610</v>
      </c>
      <c r="G400" s="1162" t="s">
        <v>611</v>
      </c>
      <c r="H400" s="1163">
        <v>2497</v>
      </c>
      <c r="I400" s="1159" t="s">
        <v>629</v>
      </c>
      <c r="J400" s="1162" t="s">
        <v>14</v>
      </c>
      <c r="K400" s="1159" t="s">
        <v>18</v>
      </c>
      <c r="L400" s="1159" t="s">
        <v>1175</v>
      </c>
      <c r="M400" s="1162" t="s">
        <v>14</v>
      </c>
      <c r="N400" s="1162" t="s">
        <v>886</v>
      </c>
      <c r="O400" s="1164">
        <v>75</v>
      </c>
      <c r="P400" s="1165"/>
      <c r="Q400" s="1164">
        <v>15</v>
      </c>
      <c r="R400" s="1159" t="s">
        <v>690</v>
      </c>
      <c r="S400" s="1159" t="s">
        <v>625</v>
      </c>
      <c r="T400" s="1159" t="s">
        <v>1177</v>
      </c>
      <c r="U400" s="1166">
        <v>122800</v>
      </c>
      <c r="V400" s="1159" t="s">
        <v>1177</v>
      </c>
      <c r="W400" s="1166">
        <v>122800</v>
      </c>
      <c r="X400" s="1159" t="s">
        <v>635</v>
      </c>
      <c r="Y400" s="1167">
        <v>42265.57707175926</v>
      </c>
      <c r="Z400" s="1159" t="s">
        <v>664</v>
      </c>
      <c r="AA400" s="1167">
        <v>43503.4712037037</v>
      </c>
      <c r="AB400" s="1138">
        <f t="shared" si="6"/>
        <v>245600</v>
      </c>
    </row>
    <row r="401" spans="1:28" x14ac:dyDescent="0.25">
      <c r="A401" s="1150">
        <v>109144</v>
      </c>
      <c r="B401" s="1150" t="s">
        <v>1175</v>
      </c>
      <c r="C401" s="1150" t="s">
        <v>1181</v>
      </c>
      <c r="D401" s="1151">
        <v>43111</v>
      </c>
      <c r="E401" s="1152">
        <v>139300000</v>
      </c>
      <c r="F401" s="1150" t="s">
        <v>610</v>
      </c>
      <c r="G401" s="1153" t="s">
        <v>611</v>
      </c>
      <c r="H401" s="1154">
        <v>2497</v>
      </c>
      <c r="I401" s="1150" t="s">
        <v>612</v>
      </c>
      <c r="J401" s="1153" t="s">
        <v>14</v>
      </c>
      <c r="K401" s="1150" t="s">
        <v>18</v>
      </c>
      <c r="L401" s="1150" t="s">
        <v>1182</v>
      </c>
      <c r="M401" s="1153" t="s">
        <v>14</v>
      </c>
      <c r="N401" s="1153" t="s">
        <v>473</v>
      </c>
      <c r="O401" s="1155">
        <v>75</v>
      </c>
      <c r="P401" s="1156"/>
      <c r="Q401" s="1155">
        <v>11</v>
      </c>
      <c r="R401" s="1150" t="s">
        <v>690</v>
      </c>
      <c r="S401" s="1150" t="s">
        <v>625</v>
      </c>
      <c r="T401" s="1150" t="s">
        <v>1177</v>
      </c>
      <c r="U401" s="1157">
        <v>122800</v>
      </c>
      <c r="V401" s="1150" t="s">
        <v>1177</v>
      </c>
      <c r="W401" s="1157">
        <v>122800</v>
      </c>
      <c r="X401" s="1150" t="s">
        <v>721</v>
      </c>
      <c r="Y401" s="1158">
        <v>43111.60707175926</v>
      </c>
      <c r="Z401" s="1150" t="s">
        <v>618</v>
      </c>
      <c r="AA401" s="1158">
        <v>43285.78565972223</v>
      </c>
      <c r="AB401" s="1138">
        <f t="shared" si="6"/>
        <v>245600</v>
      </c>
    </row>
    <row r="402" spans="1:28" x14ac:dyDescent="0.25">
      <c r="A402" s="1159">
        <v>109143</v>
      </c>
      <c r="B402" s="1159" t="s">
        <v>1175</v>
      </c>
      <c r="C402" s="1159" t="s">
        <v>1183</v>
      </c>
      <c r="D402" s="1160">
        <v>43111</v>
      </c>
      <c r="E402" s="1161">
        <v>77500000</v>
      </c>
      <c r="F402" s="1159" t="s">
        <v>610</v>
      </c>
      <c r="G402" s="1162" t="s">
        <v>611</v>
      </c>
      <c r="H402" s="1163">
        <v>2497</v>
      </c>
      <c r="I402" s="1159" t="s">
        <v>612</v>
      </c>
      <c r="J402" s="1162" t="s">
        <v>14</v>
      </c>
      <c r="K402" s="1159" t="s">
        <v>18</v>
      </c>
      <c r="L402" s="1159" t="s">
        <v>1182</v>
      </c>
      <c r="M402" s="1162" t="s">
        <v>14</v>
      </c>
      <c r="N402" s="1162" t="s">
        <v>473</v>
      </c>
      <c r="O402" s="1164">
        <v>75</v>
      </c>
      <c r="P402" s="1165"/>
      <c r="Q402" s="1164">
        <v>11</v>
      </c>
      <c r="R402" s="1159" t="s">
        <v>690</v>
      </c>
      <c r="S402" s="1159" t="s">
        <v>625</v>
      </c>
      <c r="T402" s="1159" t="s">
        <v>1177</v>
      </c>
      <c r="U402" s="1166">
        <v>122800</v>
      </c>
      <c r="V402" s="1159" t="s">
        <v>1177</v>
      </c>
      <c r="W402" s="1166">
        <v>122800</v>
      </c>
      <c r="X402" s="1159" t="s">
        <v>721</v>
      </c>
      <c r="Y402" s="1167">
        <v>43111.606203703705</v>
      </c>
      <c r="Z402" s="1159" t="s">
        <v>618</v>
      </c>
      <c r="AA402" s="1167">
        <v>43285.79914351852</v>
      </c>
      <c r="AB402" s="1138">
        <f t="shared" si="6"/>
        <v>245600</v>
      </c>
    </row>
    <row r="403" spans="1:28" x14ac:dyDescent="0.25">
      <c r="A403" s="1150">
        <v>111125</v>
      </c>
      <c r="B403" s="1150" t="s">
        <v>1184</v>
      </c>
      <c r="C403" s="1150" t="s">
        <v>1185</v>
      </c>
      <c r="D403" s="1151">
        <v>43914</v>
      </c>
      <c r="E403" s="1152">
        <v>19950000</v>
      </c>
      <c r="F403" s="1150" t="s">
        <v>404</v>
      </c>
      <c r="G403" s="1153" t="s">
        <v>611</v>
      </c>
      <c r="H403" s="1154">
        <v>1591</v>
      </c>
      <c r="I403" s="1150" t="s">
        <v>612</v>
      </c>
      <c r="J403" s="1153" t="s">
        <v>14</v>
      </c>
      <c r="K403" s="1150" t="s">
        <v>18</v>
      </c>
      <c r="L403" s="1150" t="s">
        <v>1184</v>
      </c>
      <c r="M403" s="1153" t="s">
        <v>14</v>
      </c>
      <c r="N403" s="1153" t="s">
        <v>647</v>
      </c>
      <c r="O403" s="1155">
        <v>53</v>
      </c>
      <c r="P403" s="1155">
        <v>0</v>
      </c>
      <c r="Q403" s="1155">
        <v>5</v>
      </c>
      <c r="R403" s="1150" t="s">
        <v>615</v>
      </c>
      <c r="S403" s="1150" t="s">
        <v>625</v>
      </c>
      <c r="T403" s="1150" t="s">
        <v>651</v>
      </c>
      <c r="U403" s="1157">
        <v>90800</v>
      </c>
      <c r="V403" s="1150" t="s">
        <v>651</v>
      </c>
      <c r="W403" s="1157">
        <v>90800</v>
      </c>
      <c r="X403" s="1150" t="s">
        <v>618</v>
      </c>
      <c r="Y403" s="1158">
        <v>43914.506898148145</v>
      </c>
      <c r="Z403" s="1150" t="s">
        <v>618</v>
      </c>
      <c r="AA403" s="1158">
        <v>43915.96199074074</v>
      </c>
      <c r="AB403" s="1138">
        <f t="shared" si="6"/>
        <v>181600</v>
      </c>
    </row>
    <row r="404" spans="1:28" x14ac:dyDescent="0.25">
      <c r="A404" s="1159">
        <v>111126</v>
      </c>
      <c r="B404" s="1159" t="s">
        <v>1184</v>
      </c>
      <c r="C404" s="1159" t="s">
        <v>1186</v>
      </c>
      <c r="D404" s="1160">
        <v>43914</v>
      </c>
      <c r="E404" s="1161">
        <v>17750000</v>
      </c>
      <c r="F404" s="1159" t="s">
        <v>404</v>
      </c>
      <c r="G404" s="1162" t="s">
        <v>611</v>
      </c>
      <c r="H404" s="1163">
        <v>1591</v>
      </c>
      <c r="I404" s="1159" t="s">
        <v>612</v>
      </c>
      <c r="J404" s="1162" t="s">
        <v>14</v>
      </c>
      <c r="K404" s="1159" t="s">
        <v>18</v>
      </c>
      <c r="L404" s="1159" t="s">
        <v>1184</v>
      </c>
      <c r="M404" s="1162" t="s">
        <v>14</v>
      </c>
      <c r="N404" s="1162" t="s">
        <v>647</v>
      </c>
      <c r="O404" s="1164">
        <v>53</v>
      </c>
      <c r="P404" s="1164">
        <v>0</v>
      </c>
      <c r="Q404" s="1164">
        <v>5</v>
      </c>
      <c r="R404" s="1159" t="s">
        <v>615</v>
      </c>
      <c r="S404" s="1159" t="s">
        <v>625</v>
      </c>
      <c r="T404" s="1159" t="s">
        <v>651</v>
      </c>
      <c r="U404" s="1166">
        <v>90800</v>
      </c>
      <c r="V404" s="1159" t="s">
        <v>651</v>
      </c>
      <c r="W404" s="1166">
        <v>90800</v>
      </c>
      <c r="X404" s="1159" t="s">
        <v>618</v>
      </c>
      <c r="Y404" s="1167">
        <v>43914.50780092593</v>
      </c>
      <c r="Z404" s="1159" t="s">
        <v>618</v>
      </c>
      <c r="AA404" s="1167">
        <v>43915.96189814815</v>
      </c>
      <c r="AB404" s="1138">
        <f t="shared" si="6"/>
        <v>181600</v>
      </c>
    </row>
    <row r="405" spans="1:28" x14ac:dyDescent="0.25">
      <c r="A405" s="1150">
        <v>111136</v>
      </c>
      <c r="B405" s="1150" t="s">
        <v>1184</v>
      </c>
      <c r="C405" s="1150" t="s">
        <v>1187</v>
      </c>
      <c r="D405" s="1151">
        <v>43914</v>
      </c>
      <c r="E405" s="1152">
        <v>17750000</v>
      </c>
      <c r="F405" s="1150" t="s">
        <v>404</v>
      </c>
      <c r="G405" s="1153" t="s">
        <v>611</v>
      </c>
      <c r="H405" s="1154">
        <v>1591</v>
      </c>
      <c r="I405" s="1150" t="s">
        <v>612</v>
      </c>
      <c r="J405" s="1153" t="s">
        <v>14</v>
      </c>
      <c r="K405" s="1150" t="s">
        <v>18</v>
      </c>
      <c r="L405" s="1150" t="s">
        <v>1184</v>
      </c>
      <c r="M405" s="1153" t="s">
        <v>14</v>
      </c>
      <c r="N405" s="1153" t="s">
        <v>647</v>
      </c>
      <c r="O405" s="1155">
        <v>53</v>
      </c>
      <c r="P405" s="1155">
        <v>0</v>
      </c>
      <c r="Q405" s="1155">
        <v>5</v>
      </c>
      <c r="R405" s="1150" t="s">
        <v>615</v>
      </c>
      <c r="S405" s="1150" t="s">
        <v>625</v>
      </c>
      <c r="T405" s="1150" t="s">
        <v>651</v>
      </c>
      <c r="U405" s="1157">
        <v>90800</v>
      </c>
      <c r="V405" s="1150" t="s">
        <v>651</v>
      </c>
      <c r="W405" s="1157">
        <v>90800</v>
      </c>
      <c r="X405" s="1150" t="s">
        <v>618</v>
      </c>
      <c r="Y405" s="1158">
        <v>43914.531446759254</v>
      </c>
      <c r="Z405" s="1150" t="s">
        <v>618</v>
      </c>
      <c r="AA405" s="1158">
        <v>43915.96228009259</v>
      </c>
      <c r="AB405" s="1138">
        <f t="shared" si="6"/>
        <v>181600</v>
      </c>
    </row>
    <row r="406" spans="1:28" x14ac:dyDescent="0.25">
      <c r="A406" s="1159">
        <v>111139</v>
      </c>
      <c r="B406" s="1159" t="s">
        <v>1184</v>
      </c>
      <c r="C406" s="1159" t="s">
        <v>1188</v>
      </c>
      <c r="D406" s="1160">
        <v>43914</v>
      </c>
      <c r="E406" s="1161">
        <v>21670000</v>
      </c>
      <c r="F406" s="1159" t="s">
        <v>404</v>
      </c>
      <c r="G406" s="1162" t="s">
        <v>611</v>
      </c>
      <c r="H406" s="1163">
        <v>1591</v>
      </c>
      <c r="I406" s="1159" t="s">
        <v>612</v>
      </c>
      <c r="J406" s="1162" t="s">
        <v>14</v>
      </c>
      <c r="K406" s="1159" t="s">
        <v>18</v>
      </c>
      <c r="L406" s="1159" t="s">
        <v>1184</v>
      </c>
      <c r="M406" s="1162" t="s">
        <v>14</v>
      </c>
      <c r="N406" s="1162" t="s">
        <v>647</v>
      </c>
      <c r="O406" s="1164">
        <v>53</v>
      </c>
      <c r="P406" s="1164">
        <v>0</v>
      </c>
      <c r="Q406" s="1164">
        <v>5</v>
      </c>
      <c r="R406" s="1159" t="s">
        <v>615</v>
      </c>
      <c r="S406" s="1159" t="s">
        <v>625</v>
      </c>
      <c r="T406" s="1159" t="s">
        <v>649</v>
      </c>
      <c r="U406" s="1166">
        <v>100800</v>
      </c>
      <c r="V406" s="1159" t="s">
        <v>649</v>
      </c>
      <c r="W406" s="1166">
        <v>100800</v>
      </c>
      <c r="X406" s="1159" t="s">
        <v>618</v>
      </c>
      <c r="Y406" s="1167">
        <v>43914.540613425925</v>
      </c>
      <c r="Z406" s="1159" t="s">
        <v>618</v>
      </c>
      <c r="AA406" s="1167">
        <v>43915.92890046297</v>
      </c>
      <c r="AB406" s="1138">
        <f t="shared" si="6"/>
        <v>201600</v>
      </c>
    </row>
    <row r="407" spans="1:28" x14ac:dyDescent="0.25">
      <c r="A407" s="1150">
        <v>111138</v>
      </c>
      <c r="B407" s="1150" t="s">
        <v>1184</v>
      </c>
      <c r="C407" s="1150" t="s">
        <v>1189</v>
      </c>
      <c r="D407" s="1151">
        <v>43914</v>
      </c>
      <c r="E407" s="1152">
        <v>20340000</v>
      </c>
      <c r="F407" s="1150" t="s">
        <v>404</v>
      </c>
      <c r="G407" s="1153" t="s">
        <v>611</v>
      </c>
      <c r="H407" s="1154">
        <v>1591</v>
      </c>
      <c r="I407" s="1150" t="s">
        <v>612</v>
      </c>
      <c r="J407" s="1153" t="s">
        <v>14</v>
      </c>
      <c r="K407" s="1150" t="s">
        <v>18</v>
      </c>
      <c r="L407" s="1150" t="s">
        <v>1184</v>
      </c>
      <c r="M407" s="1153" t="s">
        <v>14</v>
      </c>
      <c r="N407" s="1153" t="s">
        <v>647</v>
      </c>
      <c r="O407" s="1155">
        <v>53</v>
      </c>
      <c r="P407" s="1155">
        <v>0</v>
      </c>
      <c r="Q407" s="1155">
        <v>5</v>
      </c>
      <c r="R407" s="1150" t="s">
        <v>615</v>
      </c>
      <c r="S407" s="1150" t="s">
        <v>625</v>
      </c>
      <c r="T407" s="1150" t="s">
        <v>651</v>
      </c>
      <c r="U407" s="1157">
        <v>90800</v>
      </c>
      <c r="V407" s="1150" t="s">
        <v>651</v>
      </c>
      <c r="W407" s="1157">
        <v>90800</v>
      </c>
      <c r="X407" s="1150" t="s">
        <v>618</v>
      </c>
      <c r="Y407" s="1158">
        <v>43914.53979166667</v>
      </c>
      <c r="Z407" s="1150" t="s">
        <v>618</v>
      </c>
      <c r="AA407" s="1158">
        <v>43915.96214120371</v>
      </c>
      <c r="AB407" s="1138">
        <f t="shared" si="6"/>
        <v>181600</v>
      </c>
    </row>
    <row r="408" spans="1:28" x14ac:dyDescent="0.25">
      <c r="A408" s="1159">
        <v>111137</v>
      </c>
      <c r="B408" s="1159" t="s">
        <v>1184</v>
      </c>
      <c r="C408" s="1159" t="s">
        <v>1190</v>
      </c>
      <c r="D408" s="1160">
        <v>43914</v>
      </c>
      <c r="E408" s="1161">
        <v>18090000</v>
      </c>
      <c r="F408" s="1159" t="s">
        <v>404</v>
      </c>
      <c r="G408" s="1162" t="s">
        <v>611</v>
      </c>
      <c r="H408" s="1163">
        <v>1591</v>
      </c>
      <c r="I408" s="1159" t="s">
        <v>612</v>
      </c>
      <c r="J408" s="1162" t="s">
        <v>14</v>
      </c>
      <c r="K408" s="1159" t="s">
        <v>18</v>
      </c>
      <c r="L408" s="1159" t="s">
        <v>1184</v>
      </c>
      <c r="M408" s="1162" t="s">
        <v>14</v>
      </c>
      <c r="N408" s="1162" t="s">
        <v>647</v>
      </c>
      <c r="O408" s="1164">
        <v>53</v>
      </c>
      <c r="P408" s="1164">
        <v>0</v>
      </c>
      <c r="Q408" s="1164">
        <v>5</v>
      </c>
      <c r="R408" s="1159" t="s">
        <v>615</v>
      </c>
      <c r="S408" s="1159" t="s">
        <v>625</v>
      </c>
      <c r="T408" s="1159" t="s">
        <v>651</v>
      </c>
      <c r="U408" s="1166">
        <v>90800</v>
      </c>
      <c r="V408" s="1159" t="s">
        <v>651</v>
      </c>
      <c r="W408" s="1166">
        <v>90800</v>
      </c>
      <c r="X408" s="1159" t="s">
        <v>618</v>
      </c>
      <c r="Y408" s="1167">
        <v>43914.53907407407</v>
      </c>
      <c r="Z408" s="1159" t="s">
        <v>618</v>
      </c>
      <c r="AA408" s="1167">
        <v>43915.96221064815</v>
      </c>
      <c r="AB408" s="1138">
        <f t="shared" si="6"/>
        <v>181600</v>
      </c>
    </row>
    <row r="409" ht="24" customHeight="1" spans="1:28" x14ac:dyDescent="0.25">
      <c r="A409" s="1150">
        <v>111130</v>
      </c>
      <c r="B409" s="1150" t="s">
        <v>1184</v>
      </c>
      <c r="C409" s="1150" t="s">
        <v>1191</v>
      </c>
      <c r="D409" s="1151">
        <v>43914</v>
      </c>
      <c r="E409" s="1152">
        <v>23250000</v>
      </c>
      <c r="F409" s="1150" t="s">
        <v>387</v>
      </c>
      <c r="G409" s="1153" t="s">
        <v>611</v>
      </c>
      <c r="H409" s="1154">
        <v>1591</v>
      </c>
      <c r="I409" s="1150" t="s">
        <v>612</v>
      </c>
      <c r="J409" s="1153" t="s">
        <v>14</v>
      </c>
      <c r="K409" s="1150" t="s">
        <v>18</v>
      </c>
      <c r="L409" s="1150" t="s">
        <v>1184</v>
      </c>
      <c r="M409" s="1153" t="s">
        <v>14</v>
      </c>
      <c r="N409" s="1153" t="s">
        <v>647</v>
      </c>
      <c r="O409" s="1155">
        <v>47</v>
      </c>
      <c r="P409" s="1155">
        <v>0</v>
      </c>
      <c r="Q409" s="1155">
        <v>5</v>
      </c>
      <c r="R409" s="1150" t="s">
        <v>690</v>
      </c>
      <c r="S409" s="1150" t="s">
        <v>625</v>
      </c>
      <c r="T409" s="1150" t="s">
        <v>626</v>
      </c>
      <c r="U409" s="1157">
        <v>150000</v>
      </c>
      <c r="V409" s="1150" t="s">
        <v>626</v>
      </c>
      <c r="W409" s="1157">
        <v>150000</v>
      </c>
      <c r="X409" s="1150" t="s">
        <v>618</v>
      </c>
      <c r="Y409" s="1158">
        <v>43914.52304398148</v>
      </c>
      <c r="Z409" s="1150" t="s">
        <v>618</v>
      </c>
      <c r="AA409" s="1158">
        <v>43915.99229166667</v>
      </c>
      <c r="AB409" s="1138">
        <f t="shared" si="6"/>
        <v>300000</v>
      </c>
    </row>
    <row r="410" ht="24" customHeight="1" spans="1:28" x14ac:dyDescent="0.25">
      <c r="A410" s="1159">
        <v>111131</v>
      </c>
      <c r="B410" s="1159" t="s">
        <v>1184</v>
      </c>
      <c r="C410" s="1159" t="s">
        <v>1192</v>
      </c>
      <c r="D410" s="1160">
        <v>43914</v>
      </c>
      <c r="E410" s="1161">
        <v>27100000</v>
      </c>
      <c r="F410" s="1159" t="s">
        <v>387</v>
      </c>
      <c r="G410" s="1162" t="s">
        <v>611</v>
      </c>
      <c r="H410" s="1163">
        <v>1591</v>
      </c>
      <c r="I410" s="1159" t="s">
        <v>612</v>
      </c>
      <c r="J410" s="1162" t="s">
        <v>14</v>
      </c>
      <c r="K410" s="1159" t="s">
        <v>18</v>
      </c>
      <c r="L410" s="1159" t="s">
        <v>1184</v>
      </c>
      <c r="M410" s="1162" t="s">
        <v>14</v>
      </c>
      <c r="N410" s="1162" t="s">
        <v>647</v>
      </c>
      <c r="O410" s="1164">
        <v>47</v>
      </c>
      <c r="P410" s="1164">
        <v>0</v>
      </c>
      <c r="Q410" s="1164">
        <v>5</v>
      </c>
      <c r="R410" s="1159" t="s">
        <v>690</v>
      </c>
      <c r="S410" s="1159" t="s">
        <v>625</v>
      </c>
      <c r="T410" s="1159" t="s">
        <v>626</v>
      </c>
      <c r="U410" s="1166">
        <v>150000</v>
      </c>
      <c r="V410" s="1159" t="s">
        <v>626</v>
      </c>
      <c r="W410" s="1166">
        <v>150000</v>
      </c>
      <c r="X410" s="1159" t="s">
        <v>618</v>
      </c>
      <c r="Y410" s="1167">
        <v>43914.52416666667</v>
      </c>
      <c r="Z410" s="1159" t="s">
        <v>618</v>
      </c>
      <c r="AA410" s="1167">
        <v>43915.96879629629</v>
      </c>
      <c r="AB410" s="1138">
        <f t="shared" si="6"/>
        <v>300000</v>
      </c>
    </row>
    <row r="411" spans="1:28" x14ac:dyDescent="0.25">
      <c r="A411" s="1150">
        <v>111120</v>
      </c>
      <c r="B411" s="1150" t="s">
        <v>1184</v>
      </c>
      <c r="C411" s="1150" t="s">
        <v>1193</v>
      </c>
      <c r="D411" s="1151">
        <v>43914</v>
      </c>
      <c r="E411" s="1152">
        <v>18990000</v>
      </c>
      <c r="F411" s="1150" t="s">
        <v>387</v>
      </c>
      <c r="G411" s="1153" t="s">
        <v>611</v>
      </c>
      <c r="H411" s="1154">
        <v>1598</v>
      </c>
      <c r="I411" s="1150" t="s">
        <v>612</v>
      </c>
      <c r="J411" s="1153" t="s">
        <v>14</v>
      </c>
      <c r="K411" s="1150" t="s">
        <v>18</v>
      </c>
      <c r="L411" s="1150" t="s">
        <v>1184</v>
      </c>
      <c r="M411" s="1153" t="s">
        <v>14</v>
      </c>
      <c r="N411" s="1153" t="s">
        <v>647</v>
      </c>
      <c r="O411" s="1155">
        <v>47</v>
      </c>
      <c r="P411" s="1155">
        <v>0</v>
      </c>
      <c r="Q411" s="1155">
        <v>5</v>
      </c>
      <c r="R411" s="1150" t="s">
        <v>842</v>
      </c>
      <c r="S411" s="1150" t="s">
        <v>625</v>
      </c>
      <c r="T411" s="1150" t="s">
        <v>651</v>
      </c>
      <c r="U411" s="1157">
        <v>90800</v>
      </c>
      <c r="V411" s="1150" t="s">
        <v>651</v>
      </c>
      <c r="W411" s="1157">
        <v>90800</v>
      </c>
      <c r="X411" s="1150" t="s">
        <v>618</v>
      </c>
      <c r="Y411" s="1158">
        <v>43914.49728009259</v>
      </c>
      <c r="Z411" s="1150" t="s">
        <v>618</v>
      </c>
      <c r="AA411" s="1158">
        <v>43915.96255787037</v>
      </c>
      <c r="AB411" s="1138">
        <f t="shared" si="6"/>
        <v>181600</v>
      </c>
    </row>
    <row r="412" ht="24" customHeight="1" spans="1:28" x14ac:dyDescent="0.25">
      <c r="A412" s="1159">
        <v>111132</v>
      </c>
      <c r="B412" s="1159" t="s">
        <v>1184</v>
      </c>
      <c r="C412" s="1159" t="s">
        <v>1194</v>
      </c>
      <c r="D412" s="1160">
        <v>43914</v>
      </c>
      <c r="E412" s="1161">
        <v>16750000</v>
      </c>
      <c r="F412" s="1159" t="s">
        <v>387</v>
      </c>
      <c r="G412" s="1162" t="s">
        <v>611</v>
      </c>
      <c r="H412" s="1163">
        <v>1598</v>
      </c>
      <c r="I412" s="1159" t="s">
        <v>612</v>
      </c>
      <c r="J412" s="1162" t="s">
        <v>14</v>
      </c>
      <c r="K412" s="1159" t="s">
        <v>18</v>
      </c>
      <c r="L412" s="1159" t="s">
        <v>1184</v>
      </c>
      <c r="M412" s="1162" t="s">
        <v>14</v>
      </c>
      <c r="N412" s="1162" t="s">
        <v>647</v>
      </c>
      <c r="O412" s="1164">
        <v>47</v>
      </c>
      <c r="P412" s="1164">
        <v>0</v>
      </c>
      <c r="Q412" s="1164">
        <v>5</v>
      </c>
      <c r="R412" s="1159" t="s">
        <v>842</v>
      </c>
      <c r="S412" s="1159" t="s">
        <v>625</v>
      </c>
      <c r="T412" s="1159" t="s">
        <v>651</v>
      </c>
      <c r="U412" s="1166">
        <v>90800</v>
      </c>
      <c r="V412" s="1159" t="s">
        <v>651</v>
      </c>
      <c r="W412" s="1166">
        <v>90800</v>
      </c>
      <c r="X412" s="1159" t="s">
        <v>618</v>
      </c>
      <c r="Y412" s="1167">
        <v>43914.52873842593</v>
      </c>
      <c r="Z412" s="1159" t="s">
        <v>618</v>
      </c>
      <c r="AA412" s="1167">
        <v>43915.962372685186</v>
      </c>
      <c r="AB412" s="1138">
        <f t="shared" si="6"/>
        <v>181600</v>
      </c>
    </row>
    <row r="413" spans="1:28" x14ac:dyDescent="0.25">
      <c r="A413" s="1150">
        <v>111119</v>
      </c>
      <c r="B413" s="1150" t="s">
        <v>1184</v>
      </c>
      <c r="C413" s="1150" t="s">
        <v>1195</v>
      </c>
      <c r="D413" s="1151">
        <v>43914</v>
      </c>
      <c r="E413" s="1152">
        <v>16810000</v>
      </c>
      <c r="F413" s="1150" t="s">
        <v>387</v>
      </c>
      <c r="G413" s="1153" t="s">
        <v>611</v>
      </c>
      <c r="H413" s="1154">
        <v>1598</v>
      </c>
      <c r="I413" s="1150" t="s">
        <v>612</v>
      </c>
      <c r="J413" s="1153" t="s">
        <v>14</v>
      </c>
      <c r="K413" s="1150" t="s">
        <v>18</v>
      </c>
      <c r="L413" s="1150" t="s">
        <v>1184</v>
      </c>
      <c r="M413" s="1153" t="s">
        <v>14</v>
      </c>
      <c r="N413" s="1153" t="s">
        <v>647</v>
      </c>
      <c r="O413" s="1155">
        <v>47</v>
      </c>
      <c r="P413" s="1155">
        <v>0</v>
      </c>
      <c r="Q413" s="1155">
        <v>5</v>
      </c>
      <c r="R413" s="1150" t="s">
        <v>842</v>
      </c>
      <c r="S413" s="1150" t="s">
        <v>625</v>
      </c>
      <c r="T413" s="1150" t="s">
        <v>651</v>
      </c>
      <c r="U413" s="1157">
        <v>90800</v>
      </c>
      <c r="V413" s="1150" t="s">
        <v>651</v>
      </c>
      <c r="W413" s="1157">
        <v>90800</v>
      </c>
      <c r="X413" s="1150" t="s">
        <v>618</v>
      </c>
      <c r="Y413" s="1158">
        <v>43914.39605324074</v>
      </c>
      <c r="Z413" s="1150" t="s">
        <v>618</v>
      </c>
      <c r="AA413" s="1158">
        <v>43915.96246527778</v>
      </c>
      <c r="AB413" s="1138">
        <f t="shared" si="6"/>
        <v>181600</v>
      </c>
    </row>
    <row r="414" ht="24" customHeight="1" spans="1:28" x14ac:dyDescent="0.25">
      <c r="A414" s="1159">
        <v>111121</v>
      </c>
      <c r="B414" s="1159" t="s">
        <v>1184</v>
      </c>
      <c r="C414" s="1159" t="s">
        <v>1196</v>
      </c>
      <c r="D414" s="1160">
        <v>43914</v>
      </c>
      <c r="E414" s="1161">
        <v>23920000</v>
      </c>
      <c r="F414" s="1159" t="s">
        <v>387</v>
      </c>
      <c r="G414" s="1162" t="s">
        <v>611</v>
      </c>
      <c r="H414" s="1163">
        <v>1598</v>
      </c>
      <c r="I414" s="1159" t="s">
        <v>612</v>
      </c>
      <c r="J414" s="1162" t="s">
        <v>14</v>
      </c>
      <c r="K414" s="1159" t="s">
        <v>18</v>
      </c>
      <c r="L414" s="1159" t="s">
        <v>1184</v>
      </c>
      <c r="M414" s="1162" t="s">
        <v>14</v>
      </c>
      <c r="N414" s="1162" t="s">
        <v>647</v>
      </c>
      <c r="O414" s="1164">
        <v>47</v>
      </c>
      <c r="P414" s="1164">
        <v>0</v>
      </c>
      <c r="Q414" s="1164">
        <v>5</v>
      </c>
      <c r="R414" s="1159" t="s">
        <v>842</v>
      </c>
      <c r="S414" s="1159" t="s">
        <v>625</v>
      </c>
      <c r="T414" s="1159" t="s">
        <v>651</v>
      </c>
      <c r="U414" s="1166">
        <v>90800</v>
      </c>
      <c r="V414" s="1159" t="s">
        <v>651</v>
      </c>
      <c r="W414" s="1166">
        <v>90800</v>
      </c>
      <c r="X414" s="1159" t="s">
        <v>618</v>
      </c>
      <c r="Y414" s="1167">
        <v>43914.50269675926</v>
      </c>
      <c r="Z414" s="1159" t="s">
        <v>618</v>
      </c>
      <c r="AA414" s="1167">
        <v>43915.92681712963</v>
      </c>
      <c r="AB414" s="1138">
        <f t="shared" si="6"/>
        <v>181600</v>
      </c>
    </row>
    <row r="415" spans="1:28" x14ac:dyDescent="0.25">
      <c r="A415" s="1150">
        <v>107480</v>
      </c>
      <c r="B415" s="1150" t="s">
        <v>1197</v>
      </c>
      <c r="C415" s="1150" t="s">
        <v>1198</v>
      </c>
      <c r="D415" s="1151">
        <v>42173</v>
      </c>
      <c r="E415" s="1152">
        <v>15600000</v>
      </c>
      <c r="F415" s="1150" t="s">
        <v>387</v>
      </c>
      <c r="G415" s="1153" t="s">
        <v>611</v>
      </c>
      <c r="H415" s="1154">
        <v>1362</v>
      </c>
      <c r="I415" s="1150" t="s">
        <v>612</v>
      </c>
      <c r="J415" s="1153" t="s">
        <v>14</v>
      </c>
      <c r="K415" s="1150" t="s">
        <v>849</v>
      </c>
      <c r="L415" s="1150" t="s">
        <v>1197</v>
      </c>
      <c r="M415" s="1153" t="s">
        <v>14</v>
      </c>
      <c r="N415" s="1153" t="s">
        <v>410</v>
      </c>
      <c r="O415" s="1155">
        <v>46</v>
      </c>
      <c r="P415" s="1156"/>
      <c r="Q415" s="1155">
        <v>5</v>
      </c>
      <c r="R415" s="1150" t="s">
        <v>710</v>
      </c>
      <c r="S415" s="1150" t="s">
        <v>910</v>
      </c>
      <c r="T415" s="1150" t="s">
        <v>651</v>
      </c>
      <c r="U415" s="1157">
        <v>90800</v>
      </c>
      <c r="V415" s="1150" t="s">
        <v>651</v>
      </c>
      <c r="W415" s="1157">
        <v>90800</v>
      </c>
      <c r="X415" s="1150" t="s">
        <v>635</v>
      </c>
      <c r="Y415" s="1158">
        <v>42173.47844907407</v>
      </c>
      <c r="Z415" s="1150" t="s">
        <v>635</v>
      </c>
      <c r="AA415" s="1158">
        <v>42696.72109953704</v>
      </c>
      <c r="AB415" s="1138">
        <f t="shared" si="6"/>
        <v>181600</v>
      </c>
    </row>
    <row r="416" spans="1:28" x14ac:dyDescent="0.25">
      <c r="A416" s="1159">
        <v>107481</v>
      </c>
      <c r="B416" s="1159" t="s">
        <v>1197</v>
      </c>
      <c r="C416" s="1159" t="s">
        <v>1199</v>
      </c>
      <c r="D416" s="1160">
        <v>42173</v>
      </c>
      <c r="E416" s="1161">
        <v>16740000</v>
      </c>
      <c r="F416" s="1159" t="s">
        <v>387</v>
      </c>
      <c r="G416" s="1162" t="s">
        <v>611</v>
      </c>
      <c r="H416" s="1163">
        <v>1362</v>
      </c>
      <c r="I416" s="1159" t="s">
        <v>612</v>
      </c>
      <c r="J416" s="1162" t="s">
        <v>14</v>
      </c>
      <c r="K416" s="1159" t="s">
        <v>849</v>
      </c>
      <c r="L416" s="1159" t="s">
        <v>1197</v>
      </c>
      <c r="M416" s="1162" t="s">
        <v>14</v>
      </c>
      <c r="N416" s="1162" t="s">
        <v>410</v>
      </c>
      <c r="O416" s="1164">
        <v>46</v>
      </c>
      <c r="P416" s="1165"/>
      <c r="Q416" s="1164">
        <v>5</v>
      </c>
      <c r="R416" s="1159" t="s">
        <v>710</v>
      </c>
      <c r="S416" s="1159" t="s">
        <v>910</v>
      </c>
      <c r="T416" s="1159" t="s">
        <v>651</v>
      </c>
      <c r="U416" s="1166">
        <v>90800</v>
      </c>
      <c r="V416" s="1159" t="s">
        <v>651</v>
      </c>
      <c r="W416" s="1166">
        <v>90800</v>
      </c>
      <c r="X416" s="1159" t="s">
        <v>635</v>
      </c>
      <c r="Y416" s="1167">
        <v>42173.48105324074</v>
      </c>
      <c r="Z416" s="1159" t="s">
        <v>635</v>
      </c>
      <c r="AA416" s="1167">
        <v>42696.72296296296</v>
      </c>
      <c r="AB416" s="1138">
        <f t="shared" si="6"/>
        <v>181600</v>
      </c>
    </row>
    <row r="417" ht="24" customHeight="1" spans="1:28" x14ac:dyDescent="0.25">
      <c r="A417" s="1150">
        <v>107482</v>
      </c>
      <c r="B417" s="1150" t="s">
        <v>1197</v>
      </c>
      <c r="C417" s="1150" t="s">
        <v>1200</v>
      </c>
      <c r="D417" s="1151">
        <v>42173</v>
      </c>
      <c r="E417" s="1152">
        <v>17790000</v>
      </c>
      <c r="F417" s="1150" t="s">
        <v>387</v>
      </c>
      <c r="G417" s="1153" t="s">
        <v>611</v>
      </c>
      <c r="H417" s="1154">
        <v>1362</v>
      </c>
      <c r="I417" s="1150" t="s">
        <v>612</v>
      </c>
      <c r="J417" s="1153" t="s">
        <v>14</v>
      </c>
      <c r="K417" s="1150" t="s">
        <v>849</v>
      </c>
      <c r="L417" s="1150" t="s">
        <v>1197</v>
      </c>
      <c r="M417" s="1153" t="s">
        <v>14</v>
      </c>
      <c r="N417" s="1153" t="s">
        <v>410</v>
      </c>
      <c r="O417" s="1155">
        <v>46</v>
      </c>
      <c r="P417" s="1156"/>
      <c r="Q417" s="1155">
        <v>5</v>
      </c>
      <c r="R417" s="1150" t="s">
        <v>710</v>
      </c>
      <c r="S417" s="1150" t="s">
        <v>910</v>
      </c>
      <c r="T417" s="1150" t="s">
        <v>649</v>
      </c>
      <c r="U417" s="1157">
        <v>100800</v>
      </c>
      <c r="V417" s="1150" t="s">
        <v>649</v>
      </c>
      <c r="W417" s="1157">
        <v>100800</v>
      </c>
      <c r="X417" s="1150" t="s">
        <v>635</v>
      </c>
      <c r="Y417" s="1158">
        <v>42173.482581018514</v>
      </c>
      <c r="Z417" s="1150" t="s">
        <v>635</v>
      </c>
      <c r="AA417" s="1158">
        <v>42696.724548611106</v>
      </c>
      <c r="AB417" s="1138">
        <f t="shared" si="6"/>
        <v>201600</v>
      </c>
    </row>
    <row r="418" ht="24" customHeight="1" spans="1:28" x14ac:dyDescent="0.25">
      <c r="A418" s="1159">
        <v>107484</v>
      </c>
      <c r="B418" s="1159" t="s">
        <v>1197</v>
      </c>
      <c r="C418" s="1159" t="s">
        <v>1201</v>
      </c>
      <c r="D418" s="1160">
        <v>42173</v>
      </c>
      <c r="E418" s="1161">
        <v>16690000</v>
      </c>
      <c r="F418" s="1159" t="s">
        <v>387</v>
      </c>
      <c r="G418" s="1162" t="s">
        <v>611</v>
      </c>
      <c r="H418" s="1163">
        <v>1362</v>
      </c>
      <c r="I418" s="1159" t="s">
        <v>612</v>
      </c>
      <c r="J418" s="1162" t="s">
        <v>14</v>
      </c>
      <c r="K418" s="1159" t="s">
        <v>849</v>
      </c>
      <c r="L418" s="1159" t="s">
        <v>1197</v>
      </c>
      <c r="M418" s="1162" t="s">
        <v>14</v>
      </c>
      <c r="N418" s="1162" t="s">
        <v>410</v>
      </c>
      <c r="O418" s="1164">
        <v>46</v>
      </c>
      <c r="P418" s="1164">
        <v>0</v>
      </c>
      <c r="Q418" s="1164">
        <v>5</v>
      </c>
      <c r="R418" s="1159" t="s">
        <v>710</v>
      </c>
      <c r="S418" s="1159" t="s">
        <v>910</v>
      </c>
      <c r="T418" s="1159" t="s">
        <v>651</v>
      </c>
      <c r="U418" s="1166">
        <v>90800</v>
      </c>
      <c r="V418" s="1159" t="s">
        <v>651</v>
      </c>
      <c r="W418" s="1166">
        <v>90800</v>
      </c>
      <c r="X418" s="1159" t="s">
        <v>635</v>
      </c>
      <c r="Y418" s="1167">
        <v>42173.48630787037</v>
      </c>
      <c r="Z418" s="1159" t="s">
        <v>635</v>
      </c>
      <c r="AA418" s="1167">
        <v>42696.725486111114</v>
      </c>
      <c r="AB418" s="1138">
        <f t="shared" si="6"/>
        <v>181600</v>
      </c>
    </row>
    <row r="419" ht="24" customHeight="1" spans="1:28" x14ac:dyDescent="0.25">
      <c r="A419" s="1150">
        <v>107485</v>
      </c>
      <c r="B419" s="1150" t="s">
        <v>1197</v>
      </c>
      <c r="C419" s="1150" t="s">
        <v>1202</v>
      </c>
      <c r="D419" s="1151">
        <v>42173</v>
      </c>
      <c r="E419" s="1152">
        <v>17960000</v>
      </c>
      <c r="F419" s="1150" t="s">
        <v>387</v>
      </c>
      <c r="G419" s="1153" t="s">
        <v>611</v>
      </c>
      <c r="H419" s="1154">
        <v>1362</v>
      </c>
      <c r="I419" s="1150" t="s">
        <v>612</v>
      </c>
      <c r="J419" s="1153" t="s">
        <v>14</v>
      </c>
      <c r="K419" s="1150" t="s">
        <v>849</v>
      </c>
      <c r="L419" s="1150" t="s">
        <v>1197</v>
      </c>
      <c r="M419" s="1153" t="s">
        <v>14</v>
      </c>
      <c r="N419" s="1153" t="s">
        <v>410</v>
      </c>
      <c r="O419" s="1155">
        <v>46</v>
      </c>
      <c r="P419" s="1155">
        <v>0</v>
      </c>
      <c r="Q419" s="1155">
        <v>5</v>
      </c>
      <c r="R419" s="1150" t="s">
        <v>710</v>
      </c>
      <c r="S419" s="1150" t="s">
        <v>910</v>
      </c>
      <c r="T419" s="1150" t="s">
        <v>649</v>
      </c>
      <c r="U419" s="1157">
        <v>100800</v>
      </c>
      <c r="V419" s="1150" t="s">
        <v>649</v>
      </c>
      <c r="W419" s="1157">
        <v>100800</v>
      </c>
      <c r="X419" s="1150" t="s">
        <v>635</v>
      </c>
      <c r="Y419" s="1158">
        <v>42173.48763888889</v>
      </c>
      <c r="Z419" s="1150" t="s">
        <v>635</v>
      </c>
      <c r="AA419" s="1158">
        <v>42696.72641203704</v>
      </c>
      <c r="AB419" s="1138">
        <f t="shared" si="6"/>
        <v>201600</v>
      </c>
    </row>
    <row r="420" spans="1:28" x14ac:dyDescent="0.25">
      <c r="A420" s="1159">
        <v>110759</v>
      </c>
      <c r="B420" s="1159" t="s">
        <v>1203</v>
      </c>
      <c r="C420" s="1159" t="s">
        <v>1204</v>
      </c>
      <c r="D420" s="1160">
        <v>43762</v>
      </c>
      <c r="E420" s="1161">
        <v>42661000</v>
      </c>
      <c r="F420" s="1159" t="s">
        <v>759</v>
      </c>
      <c r="G420" s="1162" t="s">
        <v>611</v>
      </c>
      <c r="H420" s="1162">
        <v>0</v>
      </c>
      <c r="I420" s="1159" t="s">
        <v>629</v>
      </c>
      <c r="J420" s="1162" t="s">
        <v>14</v>
      </c>
      <c r="K420" s="1159" t="s">
        <v>18</v>
      </c>
      <c r="L420" s="1159" t="s">
        <v>1203</v>
      </c>
      <c r="M420" s="1162" t="s">
        <v>14</v>
      </c>
      <c r="N420" s="1162" t="s">
        <v>799</v>
      </c>
      <c r="O420" s="1164">
        <v>0</v>
      </c>
      <c r="P420" s="1165"/>
      <c r="Q420" s="1164">
        <v>5</v>
      </c>
      <c r="R420" s="1159" t="s">
        <v>773</v>
      </c>
      <c r="S420" s="1159" t="s">
        <v>625</v>
      </c>
      <c r="T420" s="1159" t="s">
        <v>763</v>
      </c>
      <c r="U420" s="1166">
        <v>109400</v>
      </c>
      <c r="V420" s="1159" t="s">
        <v>763</v>
      </c>
      <c r="W420" s="1166">
        <v>109400</v>
      </c>
      <c r="X420" s="1159" t="s">
        <v>618</v>
      </c>
      <c r="Y420" s="1167">
        <v>43762.48905092593</v>
      </c>
      <c r="Z420" s="1159" t="s">
        <v>618</v>
      </c>
      <c r="AA420" s="1167">
        <v>43900.532546296294</v>
      </c>
      <c r="AB420" s="1138">
        <f t="shared" si="6"/>
        <v>218800</v>
      </c>
    </row>
    <row r="421" spans="1:28" x14ac:dyDescent="0.25">
      <c r="A421" s="1150">
        <v>110760</v>
      </c>
      <c r="B421" s="1150" t="s">
        <v>1203</v>
      </c>
      <c r="C421" s="1150" t="s">
        <v>1205</v>
      </c>
      <c r="D421" s="1151">
        <v>43762</v>
      </c>
      <c r="E421" s="1152">
        <v>45856000</v>
      </c>
      <c r="F421" s="1150" t="s">
        <v>759</v>
      </c>
      <c r="G421" s="1153" t="s">
        <v>611</v>
      </c>
      <c r="H421" s="1153">
        <v>0</v>
      </c>
      <c r="I421" s="1150" t="s">
        <v>629</v>
      </c>
      <c r="J421" s="1153" t="s">
        <v>14</v>
      </c>
      <c r="K421" s="1150" t="s">
        <v>18</v>
      </c>
      <c r="L421" s="1150" t="s">
        <v>1203</v>
      </c>
      <c r="M421" s="1153" t="s">
        <v>14</v>
      </c>
      <c r="N421" s="1153" t="s">
        <v>799</v>
      </c>
      <c r="O421" s="1155">
        <v>0</v>
      </c>
      <c r="P421" s="1156"/>
      <c r="Q421" s="1155">
        <v>5</v>
      </c>
      <c r="R421" s="1150" t="s">
        <v>773</v>
      </c>
      <c r="S421" s="1150" t="s">
        <v>625</v>
      </c>
      <c r="T421" s="1150" t="s">
        <v>763</v>
      </c>
      <c r="U421" s="1157">
        <v>109400</v>
      </c>
      <c r="V421" s="1150" t="s">
        <v>763</v>
      </c>
      <c r="W421" s="1157">
        <v>109400</v>
      </c>
      <c r="X421" s="1150" t="s">
        <v>618</v>
      </c>
      <c r="Y421" s="1158">
        <v>43762.52354166667</v>
      </c>
      <c r="Z421" s="1150" t="s">
        <v>618</v>
      </c>
      <c r="AA421" s="1158">
        <v>43900.5328125</v>
      </c>
      <c r="AB421" s="1138">
        <f t="shared" si="6"/>
        <v>218800</v>
      </c>
    </row>
    <row r="422" ht="24" customHeight="1" spans="1:28" x14ac:dyDescent="0.25">
      <c r="A422" s="1159">
        <v>110763</v>
      </c>
      <c r="B422" s="1159" t="s">
        <v>1203</v>
      </c>
      <c r="C422" s="1159" t="s">
        <v>1206</v>
      </c>
      <c r="D422" s="1160">
        <v>43762</v>
      </c>
      <c r="E422" s="1161">
        <v>31951130</v>
      </c>
      <c r="F422" s="1159" t="s">
        <v>681</v>
      </c>
      <c r="G422" s="1162" t="s">
        <v>611</v>
      </c>
      <c r="H422" s="1163">
        <v>1580</v>
      </c>
      <c r="I422" s="1159" t="s">
        <v>629</v>
      </c>
      <c r="J422" s="1162" t="s">
        <v>14</v>
      </c>
      <c r="K422" s="1159" t="s">
        <v>18</v>
      </c>
      <c r="L422" s="1159" t="s">
        <v>1203</v>
      </c>
      <c r="M422" s="1162" t="s">
        <v>14</v>
      </c>
      <c r="N422" s="1162" t="s">
        <v>799</v>
      </c>
      <c r="O422" s="1164">
        <v>0</v>
      </c>
      <c r="P422" s="1165"/>
      <c r="Q422" s="1164">
        <v>5</v>
      </c>
      <c r="R422" s="1159" t="s">
        <v>773</v>
      </c>
      <c r="S422" s="1159" t="s">
        <v>625</v>
      </c>
      <c r="T422" s="1159" t="s">
        <v>649</v>
      </c>
      <c r="U422" s="1166">
        <v>100800</v>
      </c>
      <c r="V422" s="1159" t="s">
        <v>649</v>
      </c>
      <c r="W422" s="1166">
        <v>100800</v>
      </c>
      <c r="X422" s="1159" t="s">
        <v>618</v>
      </c>
      <c r="Y422" s="1167">
        <v>43762.53152777778</v>
      </c>
      <c r="Z422" s="1159" t="s">
        <v>618</v>
      </c>
      <c r="AA422" s="1167">
        <v>43900.53461805556</v>
      </c>
      <c r="AB422" s="1138">
        <f t="shared" si="6"/>
        <v>201600</v>
      </c>
    </row>
    <row r="423" ht="24" customHeight="1" spans="1:28" x14ac:dyDescent="0.25">
      <c r="A423" s="1150">
        <v>110764</v>
      </c>
      <c r="B423" s="1150" t="s">
        <v>1203</v>
      </c>
      <c r="C423" s="1150" t="s">
        <v>1207</v>
      </c>
      <c r="D423" s="1151">
        <v>43762</v>
      </c>
      <c r="E423" s="1152">
        <v>34599016</v>
      </c>
      <c r="F423" s="1150" t="s">
        <v>681</v>
      </c>
      <c r="G423" s="1153" t="s">
        <v>611</v>
      </c>
      <c r="H423" s="1154">
        <v>1580</v>
      </c>
      <c r="I423" s="1150" t="s">
        <v>629</v>
      </c>
      <c r="J423" s="1153" t="s">
        <v>14</v>
      </c>
      <c r="K423" s="1150" t="s">
        <v>18</v>
      </c>
      <c r="L423" s="1150" t="s">
        <v>1203</v>
      </c>
      <c r="M423" s="1153" t="s">
        <v>14</v>
      </c>
      <c r="N423" s="1153" t="s">
        <v>799</v>
      </c>
      <c r="O423" s="1155">
        <v>0</v>
      </c>
      <c r="P423" s="1156"/>
      <c r="Q423" s="1155">
        <v>5</v>
      </c>
      <c r="R423" s="1150" t="s">
        <v>773</v>
      </c>
      <c r="S423" s="1150" t="s">
        <v>625</v>
      </c>
      <c r="T423" s="1150" t="s">
        <v>649</v>
      </c>
      <c r="U423" s="1157">
        <v>100800</v>
      </c>
      <c r="V423" s="1150" t="s">
        <v>649</v>
      </c>
      <c r="W423" s="1157">
        <v>100800</v>
      </c>
      <c r="X423" s="1150" t="s">
        <v>618</v>
      </c>
      <c r="Y423" s="1158">
        <v>43762.611238425925</v>
      </c>
      <c r="Z423" s="1150" t="s">
        <v>618</v>
      </c>
      <c r="AA423" s="1158">
        <v>43900.53483796296</v>
      </c>
      <c r="AB423" s="1138">
        <f t="shared" si="6"/>
        <v>201600</v>
      </c>
    </row>
    <row r="424" ht="24" customHeight="1" spans="1:28" x14ac:dyDescent="0.25">
      <c r="A424" s="1159">
        <v>107924</v>
      </c>
      <c r="B424" s="1159" t="s">
        <v>1203</v>
      </c>
      <c r="C424" s="1159" t="s">
        <v>1208</v>
      </c>
      <c r="D424" s="1160">
        <v>42424</v>
      </c>
      <c r="E424" s="1161">
        <v>22857190</v>
      </c>
      <c r="F424" s="1159" t="s">
        <v>681</v>
      </c>
      <c r="G424" s="1162" t="s">
        <v>611</v>
      </c>
      <c r="H424" s="1163">
        <v>1580</v>
      </c>
      <c r="I424" s="1159" t="s">
        <v>629</v>
      </c>
      <c r="J424" s="1162" t="s">
        <v>14</v>
      </c>
      <c r="K424" s="1159" t="s">
        <v>18</v>
      </c>
      <c r="L424" s="1159" t="s">
        <v>1203</v>
      </c>
      <c r="M424" s="1162" t="s">
        <v>14</v>
      </c>
      <c r="N424" s="1162" t="s">
        <v>614</v>
      </c>
      <c r="O424" s="1164">
        <v>45</v>
      </c>
      <c r="P424" s="1165"/>
      <c r="Q424" s="1164">
        <v>5</v>
      </c>
      <c r="R424" s="1159" t="s">
        <v>710</v>
      </c>
      <c r="S424" s="1159" t="s">
        <v>625</v>
      </c>
      <c r="T424" s="1159" t="s">
        <v>651</v>
      </c>
      <c r="U424" s="1166">
        <v>90800</v>
      </c>
      <c r="V424" s="1159" t="s">
        <v>651</v>
      </c>
      <c r="W424" s="1166">
        <v>90800</v>
      </c>
      <c r="X424" s="1159" t="s">
        <v>635</v>
      </c>
      <c r="Y424" s="1167">
        <v>42424.4527662037</v>
      </c>
      <c r="Z424" s="1159" t="s">
        <v>618</v>
      </c>
      <c r="AA424" s="1167">
        <v>43898.09824074074</v>
      </c>
      <c r="AB424" s="1138">
        <f t="shared" si="6"/>
        <v>181600</v>
      </c>
    </row>
    <row r="425" ht="24" customHeight="1" spans="1:28" x14ac:dyDescent="0.25">
      <c r="A425" s="1150">
        <v>107926</v>
      </c>
      <c r="B425" s="1150" t="s">
        <v>1203</v>
      </c>
      <c r="C425" s="1150" t="s">
        <v>1209</v>
      </c>
      <c r="D425" s="1151">
        <v>42424</v>
      </c>
      <c r="E425" s="1152">
        <v>25161260</v>
      </c>
      <c r="F425" s="1150" t="s">
        <v>681</v>
      </c>
      <c r="G425" s="1153" t="s">
        <v>611</v>
      </c>
      <c r="H425" s="1154">
        <v>1580</v>
      </c>
      <c r="I425" s="1150" t="s">
        <v>629</v>
      </c>
      <c r="J425" s="1153" t="s">
        <v>14</v>
      </c>
      <c r="K425" s="1150" t="s">
        <v>18</v>
      </c>
      <c r="L425" s="1150" t="s">
        <v>1203</v>
      </c>
      <c r="M425" s="1153" t="s">
        <v>14</v>
      </c>
      <c r="N425" s="1153" t="s">
        <v>614</v>
      </c>
      <c r="O425" s="1155">
        <v>45</v>
      </c>
      <c r="P425" s="1156"/>
      <c r="Q425" s="1155">
        <v>5</v>
      </c>
      <c r="R425" s="1150" t="s">
        <v>710</v>
      </c>
      <c r="S425" s="1150" t="s">
        <v>625</v>
      </c>
      <c r="T425" s="1150" t="s">
        <v>651</v>
      </c>
      <c r="U425" s="1157">
        <v>90800</v>
      </c>
      <c r="V425" s="1150" t="s">
        <v>651</v>
      </c>
      <c r="W425" s="1157">
        <v>90800</v>
      </c>
      <c r="X425" s="1150" t="s">
        <v>635</v>
      </c>
      <c r="Y425" s="1158">
        <v>42424.46636574074</v>
      </c>
      <c r="Z425" s="1150" t="s">
        <v>618</v>
      </c>
      <c r="AA425" s="1158">
        <v>43898.09861111111</v>
      </c>
      <c r="AB425" s="1138">
        <f t="shared" si="6"/>
        <v>181600</v>
      </c>
    </row>
    <row r="426" ht="24" customHeight="1" spans="1:28" x14ac:dyDescent="0.25">
      <c r="A426" s="1159">
        <v>107928</v>
      </c>
      <c r="B426" s="1159" t="s">
        <v>1203</v>
      </c>
      <c r="C426" s="1159" t="s">
        <v>1210</v>
      </c>
      <c r="D426" s="1160">
        <v>42424</v>
      </c>
      <c r="E426" s="1161">
        <v>27455136</v>
      </c>
      <c r="F426" s="1159" t="s">
        <v>681</v>
      </c>
      <c r="G426" s="1162" t="s">
        <v>611</v>
      </c>
      <c r="H426" s="1163">
        <v>1580</v>
      </c>
      <c r="I426" s="1159" t="s">
        <v>629</v>
      </c>
      <c r="J426" s="1162" t="s">
        <v>14</v>
      </c>
      <c r="K426" s="1159" t="s">
        <v>18</v>
      </c>
      <c r="L426" s="1159" t="s">
        <v>1203</v>
      </c>
      <c r="M426" s="1162" t="s">
        <v>14</v>
      </c>
      <c r="N426" s="1162" t="s">
        <v>614</v>
      </c>
      <c r="O426" s="1164">
        <v>45</v>
      </c>
      <c r="P426" s="1165"/>
      <c r="Q426" s="1164">
        <v>5</v>
      </c>
      <c r="R426" s="1159" t="s">
        <v>710</v>
      </c>
      <c r="S426" s="1159" t="s">
        <v>625</v>
      </c>
      <c r="T426" s="1159" t="s">
        <v>651</v>
      </c>
      <c r="U426" s="1166">
        <v>90800</v>
      </c>
      <c r="V426" s="1159" t="s">
        <v>651</v>
      </c>
      <c r="W426" s="1166">
        <v>90800</v>
      </c>
      <c r="X426" s="1159" t="s">
        <v>635</v>
      </c>
      <c r="Y426" s="1167">
        <v>42424.467453703706</v>
      </c>
      <c r="Z426" s="1159" t="s">
        <v>618</v>
      </c>
      <c r="AA426" s="1167">
        <v>43898.0987962963</v>
      </c>
      <c r="AB426" s="1138">
        <f t="shared" si="6"/>
        <v>181600</v>
      </c>
    </row>
    <row r="427" spans="1:28" x14ac:dyDescent="0.25">
      <c r="A427" s="1150">
        <v>100299</v>
      </c>
      <c r="B427" s="1150" t="s">
        <v>1211</v>
      </c>
      <c r="C427" s="1150" t="s">
        <v>1212</v>
      </c>
      <c r="D427" s="1151">
        <v>40952</v>
      </c>
      <c r="E427" s="1152">
        <v>134970000</v>
      </c>
      <c r="F427" s="1150" t="s">
        <v>387</v>
      </c>
      <c r="G427" s="1153" t="s">
        <v>611</v>
      </c>
      <c r="H427" s="1154">
        <v>3778</v>
      </c>
      <c r="I427" s="1150" t="s">
        <v>629</v>
      </c>
      <c r="J427" s="1153" t="s">
        <v>14</v>
      </c>
      <c r="K427" s="1150" t="s">
        <v>18</v>
      </c>
      <c r="L427" s="1150" t="s">
        <v>1211</v>
      </c>
      <c r="M427" s="1153" t="s">
        <v>14</v>
      </c>
      <c r="N427" s="1153" t="s">
        <v>1213</v>
      </c>
      <c r="O427" s="1155">
        <v>77</v>
      </c>
      <c r="P427" s="1155">
        <v>0</v>
      </c>
      <c r="Q427" s="1155">
        <v>5</v>
      </c>
      <c r="R427" s="1150" t="s">
        <v>773</v>
      </c>
      <c r="S427" s="1150" t="s">
        <v>625</v>
      </c>
      <c r="T427" s="1150" t="s">
        <v>719</v>
      </c>
      <c r="U427" s="1157">
        <v>188500</v>
      </c>
      <c r="V427" s="1150" t="s">
        <v>720</v>
      </c>
      <c r="W427" s="1157">
        <v>229600</v>
      </c>
      <c r="X427" s="1150" t="s">
        <v>634</v>
      </c>
      <c r="Y427" s="1158">
        <v>40952.55929398148</v>
      </c>
      <c r="Z427" s="1150" t="s">
        <v>776</v>
      </c>
      <c r="AA427" s="1158">
        <v>41880.487488425926</v>
      </c>
      <c r="AB427" s="1138">
        <f t="shared" si="6"/>
        <v>459200</v>
      </c>
    </row>
    <row r="428" spans="1:28" x14ac:dyDescent="0.25">
      <c r="A428" s="1159">
        <v>100300</v>
      </c>
      <c r="B428" s="1159" t="s">
        <v>1211</v>
      </c>
      <c r="C428" s="1159" t="s">
        <v>1214</v>
      </c>
      <c r="D428" s="1160">
        <v>40952</v>
      </c>
      <c r="E428" s="1161">
        <v>143030000</v>
      </c>
      <c r="F428" s="1159" t="s">
        <v>387</v>
      </c>
      <c r="G428" s="1162" t="s">
        <v>611</v>
      </c>
      <c r="H428" s="1163">
        <v>5038</v>
      </c>
      <c r="I428" s="1159" t="s">
        <v>629</v>
      </c>
      <c r="J428" s="1162" t="s">
        <v>14</v>
      </c>
      <c r="K428" s="1159" t="s">
        <v>18</v>
      </c>
      <c r="L428" s="1159" t="s">
        <v>1211</v>
      </c>
      <c r="M428" s="1162" t="s">
        <v>14</v>
      </c>
      <c r="N428" s="1162" t="s">
        <v>1215</v>
      </c>
      <c r="O428" s="1164">
        <v>77</v>
      </c>
      <c r="P428" s="1164">
        <v>0</v>
      </c>
      <c r="Q428" s="1164">
        <v>5</v>
      </c>
      <c r="R428" s="1159" t="s">
        <v>773</v>
      </c>
      <c r="S428" s="1159" t="s">
        <v>625</v>
      </c>
      <c r="T428" s="1159" t="s">
        <v>719</v>
      </c>
      <c r="U428" s="1166">
        <v>188500</v>
      </c>
      <c r="V428" s="1159" t="s">
        <v>720</v>
      </c>
      <c r="W428" s="1166">
        <v>229600</v>
      </c>
      <c r="X428" s="1159" t="s">
        <v>634</v>
      </c>
      <c r="Y428" s="1167">
        <v>40952.5600462963</v>
      </c>
      <c r="Z428" s="1159" t="s">
        <v>635</v>
      </c>
      <c r="AA428" s="1167">
        <v>42242.74890046296</v>
      </c>
      <c r="AB428" s="1138">
        <f t="shared" si="6"/>
        <v>459200</v>
      </c>
    </row>
    <row r="429" spans="1:28" x14ac:dyDescent="0.25">
      <c r="A429" s="1150">
        <v>107334</v>
      </c>
      <c r="B429" s="1150" t="s">
        <v>1211</v>
      </c>
      <c r="C429" s="1150" t="s">
        <v>1216</v>
      </c>
      <c r="D429" s="1151">
        <v>42006</v>
      </c>
      <c r="E429" s="1152">
        <v>145700000</v>
      </c>
      <c r="F429" s="1150" t="s">
        <v>387</v>
      </c>
      <c r="G429" s="1153" t="s">
        <v>611</v>
      </c>
      <c r="H429" s="1154">
        <v>5038</v>
      </c>
      <c r="I429" s="1150" t="s">
        <v>629</v>
      </c>
      <c r="J429" s="1153" t="s">
        <v>14</v>
      </c>
      <c r="K429" s="1150" t="s">
        <v>18</v>
      </c>
      <c r="L429" s="1150" t="s">
        <v>1217</v>
      </c>
      <c r="M429" s="1153" t="s">
        <v>14</v>
      </c>
      <c r="N429" s="1153" t="s">
        <v>1215</v>
      </c>
      <c r="O429" s="1155">
        <v>77</v>
      </c>
      <c r="P429" s="1155">
        <v>0</v>
      </c>
      <c r="Q429" s="1155">
        <v>5</v>
      </c>
      <c r="R429" s="1150" t="s">
        <v>773</v>
      </c>
      <c r="S429" s="1150" t="s">
        <v>625</v>
      </c>
      <c r="T429" s="1150" t="s">
        <v>719</v>
      </c>
      <c r="U429" s="1157">
        <v>188500</v>
      </c>
      <c r="V429" s="1150" t="s">
        <v>720</v>
      </c>
      <c r="W429" s="1157">
        <v>229600</v>
      </c>
      <c r="X429" s="1150" t="s">
        <v>618</v>
      </c>
      <c r="Y429" s="1158">
        <v>42006.848761574074</v>
      </c>
      <c r="Z429" s="1150" t="s">
        <v>618</v>
      </c>
      <c r="AA429" s="1158">
        <v>42006.851747685185</v>
      </c>
      <c r="AB429" s="1138">
        <f t="shared" si="6"/>
        <v>459200</v>
      </c>
    </row>
    <row r="430" spans="1:28" x14ac:dyDescent="0.25">
      <c r="A430" s="1159">
        <v>109630</v>
      </c>
      <c r="B430" s="1159" t="s">
        <v>1218</v>
      </c>
      <c r="C430" s="1159" t="s">
        <v>1219</v>
      </c>
      <c r="D430" s="1160">
        <v>43307</v>
      </c>
      <c r="E430" s="1161">
        <v>14570000</v>
      </c>
      <c r="F430" s="1159" t="s">
        <v>387</v>
      </c>
      <c r="G430" s="1162" t="s">
        <v>611</v>
      </c>
      <c r="H430" s="1163">
        <v>1368</v>
      </c>
      <c r="I430" s="1159" t="s">
        <v>612</v>
      </c>
      <c r="J430" s="1162" t="s">
        <v>14</v>
      </c>
      <c r="K430" s="1159" t="s">
        <v>18</v>
      </c>
      <c r="L430" s="1159" t="s">
        <v>1218</v>
      </c>
      <c r="M430" s="1162" t="s">
        <v>14</v>
      </c>
      <c r="N430" s="1162" t="s">
        <v>410</v>
      </c>
      <c r="O430" s="1164">
        <v>43</v>
      </c>
      <c r="P430" s="1164">
        <v>0</v>
      </c>
      <c r="Q430" s="1164">
        <v>5</v>
      </c>
      <c r="R430" s="1159" t="s">
        <v>773</v>
      </c>
      <c r="S430" s="1159" t="s">
        <v>625</v>
      </c>
      <c r="T430" s="1159" t="s">
        <v>1220</v>
      </c>
      <c r="U430" s="1166">
        <v>200000</v>
      </c>
      <c r="V430" s="1159" t="s">
        <v>1220</v>
      </c>
      <c r="W430" s="1166">
        <v>200000</v>
      </c>
      <c r="X430" s="1159" t="s">
        <v>721</v>
      </c>
      <c r="Y430" s="1167">
        <v>43307.358194444445</v>
      </c>
      <c r="Z430" s="1159" t="s">
        <v>721</v>
      </c>
      <c r="AA430" s="1167">
        <v>43307.359293981484</v>
      </c>
      <c r="AB430" s="1138">
        <f t="shared" si="6"/>
        <v>400000</v>
      </c>
    </row>
    <row r="431" spans="1:28" x14ac:dyDescent="0.25">
      <c r="A431" s="1150">
        <v>109629</v>
      </c>
      <c r="B431" s="1150" t="s">
        <v>1218</v>
      </c>
      <c r="C431" s="1150" t="s">
        <v>1221</v>
      </c>
      <c r="D431" s="1151">
        <v>43307</v>
      </c>
      <c r="E431" s="1152">
        <v>12220000</v>
      </c>
      <c r="F431" s="1150" t="s">
        <v>387</v>
      </c>
      <c r="G431" s="1153" t="s">
        <v>611</v>
      </c>
      <c r="H431" s="1154">
        <v>1368</v>
      </c>
      <c r="I431" s="1150" t="s">
        <v>612</v>
      </c>
      <c r="J431" s="1153" t="s">
        <v>14</v>
      </c>
      <c r="K431" s="1150" t="s">
        <v>18</v>
      </c>
      <c r="L431" s="1150" t="s">
        <v>1218</v>
      </c>
      <c r="M431" s="1153" t="s">
        <v>14</v>
      </c>
      <c r="N431" s="1153" t="s">
        <v>410</v>
      </c>
      <c r="O431" s="1155">
        <v>43</v>
      </c>
      <c r="P431" s="1155">
        <v>0</v>
      </c>
      <c r="Q431" s="1155">
        <v>5</v>
      </c>
      <c r="R431" s="1150" t="s">
        <v>773</v>
      </c>
      <c r="S431" s="1150" t="s">
        <v>625</v>
      </c>
      <c r="T431" s="1150" t="s">
        <v>1220</v>
      </c>
      <c r="U431" s="1157">
        <v>200000</v>
      </c>
      <c r="V431" s="1150" t="s">
        <v>1220</v>
      </c>
      <c r="W431" s="1157">
        <v>200000</v>
      </c>
      <c r="X431" s="1150" t="s">
        <v>721</v>
      </c>
      <c r="Y431" s="1158">
        <v>43307.35766203704</v>
      </c>
      <c r="Z431" s="1150" t="s">
        <v>721</v>
      </c>
      <c r="AA431" s="1158">
        <v>43307.358194444445</v>
      </c>
      <c r="AB431" s="1138">
        <f t="shared" si="6"/>
        <v>400000</v>
      </c>
    </row>
    <row r="432" spans="1:28" x14ac:dyDescent="0.25">
      <c r="A432" s="1159">
        <v>109628</v>
      </c>
      <c r="B432" s="1159" t="s">
        <v>1218</v>
      </c>
      <c r="C432" s="1159" t="s">
        <v>1222</v>
      </c>
      <c r="D432" s="1160">
        <v>43307</v>
      </c>
      <c r="E432" s="1161">
        <v>11380000</v>
      </c>
      <c r="F432" s="1159" t="s">
        <v>387</v>
      </c>
      <c r="G432" s="1162" t="s">
        <v>611</v>
      </c>
      <c r="H432" s="1163">
        <v>1368</v>
      </c>
      <c r="I432" s="1159" t="s">
        <v>612</v>
      </c>
      <c r="J432" s="1162" t="s">
        <v>14</v>
      </c>
      <c r="K432" s="1159" t="s">
        <v>18</v>
      </c>
      <c r="L432" s="1159" t="s">
        <v>1218</v>
      </c>
      <c r="M432" s="1162" t="s">
        <v>14</v>
      </c>
      <c r="N432" s="1162" t="s">
        <v>410</v>
      </c>
      <c r="O432" s="1164">
        <v>43</v>
      </c>
      <c r="P432" s="1164">
        <v>0</v>
      </c>
      <c r="Q432" s="1164">
        <v>5</v>
      </c>
      <c r="R432" s="1159" t="s">
        <v>773</v>
      </c>
      <c r="S432" s="1159" t="s">
        <v>625</v>
      </c>
      <c r="T432" s="1159" t="s">
        <v>1223</v>
      </c>
      <c r="U432" s="1166">
        <v>56000</v>
      </c>
      <c r="V432" s="1159" t="s">
        <v>1223</v>
      </c>
      <c r="W432" s="1166">
        <v>56000</v>
      </c>
      <c r="X432" s="1159" t="s">
        <v>721</v>
      </c>
      <c r="Y432" s="1167">
        <v>43307.356828703705</v>
      </c>
      <c r="Z432" s="1159" t="s">
        <v>721</v>
      </c>
      <c r="AA432" s="1167">
        <v>43307.35766203704</v>
      </c>
      <c r="AB432" s="1138">
        <f t="shared" si="6"/>
        <v>112000</v>
      </c>
    </row>
    <row r="433" spans="1:28" x14ac:dyDescent="0.25">
      <c r="A433" s="1150">
        <v>109631</v>
      </c>
      <c r="B433" s="1150" t="s">
        <v>1218</v>
      </c>
      <c r="C433" s="1150" t="s">
        <v>1224</v>
      </c>
      <c r="D433" s="1151">
        <v>43307</v>
      </c>
      <c r="E433" s="1152">
        <v>15910000</v>
      </c>
      <c r="F433" s="1150" t="s">
        <v>387</v>
      </c>
      <c r="G433" s="1153" t="s">
        <v>611</v>
      </c>
      <c r="H433" s="1154">
        <v>1368</v>
      </c>
      <c r="I433" s="1150" t="s">
        <v>612</v>
      </c>
      <c r="J433" s="1153" t="s">
        <v>14</v>
      </c>
      <c r="K433" s="1150" t="s">
        <v>18</v>
      </c>
      <c r="L433" s="1150" t="s">
        <v>1218</v>
      </c>
      <c r="M433" s="1153" t="s">
        <v>14</v>
      </c>
      <c r="N433" s="1153" t="s">
        <v>410</v>
      </c>
      <c r="O433" s="1155">
        <v>43</v>
      </c>
      <c r="P433" s="1155">
        <v>0</v>
      </c>
      <c r="Q433" s="1155">
        <v>5</v>
      </c>
      <c r="R433" s="1150" t="s">
        <v>773</v>
      </c>
      <c r="S433" s="1150" t="s">
        <v>625</v>
      </c>
      <c r="T433" s="1150" t="s">
        <v>1225</v>
      </c>
      <c r="U433" s="1157">
        <v>132000</v>
      </c>
      <c r="V433" s="1150" t="s">
        <v>1225</v>
      </c>
      <c r="W433" s="1157">
        <v>132000</v>
      </c>
      <c r="X433" s="1150" t="s">
        <v>721</v>
      </c>
      <c r="Y433" s="1158">
        <v>43307.359293981484</v>
      </c>
      <c r="Z433" s="1150" t="s">
        <v>721</v>
      </c>
      <c r="AA433" s="1158">
        <v>43307.36042824074</v>
      </c>
      <c r="AB433" s="1138">
        <f t="shared" si="6"/>
        <v>264000</v>
      </c>
    </row>
    <row r="434" spans="1:28" x14ac:dyDescent="0.25">
      <c r="A434" s="1159">
        <v>109637</v>
      </c>
      <c r="B434" s="1159" t="s">
        <v>1218</v>
      </c>
      <c r="C434" s="1159" t="s">
        <v>1226</v>
      </c>
      <c r="D434" s="1160">
        <v>43307</v>
      </c>
      <c r="E434" s="1161">
        <v>14860000</v>
      </c>
      <c r="F434" s="1159" t="s">
        <v>387</v>
      </c>
      <c r="G434" s="1162" t="s">
        <v>611</v>
      </c>
      <c r="H434" s="1163">
        <v>1368</v>
      </c>
      <c r="I434" s="1159" t="s">
        <v>612</v>
      </c>
      <c r="J434" s="1162" t="s">
        <v>14</v>
      </c>
      <c r="K434" s="1159" t="s">
        <v>18</v>
      </c>
      <c r="L434" s="1159" t="s">
        <v>1218</v>
      </c>
      <c r="M434" s="1162" t="s">
        <v>14</v>
      </c>
      <c r="N434" s="1162" t="s">
        <v>410</v>
      </c>
      <c r="O434" s="1164">
        <v>43</v>
      </c>
      <c r="P434" s="1164">
        <v>0</v>
      </c>
      <c r="Q434" s="1164">
        <v>5</v>
      </c>
      <c r="R434" s="1159" t="s">
        <v>632</v>
      </c>
      <c r="S434" s="1159" t="s">
        <v>625</v>
      </c>
      <c r="T434" s="1159" t="s">
        <v>1220</v>
      </c>
      <c r="U434" s="1166">
        <v>200000</v>
      </c>
      <c r="V434" s="1159" t="s">
        <v>1220</v>
      </c>
      <c r="W434" s="1166">
        <v>200000</v>
      </c>
      <c r="X434" s="1159" t="s">
        <v>721</v>
      </c>
      <c r="Y434" s="1167">
        <v>43307.43493055555</v>
      </c>
      <c r="Z434" s="1159" t="s">
        <v>721</v>
      </c>
      <c r="AA434" s="1167">
        <v>43307.43884259259</v>
      </c>
      <c r="AB434" s="1138">
        <f t="shared" si="6"/>
        <v>400000</v>
      </c>
    </row>
    <row r="435" spans="1:28" x14ac:dyDescent="0.25">
      <c r="A435" s="1150">
        <v>109636</v>
      </c>
      <c r="B435" s="1150" t="s">
        <v>1218</v>
      </c>
      <c r="C435" s="1150" t="s">
        <v>1227</v>
      </c>
      <c r="D435" s="1151">
        <v>43307</v>
      </c>
      <c r="E435" s="1152">
        <v>13960000</v>
      </c>
      <c r="F435" s="1150" t="s">
        <v>387</v>
      </c>
      <c r="G435" s="1153" t="s">
        <v>611</v>
      </c>
      <c r="H435" s="1154">
        <v>1368</v>
      </c>
      <c r="I435" s="1150" t="s">
        <v>612</v>
      </c>
      <c r="J435" s="1153" t="s">
        <v>14</v>
      </c>
      <c r="K435" s="1150" t="s">
        <v>18</v>
      </c>
      <c r="L435" s="1150" t="s">
        <v>1218</v>
      </c>
      <c r="M435" s="1153" t="s">
        <v>14</v>
      </c>
      <c r="N435" s="1153" t="s">
        <v>410</v>
      </c>
      <c r="O435" s="1155">
        <v>43</v>
      </c>
      <c r="P435" s="1155">
        <v>0</v>
      </c>
      <c r="Q435" s="1155">
        <v>5</v>
      </c>
      <c r="R435" s="1150" t="s">
        <v>632</v>
      </c>
      <c r="S435" s="1150" t="s">
        <v>625</v>
      </c>
      <c r="T435" s="1150" t="s">
        <v>1223</v>
      </c>
      <c r="U435" s="1157">
        <v>56000</v>
      </c>
      <c r="V435" s="1150" t="s">
        <v>1223</v>
      </c>
      <c r="W435" s="1157">
        <v>56000</v>
      </c>
      <c r="X435" s="1150" t="s">
        <v>721</v>
      </c>
      <c r="Y435" s="1158">
        <v>43307.36362268518</v>
      </c>
      <c r="Z435" s="1150" t="s">
        <v>721</v>
      </c>
      <c r="AA435" s="1158">
        <v>43307.43884259259</v>
      </c>
      <c r="AB435" s="1138">
        <f t="shared" si="6"/>
        <v>112000</v>
      </c>
    </row>
    <row r="436" spans="1:28" x14ac:dyDescent="0.25">
      <c r="A436" s="1159">
        <v>109638</v>
      </c>
      <c r="B436" s="1159" t="s">
        <v>1218</v>
      </c>
      <c r="C436" s="1159" t="s">
        <v>1228</v>
      </c>
      <c r="D436" s="1160">
        <v>43307</v>
      </c>
      <c r="E436" s="1161">
        <v>16060000</v>
      </c>
      <c r="F436" s="1159" t="s">
        <v>387</v>
      </c>
      <c r="G436" s="1162" t="s">
        <v>611</v>
      </c>
      <c r="H436" s="1163">
        <v>1368</v>
      </c>
      <c r="I436" s="1159" t="s">
        <v>612</v>
      </c>
      <c r="J436" s="1162" t="s">
        <v>14</v>
      </c>
      <c r="K436" s="1159" t="s">
        <v>18</v>
      </c>
      <c r="L436" s="1159" t="s">
        <v>1218</v>
      </c>
      <c r="M436" s="1162" t="s">
        <v>14</v>
      </c>
      <c r="N436" s="1162" t="s">
        <v>410</v>
      </c>
      <c r="O436" s="1164">
        <v>43</v>
      </c>
      <c r="P436" s="1164">
        <v>0</v>
      </c>
      <c r="Q436" s="1164">
        <v>5</v>
      </c>
      <c r="R436" s="1159" t="s">
        <v>632</v>
      </c>
      <c r="S436" s="1159" t="s">
        <v>625</v>
      </c>
      <c r="T436" s="1159" t="s">
        <v>1225</v>
      </c>
      <c r="U436" s="1166">
        <v>132000</v>
      </c>
      <c r="V436" s="1159" t="s">
        <v>1225</v>
      </c>
      <c r="W436" s="1166">
        <v>132000</v>
      </c>
      <c r="X436" s="1159" t="s">
        <v>721</v>
      </c>
      <c r="Y436" s="1167">
        <v>43307.43564814815</v>
      </c>
      <c r="Z436" s="1159" t="s">
        <v>721</v>
      </c>
      <c r="AA436" s="1167">
        <v>43307.43884259259</v>
      </c>
      <c r="AB436" s="1138">
        <f t="shared" si="6"/>
        <v>264000</v>
      </c>
    </row>
    <row r="437" spans="1:28" x14ac:dyDescent="0.25">
      <c r="A437" s="1150">
        <v>100589</v>
      </c>
      <c r="B437" s="1150" t="s">
        <v>1229</v>
      </c>
      <c r="C437" s="1150" t="s">
        <v>1230</v>
      </c>
      <c r="D437" s="1151">
        <v>41271</v>
      </c>
      <c r="E437" s="1152">
        <v>21180000</v>
      </c>
      <c r="F437" s="1150" t="s">
        <v>404</v>
      </c>
      <c r="G437" s="1153" t="s">
        <v>611</v>
      </c>
      <c r="H437" s="1154">
        <v>1998</v>
      </c>
      <c r="I437" s="1150" t="s">
        <v>612</v>
      </c>
      <c r="J437" s="1153" t="s">
        <v>14</v>
      </c>
      <c r="K437" s="1150" t="s">
        <v>849</v>
      </c>
      <c r="L437" s="1150" t="s">
        <v>1229</v>
      </c>
      <c r="M437" s="1153" t="s">
        <v>630</v>
      </c>
      <c r="N437" s="1153" t="s">
        <v>837</v>
      </c>
      <c r="O437" s="1155">
        <v>70</v>
      </c>
      <c r="P437" s="1155">
        <v>0</v>
      </c>
      <c r="Q437" s="1155">
        <v>5</v>
      </c>
      <c r="R437" s="1150" t="s">
        <v>615</v>
      </c>
      <c r="S437" s="1150" t="s">
        <v>1231</v>
      </c>
      <c r="T437" s="1150" t="s">
        <v>1232</v>
      </c>
      <c r="U437" s="1157">
        <v>120200</v>
      </c>
      <c r="V437" s="1150" t="s">
        <v>1232</v>
      </c>
      <c r="W437" s="1157">
        <v>120200</v>
      </c>
      <c r="X437" s="1150" t="s">
        <v>634</v>
      </c>
      <c r="Y437" s="1158">
        <v>41271.79016203704</v>
      </c>
      <c r="Z437" s="1150" t="s">
        <v>635</v>
      </c>
      <c r="AA437" s="1158">
        <v>42663.39299768519</v>
      </c>
      <c r="AB437" s="1138">
        <f t="shared" si="6"/>
        <v>240400</v>
      </c>
    </row>
    <row r="438" spans="1:28" x14ac:dyDescent="0.25">
      <c r="A438" s="1159">
        <v>106583</v>
      </c>
      <c r="B438" s="1159" t="s">
        <v>1229</v>
      </c>
      <c r="C438" s="1159" t="s">
        <v>1233</v>
      </c>
      <c r="D438" s="1160">
        <v>41873</v>
      </c>
      <c r="E438" s="1161">
        <v>25710000</v>
      </c>
      <c r="F438" s="1159" t="s">
        <v>404</v>
      </c>
      <c r="G438" s="1162" t="s">
        <v>611</v>
      </c>
      <c r="H438" s="1163">
        <v>1998</v>
      </c>
      <c r="I438" s="1159" t="s">
        <v>612</v>
      </c>
      <c r="J438" s="1162" t="s">
        <v>14</v>
      </c>
      <c r="K438" s="1159" t="s">
        <v>849</v>
      </c>
      <c r="L438" s="1159" t="s">
        <v>1229</v>
      </c>
      <c r="M438" s="1162" t="s">
        <v>14</v>
      </c>
      <c r="N438" s="1162" t="s">
        <v>837</v>
      </c>
      <c r="O438" s="1164">
        <v>70</v>
      </c>
      <c r="P438" s="1164">
        <v>0</v>
      </c>
      <c r="Q438" s="1164">
        <v>5</v>
      </c>
      <c r="R438" s="1159" t="s">
        <v>615</v>
      </c>
      <c r="S438" s="1159" t="s">
        <v>1231</v>
      </c>
      <c r="T438" s="1159" t="s">
        <v>803</v>
      </c>
      <c r="U438" s="1166">
        <v>124000</v>
      </c>
      <c r="V438" s="1159" t="s">
        <v>803</v>
      </c>
      <c r="W438" s="1166">
        <v>124000</v>
      </c>
      <c r="X438" s="1159" t="s">
        <v>776</v>
      </c>
      <c r="Y438" s="1167">
        <v>41873.57153935185</v>
      </c>
      <c r="Z438" s="1159" t="s">
        <v>635</v>
      </c>
      <c r="AA438" s="1167">
        <v>42663.39381944445</v>
      </c>
      <c r="AB438" s="1138">
        <f t="shared" si="6"/>
        <v>248000</v>
      </c>
    </row>
    <row r="439" spans="1:28" x14ac:dyDescent="0.25">
      <c r="A439" s="1150">
        <v>107699</v>
      </c>
      <c r="B439" s="1150" t="s">
        <v>1229</v>
      </c>
      <c r="C439" s="1150" t="s">
        <v>1234</v>
      </c>
      <c r="D439" s="1151">
        <v>42292</v>
      </c>
      <c r="E439" s="1152">
        <v>24310000</v>
      </c>
      <c r="F439" s="1150" t="s">
        <v>404</v>
      </c>
      <c r="G439" s="1153" t="s">
        <v>611</v>
      </c>
      <c r="H439" s="1154">
        <v>1998</v>
      </c>
      <c r="I439" s="1150" t="s">
        <v>612</v>
      </c>
      <c r="J439" s="1153" t="s">
        <v>14</v>
      </c>
      <c r="K439" s="1150" t="s">
        <v>849</v>
      </c>
      <c r="L439" s="1150" t="s">
        <v>1229</v>
      </c>
      <c r="M439" s="1153" t="s">
        <v>14</v>
      </c>
      <c r="N439" s="1153" t="s">
        <v>837</v>
      </c>
      <c r="O439" s="1155">
        <v>70</v>
      </c>
      <c r="P439" s="1155">
        <v>0</v>
      </c>
      <c r="Q439" s="1155">
        <v>5</v>
      </c>
      <c r="R439" s="1150" t="s">
        <v>615</v>
      </c>
      <c r="S439" s="1150" t="s">
        <v>1231</v>
      </c>
      <c r="T439" s="1150" t="s">
        <v>1232</v>
      </c>
      <c r="U439" s="1157">
        <v>120200</v>
      </c>
      <c r="V439" s="1150" t="s">
        <v>1232</v>
      </c>
      <c r="W439" s="1157">
        <v>120200</v>
      </c>
      <c r="X439" s="1150" t="s">
        <v>635</v>
      </c>
      <c r="Y439" s="1158">
        <v>42292.406006944446</v>
      </c>
      <c r="Z439" s="1150" t="s">
        <v>635</v>
      </c>
      <c r="AA439" s="1158">
        <v>42663.39372685185</v>
      </c>
      <c r="AB439" s="1138">
        <f t="shared" si="6"/>
        <v>240400</v>
      </c>
    </row>
    <row r="440" spans="1:28" x14ac:dyDescent="0.25">
      <c r="A440" s="1159">
        <v>100590</v>
      </c>
      <c r="B440" s="1159" t="s">
        <v>1229</v>
      </c>
      <c r="C440" s="1159" t="s">
        <v>1235</v>
      </c>
      <c r="D440" s="1160">
        <v>41271</v>
      </c>
      <c r="E440" s="1161">
        <v>23160000</v>
      </c>
      <c r="F440" s="1159" t="s">
        <v>404</v>
      </c>
      <c r="G440" s="1162" t="s">
        <v>611</v>
      </c>
      <c r="H440" s="1163">
        <v>1998</v>
      </c>
      <c r="I440" s="1159" t="s">
        <v>612</v>
      </c>
      <c r="J440" s="1162" t="s">
        <v>14</v>
      </c>
      <c r="K440" s="1159" t="s">
        <v>849</v>
      </c>
      <c r="L440" s="1159" t="s">
        <v>1229</v>
      </c>
      <c r="M440" s="1162" t="s">
        <v>630</v>
      </c>
      <c r="N440" s="1162" t="s">
        <v>837</v>
      </c>
      <c r="O440" s="1164">
        <v>70</v>
      </c>
      <c r="P440" s="1164">
        <v>0</v>
      </c>
      <c r="Q440" s="1164">
        <v>5</v>
      </c>
      <c r="R440" s="1159" t="s">
        <v>615</v>
      </c>
      <c r="S440" s="1159" t="s">
        <v>1231</v>
      </c>
      <c r="T440" s="1159" t="s">
        <v>1232</v>
      </c>
      <c r="U440" s="1166">
        <v>120200</v>
      </c>
      <c r="V440" s="1159" t="s">
        <v>1232</v>
      </c>
      <c r="W440" s="1166">
        <v>120200</v>
      </c>
      <c r="X440" s="1159" t="s">
        <v>634</v>
      </c>
      <c r="Y440" s="1167">
        <v>41271.80658564815</v>
      </c>
      <c r="Z440" s="1159" t="s">
        <v>635</v>
      </c>
      <c r="AA440" s="1167">
        <v>42663.39357638889</v>
      </c>
      <c r="AB440" s="1138">
        <f t="shared" si="6"/>
        <v>240400</v>
      </c>
    </row>
    <row r="441" spans="1:28" x14ac:dyDescent="0.25">
      <c r="A441" s="1150">
        <v>107427</v>
      </c>
      <c r="B441" s="1150" t="s">
        <v>1229</v>
      </c>
      <c r="C441" s="1150" t="s">
        <v>1236</v>
      </c>
      <c r="D441" s="1151">
        <v>42111</v>
      </c>
      <c r="E441" s="1152">
        <v>26690000</v>
      </c>
      <c r="F441" s="1150" t="s">
        <v>404</v>
      </c>
      <c r="G441" s="1153" t="s">
        <v>611</v>
      </c>
      <c r="H441" s="1154">
        <v>1998</v>
      </c>
      <c r="I441" s="1150" t="s">
        <v>612</v>
      </c>
      <c r="J441" s="1153" t="s">
        <v>14</v>
      </c>
      <c r="K441" s="1150" t="s">
        <v>849</v>
      </c>
      <c r="L441" s="1150" t="s">
        <v>1229</v>
      </c>
      <c r="M441" s="1153" t="s">
        <v>14</v>
      </c>
      <c r="N441" s="1153" t="s">
        <v>837</v>
      </c>
      <c r="O441" s="1155">
        <v>70</v>
      </c>
      <c r="P441" s="1155">
        <v>0</v>
      </c>
      <c r="Q441" s="1155">
        <v>5</v>
      </c>
      <c r="R441" s="1150" t="s">
        <v>615</v>
      </c>
      <c r="S441" s="1150" t="s">
        <v>1231</v>
      </c>
      <c r="T441" s="1150" t="s">
        <v>803</v>
      </c>
      <c r="U441" s="1157">
        <v>124000</v>
      </c>
      <c r="V441" s="1150" t="s">
        <v>803</v>
      </c>
      <c r="W441" s="1157">
        <v>124000</v>
      </c>
      <c r="X441" s="1150" t="s">
        <v>635</v>
      </c>
      <c r="Y441" s="1158">
        <v>42111.53637731481</v>
      </c>
      <c r="Z441" s="1150" t="s">
        <v>635</v>
      </c>
      <c r="AA441" s="1158">
        <v>42663.39412037037</v>
      </c>
      <c r="AB441" s="1138">
        <f t="shared" si="6"/>
        <v>248000</v>
      </c>
    </row>
    <row r="442" spans="1:28" x14ac:dyDescent="0.25">
      <c r="A442" s="1159">
        <v>107857</v>
      </c>
      <c r="B442" s="1159" t="s">
        <v>1229</v>
      </c>
      <c r="C442" s="1159" t="s">
        <v>1237</v>
      </c>
      <c r="D442" s="1160">
        <v>42384</v>
      </c>
      <c r="E442" s="1161">
        <v>25000000</v>
      </c>
      <c r="F442" s="1159" t="s">
        <v>404</v>
      </c>
      <c r="G442" s="1162" t="s">
        <v>611</v>
      </c>
      <c r="H442" s="1163">
        <v>1998</v>
      </c>
      <c r="I442" s="1159" t="s">
        <v>612</v>
      </c>
      <c r="J442" s="1162" t="s">
        <v>14</v>
      </c>
      <c r="K442" s="1159" t="s">
        <v>849</v>
      </c>
      <c r="L442" s="1159" t="s">
        <v>1229</v>
      </c>
      <c r="M442" s="1162" t="s">
        <v>14</v>
      </c>
      <c r="N442" s="1162" t="s">
        <v>837</v>
      </c>
      <c r="O442" s="1164">
        <v>70</v>
      </c>
      <c r="P442" s="1164">
        <v>0</v>
      </c>
      <c r="Q442" s="1164">
        <v>5</v>
      </c>
      <c r="R442" s="1159" t="s">
        <v>615</v>
      </c>
      <c r="S442" s="1159" t="s">
        <v>1231</v>
      </c>
      <c r="T442" s="1159" t="s">
        <v>803</v>
      </c>
      <c r="U442" s="1166">
        <v>124000</v>
      </c>
      <c r="V442" s="1159" t="s">
        <v>803</v>
      </c>
      <c r="W442" s="1166">
        <v>124000</v>
      </c>
      <c r="X442" s="1159" t="s">
        <v>635</v>
      </c>
      <c r="Y442" s="1167">
        <v>42384.862708333334</v>
      </c>
      <c r="Z442" s="1159" t="s">
        <v>1238</v>
      </c>
      <c r="AA442" s="1167">
        <v>42555.49879629629</v>
      </c>
      <c r="AB442" s="1138">
        <f t="shared" si="6"/>
        <v>248000</v>
      </c>
    </row>
    <row r="443" ht="24" customHeight="1" spans="1:28" x14ac:dyDescent="0.25">
      <c r="A443" s="1150">
        <v>109894</v>
      </c>
      <c r="B443" s="1150" t="s">
        <v>1229</v>
      </c>
      <c r="C443" s="1150" t="s">
        <v>1239</v>
      </c>
      <c r="D443" s="1151">
        <v>43432</v>
      </c>
      <c r="E443" s="1152">
        <v>25000000</v>
      </c>
      <c r="F443" s="1150" t="s">
        <v>404</v>
      </c>
      <c r="G443" s="1153" t="s">
        <v>611</v>
      </c>
      <c r="H443" s="1154">
        <v>1998</v>
      </c>
      <c r="I443" s="1150" t="s">
        <v>612</v>
      </c>
      <c r="J443" s="1153" t="s">
        <v>14</v>
      </c>
      <c r="K443" s="1150" t="s">
        <v>849</v>
      </c>
      <c r="L443" s="1150" t="s">
        <v>1229</v>
      </c>
      <c r="M443" s="1153" t="s">
        <v>14</v>
      </c>
      <c r="N443" s="1153" t="s">
        <v>837</v>
      </c>
      <c r="O443" s="1155">
        <v>70</v>
      </c>
      <c r="P443" s="1155">
        <v>0</v>
      </c>
      <c r="Q443" s="1155">
        <v>7</v>
      </c>
      <c r="R443" s="1150" t="s">
        <v>615</v>
      </c>
      <c r="S443" s="1150" t="s">
        <v>1231</v>
      </c>
      <c r="T443" s="1150" t="s">
        <v>803</v>
      </c>
      <c r="U443" s="1157">
        <v>124000</v>
      </c>
      <c r="V443" s="1150" t="s">
        <v>803</v>
      </c>
      <c r="W443" s="1157">
        <v>124000</v>
      </c>
      <c r="X443" s="1150" t="s">
        <v>618</v>
      </c>
      <c r="Y443" s="1158">
        <v>43432.41810185185</v>
      </c>
      <c r="Z443" s="1150" t="s">
        <v>618</v>
      </c>
      <c r="AA443" s="1158">
        <v>43432.42065972222</v>
      </c>
      <c r="AB443" s="1138">
        <f t="shared" si="6"/>
        <v>248000</v>
      </c>
    </row>
    <row r="444" ht="24" customHeight="1" spans="1:28" x14ac:dyDescent="0.25">
      <c r="A444" s="1159">
        <v>107858</v>
      </c>
      <c r="B444" s="1159" t="s">
        <v>1229</v>
      </c>
      <c r="C444" s="1159" t="s">
        <v>1240</v>
      </c>
      <c r="D444" s="1160">
        <v>42384</v>
      </c>
      <c r="E444" s="1161">
        <v>25200000</v>
      </c>
      <c r="F444" s="1159" t="s">
        <v>404</v>
      </c>
      <c r="G444" s="1162" t="s">
        <v>611</v>
      </c>
      <c r="H444" s="1163">
        <v>1998</v>
      </c>
      <c r="I444" s="1159" t="s">
        <v>612</v>
      </c>
      <c r="J444" s="1162" t="s">
        <v>14</v>
      </c>
      <c r="K444" s="1159" t="s">
        <v>849</v>
      </c>
      <c r="L444" s="1159" t="s">
        <v>1229</v>
      </c>
      <c r="M444" s="1162" t="s">
        <v>14</v>
      </c>
      <c r="N444" s="1162" t="s">
        <v>837</v>
      </c>
      <c r="O444" s="1164">
        <v>70</v>
      </c>
      <c r="P444" s="1164">
        <v>0</v>
      </c>
      <c r="Q444" s="1164">
        <v>5</v>
      </c>
      <c r="R444" s="1159" t="s">
        <v>615</v>
      </c>
      <c r="S444" s="1159" t="s">
        <v>1231</v>
      </c>
      <c r="T444" s="1159" t="s">
        <v>803</v>
      </c>
      <c r="U444" s="1166">
        <v>124000</v>
      </c>
      <c r="V444" s="1159" t="s">
        <v>803</v>
      </c>
      <c r="W444" s="1166">
        <v>124000</v>
      </c>
      <c r="X444" s="1159" t="s">
        <v>635</v>
      </c>
      <c r="Y444" s="1167">
        <v>42384.863171296296</v>
      </c>
      <c r="Z444" s="1159" t="s">
        <v>1238</v>
      </c>
      <c r="AA444" s="1167">
        <v>42555.49905092592</v>
      </c>
      <c r="AB444" s="1138">
        <f t="shared" si="6"/>
        <v>248000</v>
      </c>
    </row>
    <row r="445" spans="1:28" x14ac:dyDescent="0.25">
      <c r="A445" s="1150">
        <v>100592</v>
      </c>
      <c r="B445" s="1150" t="s">
        <v>1229</v>
      </c>
      <c r="C445" s="1150" t="s">
        <v>1241</v>
      </c>
      <c r="D445" s="1151">
        <v>41271</v>
      </c>
      <c r="E445" s="1152">
        <v>26340000</v>
      </c>
      <c r="F445" s="1150" t="s">
        <v>404</v>
      </c>
      <c r="G445" s="1153" t="s">
        <v>611</v>
      </c>
      <c r="H445" s="1154">
        <v>1998</v>
      </c>
      <c r="I445" s="1150" t="s">
        <v>612</v>
      </c>
      <c r="J445" s="1153" t="s">
        <v>14</v>
      </c>
      <c r="K445" s="1150" t="s">
        <v>849</v>
      </c>
      <c r="L445" s="1150" t="s">
        <v>1229</v>
      </c>
      <c r="M445" s="1153" t="s">
        <v>630</v>
      </c>
      <c r="N445" s="1153" t="s">
        <v>837</v>
      </c>
      <c r="O445" s="1155">
        <v>70</v>
      </c>
      <c r="P445" s="1155">
        <v>0</v>
      </c>
      <c r="Q445" s="1155">
        <v>5</v>
      </c>
      <c r="R445" s="1150" t="s">
        <v>615</v>
      </c>
      <c r="S445" s="1150" t="s">
        <v>1231</v>
      </c>
      <c r="T445" s="1150" t="s">
        <v>803</v>
      </c>
      <c r="U445" s="1157">
        <v>124000</v>
      </c>
      <c r="V445" s="1150" t="s">
        <v>803</v>
      </c>
      <c r="W445" s="1157">
        <v>124000</v>
      </c>
      <c r="X445" s="1150" t="s">
        <v>634</v>
      </c>
      <c r="Y445" s="1158">
        <v>41271.81074074074</v>
      </c>
      <c r="Z445" s="1150" t="s">
        <v>635</v>
      </c>
      <c r="AA445" s="1158">
        <v>42663.39398148148</v>
      </c>
      <c r="AB445" s="1138">
        <f t="shared" si="6"/>
        <v>248000</v>
      </c>
    </row>
    <row r="446" spans="1:28" x14ac:dyDescent="0.25">
      <c r="A446" s="1159">
        <v>110011</v>
      </c>
      <c r="B446" s="1159" t="s">
        <v>1229</v>
      </c>
      <c r="C446" s="1159" t="s">
        <v>1242</v>
      </c>
      <c r="D446" s="1160">
        <v>43494</v>
      </c>
      <c r="E446" s="1161">
        <v>23610000</v>
      </c>
      <c r="F446" s="1159" t="s">
        <v>610</v>
      </c>
      <c r="G446" s="1162" t="s">
        <v>611</v>
      </c>
      <c r="H446" s="1163">
        <v>1598</v>
      </c>
      <c r="I446" s="1159" t="s">
        <v>612</v>
      </c>
      <c r="J446" s="1162" t="s">
        <v>14</v>
      </c>
      <c r="K446" s="1159" t="s">
        <v>849</v>
      </c>
      <c r="L446" s="1159" t="s">
        <v>1229</v>
      </c>
      <c r="M446" s="1162" t="s">
        <v>14</v>
      </c>
      <c r="N446" s="1162" t="s">
        <v>837</v>
      </c>
      <c r="O446" s="1164">
        <v>64</v>
      </c>
      <c r="P446" s="1164">
        <v>0</v>
      </c>
      <c r="Q446" s="1164">
        <v>7</v>
      </c>
      <c r="R446" s="1159" t="s">
        <v>662</v>
      </c>
      <c r="S446" s="1159" t="s">
        <v>1231</v>
      </c>
      <c r="T446" s="1159" t="s">
        <v>1243</v>
      </c>
      <c r="U446" s="1166">
        <v>240900</v>
      </c>
      <c r="V446" s="1159" t="s">
        <v>1243</v>
      </c>
      <c r="W446" s="1166">
        <v>240900</v>
      </c>
      <c r="X446" s="1159" t="s">
        <v>618</v>
      </c>
      <c r="Y446" s="1167">
        <v>43494.94394675926</v>
      </c>
      <c r="Z446" s="1159" t="s">
        <v>618</v>
      </c>
      <c r="AA446" s="1167">
        <v>43860.03277777778</v>
      </c>
      <c r="AB446" s="1138">
        <f t="shared" si="6"/>
        <v>481800</v>
      </c>
    </row>
    <row r="447" spans="1:28" x14ac:dyDescent="0.25">
      <c r="A447" s="1150">
        <v>111059</v>
      </c>
      <c r="B447" s="1150" t="s">
        <v>1229</v>
      </c>
      <c r="C447" s="1150" t="s">
        <v>1244</v>
      </c>
      <c r="D447" s="1151">
        <v>42370</v>
      </c>
      <c r="E447" s="1152">
        <v>26880000</v>
      </c>
      <c r="F447" s="1150" t="s">
        <v>610</v>
      </c>
      <c r="G447" s="1153" t="s">
        <v>611</v>
      </c>
      <c r="H447" s="1154">
        <v>1598</v>
      </c>
      <c r="I447" s="1150" t="s">
        <v>612</v>
      </c>
      <c r="J447" s="1153" t="s">
        <v>14</v>
      </c>
      <c r="K447" s="1150" t="s">
        <v>849</v>
      </c>
      <c r="L447" s="1150" t="s">
        <v>1229</v>
      </c>
      <c r="M447" s="1153" t="s">
        <v>14</v>
      </c>
      <c r="N447" s="1153" t="s">
        <v>837</v>
      </c>
      <c r="O447" s="1155">
        <v>64</v>
      </c>
      <c r="P447" s="1155">
        <v>0</v>
      </c>
      <c r="Q447" s="1155">
        <v>7</v>
      </c>
      <c r="R447" s="1150" t="s">
        <v>662</v>
      </c>
      <c r="S447" s="1150" t="s">
        <v>1231</v>
      </c>
      <c r="T447" s="1150" t="s">
        <v>1243</v>
      </c>
      <c r="U447" s="1157">
        <v>240900</v>
      </c>
      <c r="V447" s="1150" t="s">
        <v>1243</v>
      </c>
      <c r="W447" s="1157">
        <v>240900</v>
      </c>
      <c r="X447" s="1150" t="s">
        <v>618</v>
      </c>
      <c r="Y447" s="1158">
        <v>43860.03608796296</v>
      </c>
      <c r="Z447" s="1150" t="s">
        <v>618</v>
      </c>
      <c r="AA447" s="1158">
        <v>43860.03608796296</v>
      </c>
      <c r="AB447" s="1138">
        <f t="shared" si="6"/>
        <v>481800</v>
      </c>
    </row>
    <row r="448" spans="1:28" x14ac:dyDescent="0.25">
      <c r="A448" s="1159">
        <v>111058</v>
      </c>
      <c r="B448" s="1159" t="s">
        <v>1229</v>
      </c>
      <c r="C448" s="1159" t="s">
        <v>1245</v>
      </c>
      <c r="D448" s="1160">
        <v>42370</v>
      </c>
      <c r="E448" s="1161">
        <v>24890000</v>
      </c>
      <c r="F448" s="1159" t="s">
        <v>610</v>
      </c>
      <c r="G448" s="1162" t="s">
        <v>611</v>
      </c>
      <c r="H448" s="1163">
        <v>1598</v>
      </c>
      <c r="I448" s="1159" t="s">
        <v>612</v>
      </c>
      <c r="J448" s="1162" t="s">
        <v>14</v>
      </c>
      <c r="K448" s="1159" t="s">
        <v>849</v>
      </c>
      <c r="L448" s="1159" t="s">
        <v>1229</v>
      </c>
      <c r="M448" s="1162" t="s">
        <v>14</v>
      </c>
      <c r="N448" s="1162" t="s">
        <v>837</v>
      </c>
      <c r="O448" s="1164">
        <v>64</v>
      </c>
      <c r="P448" s="1164">
        <v>0</v>
      </c>
      <c r="Q448" s="1164">
        <v>7</v>
      </c>
      <c r="R448" s="1159" t="s">
        <v>662</v>
      </c>
      <c r="S448" s="1159" t="s">
        <v>1231</v>
      </c>
      <c r="T448" s="1159" t="s">
        <v>1243</v>
      </c>
      <c r="U448" s="1166">
        <v>240900</v>
      </c>
      <c r="V448" s="1159" t="s">
        <v>1243</v>
      </c>
      <c r="W448" s="1166">
        <v>240900</v>
      </c>
      <c r="X448" s="1159" t="s">
        <v>618</v>
      </c>
      <c r="Y448" s="1167">
        <v>43860.03508101852</v>
      </c>
      <c r="Z448" s="1159" t="s">
        <v>618</v>
      </c>
      <c r="AA448" s="1167">
        <v>43860.03508101852</v>
      </c>
      <c r="AB448" s="1138">
        <f t="shared" si="6"/>
        <v>481800</v>
      </c>
    </row>
    <row r="449" spans="1:28" x14ac:dyDescent="0.25">
      <c r="A449" s="1150">
        <v>100011</v>
      </c>
      <c r="B449" s="1150" t="s">
        <v>1229</v>
      </c>
      <c r="C449" s="1150" t="s">
        <v>1246</v>
      </c>
      <c r="D449" s="1151">
        <v>40861</v>
      </c>
      <c r="E449" s="1152">
        <v>23610000</v>
      </c>
      <c r="F449" s="1150" t="s">
        <v>610</v>
      </c>
      <c r="G449" s="1153" t="s">
        <v>611</v>
      </c>
      <c r="H449" s="1154">
        <v>1998</v>
      </c>
      <c r="I449" s="1150" t="s">
        <v>612</v>
      </c>
      <c r="J449" s="1153" t="s">
        <v>14</v>
      </c>
      <c r="K449" s="1150" t="s">
        <v>849</v>
      </c>
      <c r="L449" s="1150" t="s">
        <v>1229</v>
      </c>
      <c r="M449" s="1153" t="s">
        <v>630</v>
      </c>
      <c r="N449" s="1153" t="s">
        <v>837</v>
      </c>
      <c r="O449" s="1155">
        <v>64</v>
      </c>
      <c r="P449" s="1155">
        <v>0</v>
      </c>
      <c r="Q449" s="1155">
        <v>5</v>
      </c>
      <c r="R449" s="1150" t="s">
        <v>662</v>
      </c>
      <c r="S449" s="1150" t="s">
        <v>1231</v>
      </c>
      <c r="T449" s="1150" t="s">
        <v>1232</v>
      </c>
      <c r="U449" s="1157">
        <v>120200</v>
      </c>
      <c r="V449" s="1150" t="s">
        <v>1232</v>
      </c>
      <c r="W449" s="1157">
        <v>120200</v>
      </c>
      <c r="X449" s="1150" t="s">
        <v>786</v>
      </c>
      <c r="Y449" s="1158">
        <v>40861.55306712963</v>
      </c>
      <c r="Z449" s="1150" t="s">
        <v>618</v>
      </c>
      <c r="AA449" s="1158">
        <v>43494.935219907406</v>
      </c>
      <c r="AB449" s="1138">
        <f t="shared" si="6"/>
        <v>240400</v>
      </c>
    </row>
    <row r="450" spans="1:28" x14ac:dyDescent="0.25">
      <c r="A450" s="1159">
        <v>106582</v>
      </c>
      <c r="B450" s="1159" t="s">
        <v>1229</v>
      </c>
      <c r="C450" s="1159" t="s">
        <v>1247</v>
      </c>
      <c r="D450" s="1160">
        <v>41873</v>
      </c>
      <c r="E450" s="1161">
        <v>28080000</v>
      </c>
      <c r="F450" s="1159" t="s">
        <v>610</v>
      </c>
      <c r="G450" s="1162" t="s">
        <v>611</v>
      </c>
      <c r="H450" s="1163">
        <v>1998</v>
      </c>
      <c r="I450" s="1159" t="s">
        <v>612</v>
      </c>
      <c r="J450" s="1162" t="s">
        <v>14</v>
      </c>
      <c r="K450" s="1159" t="s">
        <v>849</v>
      </c>
      <c r="L450" s="1159" t="s">
        <v>1229</v>
      </c>
      <c r="M450" s="1162" t="s">
        <v>14</v>
      </c>
      <c r="N450" s="1162" t="s">
        <v>837</v>
      </c>
      <c r="O450" s="1164">
        <v>64</v>
      </c>
      <c r="P450" s="1164">
        <v>0</v>
      </c>
      <c r="Q450" s="1164">
        <v>5</v>
      </c>
      <c r="R450" s="1159" t="s">
        <v>662</v>
      </c>
      <c r="S450" s="1159" t="s">
        <v>1231</v>
      </c>
      <c r="T450" s="1159" t="s">
        <v>803</v>
      </c>
      <c r="U450" s="1166">
        <v>124000</v>
      </c>
      <c r="V450" s="1159" t="s">
        <v>803</v>
      </c>
      <c r="W450" s="1166">
        <v>124000</v>
      </c>
      <c r="X450" s="1159" t="s">
        <v>776</v>
      </c>
      <c r="Y450" s="1167">
        <v>41873.570185185185</v>
      </c>
      <c r="Z450" s="1159" t="s">
        <v>635</v>
      </c>
      <c r="AA450" s="1167">
        <v>42663.39232638889</v>
      </c>
      <c r="AB450" s="1138">
        <f t="shared" si="6"/>
        <v>248000</v>
      </c>
    </row>
    <row r="451" spans="1:28" x14ac:dyDescent="0.25">
      <c r="A451" s="1150">
        <v>107854</v>
      </c>
      <c r="B451" s="1150" t="s">
        <v>1229</v>
      </c>
      <c r="C451" s="1150" t="s">
        <v>1248</v>
      </c>
      <c r="D451" s="1151">
        <v>42384</v>
      </c>
      <c r="E451" s="1152">
        <v>26680000</v>
      </c>
      <c r="F451" s="1150" t="s">
        <v>610</v>
      </c>
      <c r="G451" s="1153" t="s">
        <v>611</v>
      </c>
      <c r="H451" s="1154">
        <v>1998</v>
      </c>
      <c r="I451" s="1150" t="s">
        <v>612</v>
      </c>
      <c r="J451" s="1153" t="s">
        <v>14</v>
      </c>
      <c r="K451" s="1150" t="s">
        <v>849</v>
      </c>
      <c r="L451" s="1150" t="s">
        <v>1229</v>
      </c>
      <c r="M451" s="1153" t="s">
        <v>14</v>
      </c>
      <c r="N451" s="1153" t="s">
        <v>837</v>
      </c>
      <c r="O451" s="1155">
        <v>64</v>
      </c>
      <c r="P451" s="1155">
        <v>0</v>
      </c>
      <c r="Q451" s="1155">
        <v>5</v>
      </c>
      <c r="R451" s="1150" t="s">
        <v>662</v>
      </c>
      <c r="S451" s="1150" t="s">
        <v>1231</v>
      </c>
      <c r="T451" s="1150" t="s">
        <v>1232</v>
      </c>
      <c r="U451" s="1157">
        <v>120200</v>
      </c>
      <c r="V451" s="1150" t="s">
        <v>1232</v>
      </c>
      <c r="W451" s="1157">
        <v>120200</v>
      </c>
      <c r="X451" s="1150" t="s">
        <v>635</v>
      </c>
      <c r="Y451" s="1158">
        <v>42384.85707175926</v>
      </c>
      <c r="Z451" s="1150" t="s">
        <v>635</v>
      </c>
      <c r="AA451" s="1158">
        <v>42663.39222222222</v>
      </c>
      <c r="AB451" s="1138">
        <f t="shared" ref="AB451:AB514" si="7">W451*2</f>
        <v>240400</v>
      </c>
    </row>
    <row r="452" spans="1:28" x14ac:dyDescent="0.25">
      <c r="A452" s="1159">
        <v>100002</v>
      </c>
      <c r="B452" s="1159" t="s">
        <v>1229</v>
      </c>
      <c r="C452" s="1159" t="s">
        <v>1249</v>
      </c>
      <c r="D452" s="1160">
        <v>40843</v>
      </c>
      <c r="E452" s="1161">
        <v>25530000</v>
      </c>
      <c r="F452" s="1159" t="s">
        <v>610</v>
      </c>
      <c r="G452" s="1162" t="s">
        <v>611</v>
      </c>
      <c r="H452" s="1163">
        <v>1998</v>
      </c>
      <c r="I452" s="1159" t="s">
        <v>612</v>
      </c>
      <c r="J452" s="1162" t="s">
        <v>14</v>
      </c>
      <c r="K452" s="1159" t="s">
        <v>849</v>
      </c>
      <c r="L452" s="1159" t="s">
        <v>1229</v>
      </c>
      <c r="M452" s="1162" t="s">
        <v>14</v>
      </c>
      <c r="N452" s="1162" t="s">
        <v>837</v>
      </c>
      <c r="O452" s="1164">
        <v>64</v>
      </c>
      <c r="P452" s="1164">
        <v>0</v>
      </c>
      <c r="Q452" s="1164">
        <v>7</v>
      </c>
      <c r="R452" s="1159" t="s">
        <v>662</v>
      </c>
      <c r="S452" s="1159" t="s">
        <v>1231</v>
      </c>
      <c r="T452" s="1159" t="s">
        <v>1232</v>
      </c>
      <c r="U452" s="1166">
        <v>120200</v>
      </c>
      <c r="V452" s="1159" t="s">
        <v>1232</v>
      </c>
      <c r="W452" s="1166">
        <v>120200</v>
      </c>
      <c r="X452" s="1159" t="s">
        <v>1250</v>
      </c>
      <c r="Y452" s="1167">
        <v>40843.82871527778</v>
      </c>
      <c r="Z452" s="1159" t="s">
        <v>618</v>
      </c>
      <c r="AA452" s="1167">
        <v>43286.60083333333</v>
      </c>
      <c r="AB452" s="1138">
        <f t="shared" si="7"/>
        <v>240400</v>
      </c>
    </row>
    <row r="453" spans="1:28" x14ac:dyDescent="0.25">
      <c r="A453" s="1150">
        <v>107426</v>
      </c>
      <c r="B453" s="1150" t="s">
        <v>1229</v>
      </c>
      <c r="C453" s="1150" t="s">
        <v>1251</v>
      </c>
      <c r="D453" s="1151">
        <v>42111</v>
      </c>
      <c r="E453" s="1152">
        <v>29160000</v>
      </c>
      <c r="F453" s="1150" t="s">
        <v>610</v>
      </c>
      <c r="G453" s="1153" t="s">
        <v>611</v>
      </c>
      <c r="H453" s="1154">
        <v>1998</v>
      </c>
      <c r="I453" s="1150" t="s">
        <v>612</v>
      </c>
      <c r="J453" s="1153" t="s">
        <v>14</v>
      </c>
      <c r="K453" s="1150" t="s">
        <v>849</v>
      </c>
      <c r="L453" s="1150" t="s">
        <v>1229</v>
      </c>
      <c r="M453" s="1153" t="s">
        <v>14</v>
      </c>
      <c r="N453" s="1153" t="s">
        <v>837</v>
      </c>
      <c r="O453" s="1155">
        <v>64</v>
      </c>
      <c r="P453" s="1155">
        <v>0</v>
      </c>
      <c r="Q453" s="1155">
        <v>5</v>
      </c>
      <c r="R453" s="1150" t="s">
        <v>662</v>
      </c>
      <c r="S453" s="1150" t="s">
        <v>1231</v>
      </c>
      <c r="T453" s="1150" t="s">
        <v>803</v>
      </c>
      <c r="U453" s="1157">
        <v>124000</v>
      </c>
      <c r="V453" s="1150" t="s">
        <v>803</v>
      </c>
      <c r="W453" s="1157">
        <v>124000</v>
      </c>
      <c r="X453" s="1150" t="s">
        <v>635</v>
      </c>
      <c r="Y453" s="1158">
        <v>42111.498807870375</v>
      </c>
      <c r="Z453" s="1150" t="s">
        <v>635</v>
      </c>
      <c r="AA453" s="1158">
        <v>42663.39258101852</v>
      </c>
      <c r="AB453" s="1138">
        <f t="shared" si="7"/>
        <v>248000</v>
      </c>
    </row>
    <row r="454" spans="1:28" x14ac:dyDescent="0.25">
      <c r="A454" s="1159">
        <v>107855</v>
      </c>
      <c r="B454" s="1159" t="s">
        <v>1229</v>
      </c>
      <c r="C454" s="1159" t="s">
        <v>1252</v>
      </c>
      <c r="D454" s="1160">
        <v>42384</v>
      </c>
      <c r="E454" s="1161">
        <v>27370000</v>
      </c>
      <c r="F454" s="1159" t="s">
        <v>610</v>
      </c>
      <c r="G454" s="1162" t="s">
        <v>611</v>
      </c>
      <c r="H454" s="1163">
        <v>1998</v>
      </c>
      <c r="I454" s="1159" t="s">
        <v>612</v>
      </c>
      <c r="J454" s="1162" t="s">
        <v>14</v>
      </c>
      <c r="K454" s="1159" t="s">
        <v>849</v>
      </c>
      <c r="L454" s="1159" t="s">
        <v>1229</v>
      </c>
      <c r="M454" s="1162" t="s">
        <v>14</v>
      </c>
      <c r="N454" s="1162" t="s">
        <v>837</v>
      </c>
      <c r="O454" s="1164">
        <v>64</v>
      </c>
      <c r="P454" s="1164">
        <v>0</v>
      </c>
      <c r="Q454" s="1164">
        <v>5</v>
      </c>
      <c r="R454" s="1159" t="s">
        <v>662</v>
      </c>
      <c r="S454" s="1159" t="s">
        <v>1231</v>
      </c>
      <c r="T454" s="1159" t="s">
        <v>803</v>
      </c>
      <c r="U454" s="1166">
        <v>124000</v>
      </c>
      <c r="V454" s="1159" t="s">
        <v>803</v>
      </c>
      <c r="W454" s="1166">
        <v>124000</v>
      </c>
      <c r="X454" s="1159" t="s">
        <v>635</v>
      </c>
      <c r="Y454" s="1167">
        <v>42384.8597337963</v>
      </c>
      <c r="Z454" s="1159" t="s">
        <v>1238</v>
      </c>
      <c r="AA454" s="1167">
        <v>42555.49358796296</v>
      </c>
      <c r="AB454" s="1138">
        <f t="shared" si="7"/>
        <v>248000</v>
      </c>
    </row>
    <row r="455" ht="24" customHeight="1" spans="1:28" x14ac:dyDescent="0.25">
      <c r="A455" s="1150">
        <v>107856</v>
      </c>
      <c r="B455" s="1150" t="s">
        <v>1229</v>
      </c>
      <c r="C455" s="1150" t="s">
        <v>1253</v>
      </c>
      <c r="D455" s="1151">
        <v>42384</v>
      </c>
      <c r="E455" s="1152">
        <v>27570000</v>
      </c>
      <c r="F455" s="1150" t="s">
        <v>610</v>
      </c>
      <c r="G455" s="1153" t="s">
        <v>611</v>
      </c>
      <c r="H455" s="1154">
        <v>1998</v>
      </c>
      <c r="I455" s="1150" t="s">
        <v>612</v>
      </c>
      <c r="J455" s="1153" t="s">
        <v>14</v>
      </c>
      <c r="K455" s="1150" t="s">
        <v>849</v>
      </c>
      <c r="L455" s="1150" t="s">
        <v>1229</v>
      </c>
      <c r="M455" s="1153" t="s">
        <v>14</v>
      </c>
      <c r="N455" s="1153" t="s">
        <v>837</v>
      </c>
      <c r="O455" s="1155">
        <v>64</v>
      </c>
      <c r="P455" s="1155">
        <v>0</v>
      </c>
      <c r="Q455" s="1155">
        <v>5</v>
      </c>
      <c r="R455" s="1150" t="s">
        <v>662</v>
      </c>
      <c r="S455" s="1150" t="s">
        <v>1231</v>
      </c>
      <c r="T455" s="1150" t="s">
        <v>803</v>
      </c>
      <c r="U455" s="1157">
        <v>124000</v>
      </c>
      <c r="V455" s="1150" t="s">
        <v>803</v>
      </c>
      <c r="W455" s="1157">
        <v>124000</v>
      </c>
      <c r="X455" s="1150" t="s">
        <v>635</v>
      </c>
      <c r="Y455" s="1158">
        <v>42384.86010416667</v>
      </c>
      <c r="Z455" s="1150" t="s">
        <v>1238</v>
      </c>
      <c r="AA455" s="1158">
        <v>42555.49392361111</v>
      </c>
      <c r="AB455" s="1138">
        <f t="shared" si="7"/>
        <v>248000</v>
      </c>
    </row>
    <row r="456" spans="1:28" x14ac:dyDescent="0.25">
      <c r="A456" s="1159">
        <v>100384</v>
      </c>
      <c r="B456" s="1159" t="s">
        <v>1229</v>
      </c>
      <c r="C456" s="1159" t="s">
        <v>1254</v>
      </c>
      <c r="D456" s="1160">
        <v>41047</v>
      </c>
      <c r="E456" s="1161">
        <v>28810000</v>
      </c>
      <c r="F456" s="1159" t="s">
        <v>610</v>
      </c>
      <c r="G456" s="1162" t="s">
        <v>611</v>
      </c>
      <c r="H456" s="1163">
        <v>1998</v>
      </c>
      <c r="I456" s="1159" t="s">
        <v>612</v>
      </c>
      <c r="J456" s="1162" t="s">
        <v>14</v>
      </c>
      <c r="K456" s="1159" t="s">
        <v>849</v>
      </c>
      <c r="L456" s="1159" t="s">
        <v>1229</v>
      </c>
      <c r="M456" s="1162" t="s">
        <v>14</v>
      </c>
      <c r="N456" s="1162" t="s">
        <v>837</v>
      </c>
      <c r="O456" s="1164">
        <v>64</v>
      </c>
      <c r="P456" s="1164">
        <v>0</v>
      </c>
      <c r="Q456" s="1164">
        <v>5</v>
      </c>
      <c r="R456" s="1159" t="s">
        <v>662</v>
      </c>
      <c r="S456" s="1159" t="s">
        <v>1231</v>
      </c>
      <c r="T456" s="1159" t="s">
        <v>803</v>
      </c>
      <c r="U456" s="1166">
        <v>124000</v>
      </c>
      <c r="V456" s="1159" t="s">
        <v>803</v>
      </c>
      <c r="W456" s="1166">
        <v>124000</v>
      </c>
      <c r="X456" s="1159" t="s">
        <v>634</v>
      </c>
      <c r="Y456" s="1167">
        <v>41047.54821759259</v>
      </c>
      <c r="Z456" s="1159" t="s">
        <v>635</v>
      </c>
      <c r="AA456" s="1167">
        <v>42663.39247685185</v>
      </c>
      <c r="AB456" s="1138">
        <f t="shared" si="7"/>
        <v>248000</v>
      </c>
    </row>
    <row r="457" spans="1:28" x14ac:dyDescent="0.25">
      <c r="A457" s="1150">
        <v>106671</v>
      </c>
      <c r="B457" s="1150" t="s">
        <v>1229</v>
      </c>
      <c r="C457" s="1150" t="s">
        <v>1255</v>
      </c>
      <c r="D457" s="1151">
        <v>41876</v>
      </c>
      <c r="E457" s="1152">
        <v>28280000</v>
      </c>
      <c r="F457" s="1150" t="s">
        <v>610</v>
      </c>
      <c r="G457" s="1153" t="s">
        <v>611</v>
      </c>
      <c r="H457" s="1154">
        <v>1998</v>
      </c>
      <c r="I457" s="1150" t="s">
        <v>612</v>
      </c>
      <c r="J457" s="1153" t="s">
        <v>14</v>
      </c>
      <c r="K457" s="1150" t="s">
        <v>849</v>
      </c>
      <c r="L457" s="1150" t="s">
        <v>1229</v>
      </c>
      <c r="M457" s="1153" t="s">
        <v>14</v>
      </c>
      <c r="N457" s="1153" t="s">
        <v>837</v>
      </c>
      <c r="O457" s="1155">
        <v>64</v>
      </c>
      <c r="P457" s="1155">
        <v>0</v>
      </c>
      <c r="Q457" s="1155">
        <v>5</v>
      </c>
      <c r="R457" s="1150" t="s">
        <v>662</v>
      </c>
      <c r="S457" s="1150" t="s">
        <v>1231</v>
      </c>
      <c r="T457" s="1150" t="s">
        <v>663</v>
      </c>
      <c r="U457" s="1157">
        <v>174000</v>
      </c>
      <c r="V457" s="1150" t="s">
        <v>663</v>
      </c>
      <c r="W457" s="1157">
        <v>174000</v>
      </c>
      <c r="X457" s="1150" t="s">
        <v>776</v>
      </c>
      <c r="Y457" s="1158">
        <v>41876.72457175926</v>
      </c>
      <c r="Z457" s="1150" t="s">
        <v>635</v>
      </c>
      <c r="AA457" s="1158">
        <v>42503.77888888889</v>
      </c>
      <c r="AB457" s="1138">
        <f t="shared" si="7"/>
        <v>348000</v>
      </c>
    </row>
    <row r="458" spans="1:28" x14ac:dyDescent="0.25">
      <c r="A458" s="1159">
        <v>100904</v>
      </c>
      <c r="B458" s="1159" t="s">
        <v>1229</v>
      </c>
      <c r="C458" s="1159" t="s">
        <v>1256</v>
      </c>
      <c r="D458" s="1160">
        <v>41654</v>
      </c>
      <c r="E458" s="1161">
        <v>19260000</v>
      </c>
      <c r="F458" s="1159" t="s">
        <v>404</v>
      </c>
      <c r="G458" s="1162" t="s">
        <v>611</v>
      </c>
      <c r="H458" s="1163">
        <v>1998</v>
      </c>
      <c r="I458" s="1159" t="s">
        <v>612</v>
      </c>
      <c r="J458" s="1162" t="s">
        <v>14</v>
      </c>
      <c r="K458" s="1159" t="s">
        <v>849</v>
      </c>
      <c r="L458" s="1159" t="s">
        <v>1229</v>
      </c>
      <c r="M458" s="1162" t="s">
        <v>630</v>
      </c>
      <c r="N458" s="1162" t="s">
        <v>837</v>
      </c>
      <c r="O458" s="1164">
        <v>70</v>
      </c>
      <c r="P458" s="1164">
        <v>0</v>
      </c>
      <c r="Q458" s="1164">
        <v>5</v>
      </c>
      <c r="R458" s="1159" t="s">
        <v>615</v>
      </c>
      <c r="S458" s="1159" t="s">
        <v>1231</v>
      </c>
      <c r="T458" s="1159" t="s">
        <v>1232</v>
      </c>
      <c r="U458" s="1166">
        <v>120200</v>
      </c>
      <c r="V458" s="1159" t="s">
        <v>1232</v>
      </c>
      <c r="W458" s="1166">
        <v>120200</v>
      </c>
      <c r="X458" s="1159" t="s">
        <v>634</v>
      </c>
      <c r="Y458" s="1167">
        <v>41654.757361111115</v>
      </c>
      <c r="Z458" s="1159" t="s">
        <v>635</v>
      </c>
      <c r="AA458" s="1167">
        <v>42768.77478009259</v>
      </c>
      <c r="AB458" s="1138">
        <f t="shared" si="7"/>
        <v>240400</v>
      </c>
    </row>
    <row r="459" spans="1:28" x14ac:dyDescent="0.25">
      <c r="A459" s="1150">
        <v>100905</v>
      </c>
      <c r="B459" s="1150" t="s">
        <v>1229</v>
      </c>
      <c r="C459" s="1150" t="s">
        <v>1257</v>
      </c>
      <c r="D459" s="1151">
        <v>41654</v>
      </c>
      <c r="E459" s="1152">
        <v>19660000</v>
      </c>
      <c r="F459" s="1150" t="s">
        <v>404</v>
      </c>
      <c r="G459" s="1153" t="s">
        <v>611</v>
      </c>
      <c r="H459" s="1154">
        <v>1998</v>
      </c>
      <c r="I459" s="1150" t="s">
        <v>612</v>
      </c>
      <c r="J459" s="1153" t="s">
        <v>14</v>
      </c>
      <c r="K459" s="1150" t="s">
        <v>849</v>
      </c>
      <c r="L459" s="1150" t="s">
        <v>1229</v>
      </c>
      <c r="M459" s="1153" t="s">
        <v>630</v>
      </c>
      <c r="N459" s="1153" t="s">
        <v>837</v>
      </c>
      <c r="O459" s="1155">
        <v>70</v>
      </c>
      <c r="P459" s="1155">
        <v>0</v>
      </c>
      <c r="Q459" s="1155">
        <v>5</v>
      </c>
      <c r="R459" s="1150" t="s">
        <v>615</v>
      </c>
      <c r="S459" s="1150" t="s">
        <v>1231</v>
      </c>
      <c r="T459" s="1150" t="s">
        <v>1232</v>
      </c>
      <c r="U459" s="1157">
        <v>120200</v>
      </c>
      <c r="V459" s="1150" t="s">
        <v>1232</v>
      </c>
      <c r="W459" s="1157">
        <v>120200</v>
      </c>
      <c r="X459" s="1150" t="s">
        <v>634</v>
      </c>
      <c r="Y459" s="1158">
        <v>41654.76157407407</v>
      </c>
      <c r="Z459" s="1150" t="s">
        <v>635</v>
      </c>
      <c r="AA459" s="1158">
        <v>42768.77489583333</v>
      </c>
      <c r="AB459" s="1138">
        <f t="shared" si="7"/>
        <v>240400</v>
      </c>
    </row>
    <row r="460" spans="1:28" x14ac:dyDescent="0.25">
      <c r="A460" s="1159">
        <v>109880</v>
      </c>
      <c r="B460" s="1159" t="s">
        <v>1258</v>
      </c>
      <c r="C460" s="1159" t="s">
        <v>1259</v>
      </c>
      <c r="D460" s="1160">
        <v>43427</v>
      </c>
      <c r="E460" s="1161">
        <v>29870000</v>
      </c>
      <c r="F460" s="1159" t="s">
        <v>610</v>
      </c>
      <c r="G460" s="1162" t="s">
        <v>611</v>
      </c>
      <c r="H460" s="1163">
        <v>1598</v>
      </c>
      <c r="I460" s="1159" t="s">
        <v>612</v>
      </c>
      <c r="J460" s="1162" t="s">
        <v>14</v>
      </c>
      <c r="K460" s="1159" t="s">
        <v>849</v>
      </c>
      <c r="L460" s="1159" t="s">
        <v>1258</v>
      </c>
      <c r="M460" s="1162" t="s">
        <v>14</v>
      </c>
      <c r="N460" s="1162" t="s">
        <v>738</v>
      </c>
      <c r="O460" s="1164">
        <v>56</v>
      </c>
      <c r="P460" s="1164">
        <v>0</v>
      </c>
      <c r="Q460" s="1164">
        <v>5</v>
      </c>
      <c r="R460" s="1159" t="s">
        <v>710</v>
      </c>
      <c r="S460" s="1159" t="s">
        <v>910</v>
      </c>
      <c r="T460" s="1159" t="s">
        <v>743</v>
      </c>
      <c r="U460" s="1166">
        <v>141000</v>
      </c>
      <c r="V460" s="1159" t="s">
        <v>743</v>
      </c>
      <c r="W460" s="1166">
        <v>141000</v>
      </c>
      <c r="X460" s="1159" t="s">
        <v>664</v>
      </c>
      <c r="Y460" s="1167">
        <v>43427.6508912037</v>
      </c>
      <c r="Z460" s="1159" t="s">
        <v>618</v>
      </c>
      <c r="AA460" s="1167">
        <v>43849.005578703705</v>
      </c>
      <c r="AB460" s="1138">
        <f t="shared" si="7"/>
        <v>282000</v>
      </c>
    </row>
    <row r="461" spans="1:28" x14ac:dyDescent="0.25">
      <c r="A461" s="1150">
        <v>110837</v>
      </c>
      <c r="B461" s="1150" t="s">
        <v>1258</v>
      </c>
      <c r="C461" s="1150" t="s">
        <v>1260</v>
      </c>
      <c r="D461" s="1151">
        <v>43457</v>
      </c>
      <c r="E461" s="1152">
        <v>32610000</v>
      </c>
      <c r="F461" s="1150" t="s">
        <v>610</v>
      </c>
      <c r="G461" s="1153" t="s">
        <v>611</v>
      </c>
      <c r="H461" s="1154">
        <v>1598</v>
      </c>
      <c r="I461" s="1150" t="s">
        <v>612</v>
      </c>
      <c r="J461" s="1153" t="s">
        <v>14</v>
      </c>
      <c r="K461" s="1150" t="s">
        <v>849</v>
      </c>
      <c r="L461" s="1150" t="s">
        <v>1258</v>
      </c>
      <c r="M461" s="1153" t="s">
        <v>14</v>
      </c>
      <c r="N461" s="1153" t="s">
        <v>738</v>
      </c>
      <c r="O461" s="1155">
        <v>56</v>
      </c>
      <c r="P461" s="1155">
        <v>0</v>
      </c>
      <c r="Q461" s="1155">
        <v>5</v>
      </c>
      <c r="R461" s="1150" t="s">
        <v>710</v>
      </c>
      <c r="S461" s="1150" t="s">
        <v>910</v>
      </c>
      <c r="T461" s="1150" t="s">
        <v>740</v>
      </c>
      <c r="U461" s="1157">
        <v>169200</v>
      </c>
      <c r="V461" s="1150" t="s">
        <v>740</v>
      </c>
      <c r="W461" s="1157">
        <v>169200</v>
      </c>
      <c r="X461" s="1150" t="s">
        <v>618</v>
      </c>
      <c r="Y461" s="1158">
        <v>43803.63633101852</v>
      </c>
      <c r="Z461" s="1150" t="s">
        <v>618</v>
      </c>
      <c r="AA461" s="1158">
        <v>43849.00643518519</v>
      </c>
      <c r="AB461" s="1138">
        <f t="shared" si="7"/>
        <v>338400</v>
      </c>
    </row>
    <row r="462" spans="1:28" x14ac:dyDescent="0.25">
      <c r="A462" s="1159">
        <v>110839</v>
      </c>
      <c r="B462" s="1159" t="s">
        <v>1258</v>
      </c>
      <c r="C462" s="1159" t="s">
        <v>1261</v>
      </c>
      <c r="D462" s="1160">
        <v>43427</v>
      </c>
      <c r="E462" s="1161">
        <v>34090000</v>
      </c>
      <c r="F462" s="1159" t="s">
        <v>610</v>
      </c>
      <c r="G462" s="1162" t="s">
        <v>611</v>
      </c>
      <c r="H462" s="1163">
        <v>1598</v>
      </c>
      <c r="I462" s="1159" t="s">
        <v>612</v>
      </c>
      <c r="J462" s="1162" t="s">
        <v>14</v>
      </c>
      <c r="K462" s="1159" t="s">
        <v>849</v>
      </c>
      <c r="L462" s="1159" t="s">
        <v>1258</v>
      </c>
      <c r="M462" s="1162" t="s">
        <v>14</v>
      </c>
      <c r="N462" s="1162" t="s">
        <v>738</v>
      </c>
      <c r="O462" s="1164">
        <v>56</v>
      </c>
      <c r="P462" s="1164">
        <v>0</v>
      </c>
      <c r="Q462" s="1164">
        <v>5</v>
      </c>
      <c r="R462" s="1159" t="s">
        <v>710</v>
      </c>
      <c r="S462" s="1159" t="s">
        <v>910</v>
      </c>
      <c r="T462" s="1159" t="s">
        <v>1262</v>
      </c>
      <c r="U462" s="1166">
        <v>170000</v>
      </c>
      <c r="V462" s="1159" t="s">
        <v>1262</v>
      </c>
      <c r="W462" s="1166">
        <v>170000</v>
      </c>
      <c r="X462" s="1159" t="s">
        <v>618</v>
      </c>
      <c r="Y462" s="1167">
        <v>43803.66799768519</v>
      </c>
      <c r="Z462" s="1159" t="s">
        <v>618</v>
      </c>
      <c r="AA462" s="1167">
        <v>43849.00784722222</v>
      </c>
      <c r="AB462" s="1138">
        <f t="shared" si="7"/>
        <v>340000</v>
      </c>
    </row>
    <row r="463" spans="1:28" x14ac:dyDescent="0.25">
      <c r="A463" s="1150">
        <v>111049</v>
      </c>
      <c r="B463" s="1150" t="s">
        <v>1258</v>
      </c>
      <c r="C463" s="1150" t="s">
        <v>1263</v>
      </c>
      <c r="D463" s="1151">
        <v>43831</v>
      </c>
      <c r="E463" s="1152">
        <v>36090000</v>
      </c>
      <c r="F463" s="1150" t="s">
        <v>610</v>
      </c>
      <c r="G463" s="1153" t="s">
        <v>611</v>
      </c>
      <c r="H463" s="1154">
        <v>1598</v>
      </c>
      <c r="I463" s="1150" t="s">
        <v>612</v>
      </c>
      <c r="J463" s="1153" t="s">
        <v>14</v>
      </c>
      <c r="K463" s="1150" t="s">
        <v>849</v>
      </c>
      <c r="L463" s="1150" t="s">
        <v>1258</v>
      </c>
      <c r="M463" s="1153" t="s">
        <v>14</v>
      </c>
      <c r="N463" s="1153" t="s">
        <v>738</v>
      </c>
      <c r="O463" s="1155">
        <v>56</v>
      </c>
      <c r="P463" s="1155">
        <v>0</v>
      </c>
      <c r="Q463" s="1155">
        <v>5</v>
      </c>
      <c r="R463" s="1150" t="s">
        <v>710</v>
      </c>
      <c r="S463" s="1150" t="s">
        <v>910</v>
      </c>
      <c r="T463" s="1150" t="s">
        <v>1262</v>
      </c>
      <c r="U463" s="1157">
        <v>170000</v>
      </c>
      <c r="V463" s="1150" t="s">
        <v>1262</v>
      </c>
      <c r="W463" s="1157">
        <v>170000</v>
      </c>
      <c r="X463" s="1150" t="s">
        <v>618</v>
      </c>
      <c r="Y463" s="1158">
        <v>43849.008611111116</v>
      </c>
      <c r="Z463" s="1150" t="s">
        <v>618</v>
      </c>
      <c r="AA463" s="1158">
        <v>43849.01631944445</v>
      </c>
      <c r="AB463" s="1138">
        <f t="shared" si="7"/>
        <v>340000</v>
      </c>
    </row>
    <row r="464" spans="1:28" x14ac:dyDescent="0.25">
      <c r="A464" s="1159">
        <v>109881</v>
      </c>
      <c r="B464" s="1159" t="s">
        <v>1258</v>
      </c>
      <c r="C464" s="1159" t="s">
        <v>1264</v>
      </c>
      <c r="D464" s="1160">
        <v>43427</v>
      </c>
      <c r="E464" s="1161">
        <v>36520000</v>
      </c>
      <c r="F464" s="1159" t="s">
        <v>610</v>
      </c>
      <c r="G464" s="1162" t="s">
        <v>611</v>
      </c>
      <c r="H464" s="1163">
        <v>1598</v>
      </c>
      <c r="I464" s="1159" t="s">
        <v>612</v>
      </c>
      <c r="J464" s="1162" t="s">
        <v>14</v>
      </c>
      <c r="K464" s="1159" t="s">
        <v>849</v>
      </c>
      <c r="L464" s="1159" t="s">
        <v>1258</v>
      </c>
      <c r="M464" s="1162" t="s">
        <v>14</v>
      </c>
      <c r="N464" s="1162" t="s">
        <v>738</v>
      </c>
      <c r="O464" s="1164">
        <v>56</v>
      </c>
      <c r="P464" s="1164">
        <v>0</v>
      </c>
      <c r="Q464" s="1164">
        <v>5</v>
      </c>
      <c r="R464" s="1159" t="s">
        <v>710</v>
      </c>
      <c r="S464" s="1159" t="s">
        <v>910</v>
      </c>
      <c r="T464" s="1159" t="s">
        <v>740</v>
      </c>
      <c r="U464" s="1166">
        <v>169200</v>
      </c>
      <c r="V464" s="1159" t="s">
        <v>740</v>
      </c>
      <c r="W464" s="1166">
        <v>169200</v>
      </c>
      <c r="X464" s="1159" t="s">
        <v>664</v>
      </c>
      <c r="Y464" s="1167">
        <v>43427.65487268519</v>
      </c>
      <c r="Z464" s="1159" t="s">
        <v>618</v>
      </c>
      <c r="AA464" s="1167">
        <v>43849.01005787037</v>
      </c>
      <c r="AB464" s="1138">
        <f t="shared" si="7"/>
        <v>338400</v>
      </c>
    </row>
    <row r="465" ht="24" customHeight="1" spans="1:28" x14ac:dyDescent="0.25">
      <c r="A465" s="1150">
        <v>109882</v>
      </c>
      <c r="B465" s="1150" t="s">
        <v>1258</v>
      </c>
      <c r="C465" s="1150" t="s">
        <v>1265</v>
      </c>
      <c r="D465" s="1151">
        <v>43427</v>
      </c>
      <c r="E465" s="1152">
        <v>38000000</v>
      </c>
      <c r="F465" s="1150" t="s">
        <v>610</v>
      </c>
      <c r="G465" s="1153" t="s">
        <v>611</v>
      </c>
      <c r="H465" s="1154">
        <v>1598</v>
      </c>
      <c r="I465" s="1150" t="s">
        <v>612</v>
      </c>
      <c r="J465" s="1153" t="s">
        <v>14</v>
      </c>
      <c r="K465" s="1150" t="s">
        <v>849</v>
      </c>
      <c r="L465" s="1150" t="s">
        <v>1258</v>
      </c>
      <c r="M465" s="1153" t="s">
        <v>14</v>
      </c>
      <c r="N465" s="1153" t="s">
        <v>738</v>
      </c>
      <c r="O465" s="1155">
        <v>56</v>
      </c>
      <c r="P465" s="1155">
        <v>0</v>
      </c>
      <c r="Q465" s="1155">
        <v>5</v>
      </c>
      <c r="R465" s="1150" t="s">
        <v>710</v>
      </c>
      <c r="S465" s="1150" t="s">
        <v>910</v>
      </c>
      <c r="T465" s="1150" t="s">
        <v>1262</v>
      </c>
      <c r="U465" s="1157">
        <v>170000</v>
      </c>
      <c r="V465" s="1150" t="s">
        <v>1262</v>
      </c>
      <c r="W465" s="1157">
        <v>170000</v>
      </c>
      <c r="X465" s="1150" t="s">
        <v>664</v>
      </c>
      <c r="Y465" s="1158">
        <v>43427.66145833333</v>
      </c>
      <c r="Z465" s="1150" t="s">
        <v>618</v>
      </c>
      <c r="AA465" s="1158">
        <v>43849.011620370366</v>
      </c>
      <c r="AB465" s="1138">
        <f t="shared" si="7"/>
        <v>340000</v>
      </c>
    </row>
    <row r="466" ht="24" customHeight="1" spans="1:28" x14ac:dyDescent="0.25">
      <c r="A466" s="1159">
        <v>111050</v>
      </c>
      <c r="B466" s="1159" t="s">
        <v>1258</v>
      </c>
      <c r="C466" s="1159" t="s">
        <v>1266</v>
      </c>
      <c r="D466" s="1160">
        <v>43831</v>
      </c>
      <c r="E466" s="1161">
        <v>40000000</v>
      </c>
      <c r="F466" s="1159" t="s">
        <v>610</v>
      </c>
      <c r="G466" s="1162" t="s">
        <v>611</v>
      </c>
      <c r="H466" s="1163">
        <v>1598</v>
      </c>
      <c r="I466" s="1159" t="s">
        <v>612</v>
      </c>
      <c r="J466" s="1162" t="s">
        <v>14</v>
      </c>
      <c r="K466" s="1159" t="s">
        <v>849</v>
      </c>
      <c r="L466" s="1159" t="s">
        <v>1258</v>
      </c>
      <c r="M466" s="1162" t="s">
        <v>14</v>
      </c>
      <c r="N466" s="1162" t="s">
        <v>738</v>
      </c>
      <c r="O466" s="1164">
        <v>56</v>
      </c>
      <c r="P466" s="1164">
        <v>0</v>
      </c>
      <c r="Q466" s="1164">
        <v>5</v>
      </c>
      <c r="R466" s="1159" t="s">
        <v>710</v>
      </c>
      <c r="S466" s="1159" t="s">
        <v>910</v>
      </c>
      <c r="T466" s="1159" t="s">
        <v>1262</v>
      </c>
      <c r="U466" s="1166">
        <v>170000</v>
      </c>
      <c r="V466" s="1159" t="s">
        <v>1262</v>
      </c>
      <c r="W466" s="1166">
        <v>170000</v>
      </c>
      <c r="X466" s="1159" t="s">
        <v>618</v>
      </c>
      <c r="Y466" s="1167">
        <v>43849.01194444444</v>
      </c>
      <c r="Z466" s="1159" t="s">
        <v>618</v>
      </c>
      <c r="AA466" s="1167">
        <v>43849.01620370371</v>
      </c>
      <c r="AB466" s="1138">
        <f t="shared" si="7"/>
        <v>340000</v>
      </c>
    </row>
    <row r="467" spans="1:28" x14ac:dyDescent="0.25">
      <c r="A467" s="1150">
        <v>111051</v>
      </c>
      <c r="B467" s="1150" t="s">
        <v>1258</v>
      </c>
      <c r="C467" s="1150" t="s">
        <v>1267</v>
      </c>
      <c r="D467" s="1151">
        <v>43831</v>
      </c>
      <c r="E467" s="1152">
        <v>35000000</v>
      </c>
      <c r="F467" s="1150" t="s">
        <v>610</v>
      </c>
      <c r="G467" s="1153" t="s">
        <v>611</v>
      </c>
      <c r="H467" s="1154">
        <v>1598</v>
      </c>
      <c r="I467" s="1150" t="s">
        <v>612</v>
      </c>
      <c r="J467" s="1153" t="s">
        <v>14</v>
      </c>
      <c r="K467" s="1150" t="s">
        <v>849</v>
      </c>
      <c r="L467" s="1150" t="s">
        <v>1258</v>
      </c>
      <c r="M467" s="1153" t="s">
        <v>14</v>
      </c>
      <c r="N467" s="1153" t="s">
        <v>738</v>
      </c>
      <c r="O467" s="1155">
        <v>56</v>
      </c>
      <c r="P467" s="1155">
        <v>0</v>
      </c>
      <c r="Q467" s="1155">
        <v>5</v>
      </c>
      <c r="R467" s="1150" t="s">
        <v>710</v>
      </c>
      <c r="S467" s="1150" t="s">
        <v>910</v>
      </c>
      <c r="T467" s="1150" t="s">
        <v>1262</v>
      </c>
      <c r="U467" s="1157">
        <v>170000</v>
      </c>
      <c r="V467" s="1150" t="s">
        <v>1262</v>
      </c>
      <c r="W467" s="1157">
        <v>170000</v>
      </c>
      <c r="X467" s="1150" t="s">
        <v>618</v>
      </c>
      <c r="Y467" s="1158">
        <v>43849.018784722226</v>
      </c>
      <c r="Z467" s="1150" t="s">
        <v>618</v>
      </c>
      <c r="AA467" s="1158">
        <v>43849.020000000004</v>
      </c>
      <c r="AB467" s="1138">
        <f t="shared" si="7"/>
        <v>340000</v>
      </c>
    </row>
    <row r="468" spans="1:28" x14ac:dyDescent="0.25">
      <c r="A468" s="1159">
        <v>111052</v>
      </c>
      <c r="B468" s="1159" t="s">
        <v>1258</v>
      </c>
      <c r="C468" s="1159" t="s">
        <v>1268</v>
      </c>
      <c r="D468" s="1160">
        <v>43831</v>
      </c>
      <c r="E468" s="1161">
        <v>37000000</v>
      </c>
      <c r="F468" s="1159" t="s">
        <v>610</v>
      </c>
      <c r="G468" s="1162" t="s">
        <v>611</v>
      </c>
      <c r="H468" s="1163">
        <v>1598</v>
      </c>
      <c r="I468" s="1159" t="s">
        <v>612</v>
      </c>
      <c r="J468" s="1162" t="s">
        <v>14</v>
      </c>
      <c r="K468" s="1159" t="s">
        <v>849</v>
      </c>
      <c r="L468" s="1159" t="s">
        <v>1258</v>
      </c>
      <c r="M468" s="1162" t="s">
        <v>14</v>
      </c>
      <c r="N468" s="1162" t="s">
        <v>738</v>
      </c>
      <c r="O468" s="1164">
        <v>56</v>
      </c>
      <c r="P468" s="1164">
        <v>0</v>
      </c>
      <c r="Q468" s="1164">
        <v>5</v>
      </c>
      <c r="R468" s="1159" t="s">
        <v>710</v>
      </c>
      <c r="S468" s="1159" t="s">
        <v>910</v>
      </c>
      <c r="T468" s="1159" t="s">
        <v>1262</v>
      </c>
      <c r="U468" s="1166">
        <v>170000</v>
      </c>
      <c r="V468" s="1159" t="s">
        <v>1262</v>
      </c>
      <c r="W468" s="1166">
        <v>170000</v>
      </c>
      <c r="X468" s="1159" t="s">
        <v>618</v>
      </c>
      <c r="Y468" s="1167">
        <v>43849.021006944444</v>
      </c>
      <c r="Z468" s="1159" t="s">
        <v>618</v>
      </c>
      <c r="AA468" s="1167">
        <v>43849.021006944444</v>
      </c>
      <c r="AB468" s="1138">
        <f t="shared" si="7"/>
        <v>340000</v>
      </c>
    </row>
    <row r="469" spans="1:28" x14ac:dyDescent="0.25">
      <c r="A469" s="1150">
        <v>110159</v>
      </c>
      <c r="B469" s="1150" t="s">
        <v>1269</v>
      </c>
      <c r="C469" s="1150" t="s">
        <v>1270</v>
      </c>
      <c r="D469" s="1151">
        <v>43529</v>
      </c>
      <c r="E469" s="1152">
        <v>33500000</v>
      </c>
      <c r="F469" s="1150" t="s">
        <v>387</v>
      </c>
      <c r="G469" s="1153" t="s">
        <v>611</v>
      </c>
      <c r="H469" s="1154">
        <v>2457</v>
      </c>
      <c r="I469" s="1150" t="s">
        <v>612</v>
      </c>
      <c r="J469" s="1153" t="s">
        <v>14</v>
      </c>
      <c r="K469" s="1150" t="s">
        <v>849</v>
      </c>
      <c r="L469" s="1150" t="s">
        <v>1271</v>
      </c>
      <c r="M469" s="1153" t="s">
        <v>14</v>
      </c>
      <c r="N469" s="1153" t="s">
        <v>693</v>
      </c>
      <c r="O469" s="1155">
        <v>70</v>
      </c>
      <c r="P469" s="1156"/>
      <c r="Q469" s="1155">
        <v>5</v>
      </c>
      <c r="R469" s="1150" t="s">
        <v>632</v>
      </c>
      <c r="S469" s="1150" t="s">
        <v>910</v>
      </c>
      <c r="T469" s="1150" t="s">
        <v>1272</v>
      </c>
      <c r="U469" s="1157">
        <v>164500</v>
      </c>
      <c r="V469" s="1150" t="s">
        <v>1272</v>
      </c>
      <c r="W469" s="1157">
        <v>164500</v>
      </c>
      <c r="X469" s="1150" t="s">
        <v>664</v>
      </c>
      <c r="Y469" s="1158">
        <v>43529.48777777777</v>
      </c>
      <c r="Z469" s="1150" t="s">
        <v>664</v>
      </c>
      <c r="AA469" s="1158">
        <v>43529.48799768518</v>
      </c>
      <c r="AB469" s="1138">
        <f t="shared" si="7"/>
        <v>329000</v>
      </c>
    </row>
    <row r="470" spans="1:28" x14ac:dyDescent="0.25">
      <c r="A470" s="1159">
        <v>110165</v>
      </c>
      <c r="B470" s="1159" t="s">
        <v>1269</v>
      </c>
      <c r="C470" s="1159" t="s">
        <v>1273</v>
      </c>
      <c r="D470" s="1160">
        <v>43529</v>
      </c>
      <c r="E470" s="1161">
        <v>37560000</v>
      </c>
      <c r="F470" s="1159" t="s">
        <v>387</v>
      </c>
      <c r="G470" s="1162" t="s">
        <v>611</v>
      </c>
      <c r="H470" s="1163">
        <v>2457</v>
      </c>
      <c r="I470" s="1159" t="s">
        <v>612</v>
      </c>
      <c r="J470" s="1162" t="s">
        <v>14</v>
      </c>
      <c r="K470" s="1159" t="s">
        <v>849</v>
      </c>
      <c r="L470" s="1159" t="s">
        <v>1271</v>
      </c>
      <c r="M470" s="1162" t="s">
        <v>14</v>
      </c>
      <c r="N470" s="1162" t="s">
        <v>693</v>
      </c>
      <c r="O470" s="1164">
        <v>70</v>
      </c>
      <c r="P470" s="1165"/>
      <c r="Q470" s="1164">
        <v>5</v>
      </c>
      <c r="R470" s="1159" t="s">
        <v>632</v>
      </c>
      <c r="S470" s="1159" t="s">
        <v>910</v>
      </c>
      <c r="T470" s="1159" t="s">
        <v>719</v>
      </c>
      <c r="U470" s="1166">
        <v>188500</v>
      </c>
      <c r="V470" s="1159" t="s">
        <v>719</v>
      </c>
      <c r="W470" s="1166">
        <v>188500</v>
      </c>
      <c r="X470" s="1159" t="s">
        <v>664</v>
      </c>
      <c r="Y470" s="1167">
        <v>43529.49232638889</v>
      </c>
      <c r="Z470" s="1159" t="s">
        <v>664</v>
      </c>
      <c r="AA470" s="1167">
        <v>43529.49296296296</v>
      </c>
      <c r="AB470" s="1138">
        <f t="shared" si="7"/>
        <v>377000</v>
      </c>
    </row>
    <row r="471" spans="1:28" x14ac:dyDescent="0.25">
      <c r="A471" s="1150">
        <v>110166</v>
      </c>
      <c r="B471" s="1150" t="s">
        <v>1269</v>
      </c>
      <c r="C471" s="1150" t="s">
        <v>1274</v>
      </c>
      <c r="D471" s="1151">
        <v>43529</v>
      </c>
      <c r="E471" s="1152">
        <v>38290000</v>
      </c>
      <c r="F471" s="1150" t="s">
        <v>387</v>
      </c>
      <c r="G471" s="1153" t="s">
        <v>611</v>
      </c>
      <c r="H471" s="1154">
        <v>2457</v>
      </c>
      <c r="I471" s="1150" t="s">
        <v>612</v>
      </c>
      <c r="J471" s="1153" t="s">
        <v>14</v>
      </c>
      <c r="K471" s="1150" t="s">
        <v>849</v>
      </c>
      <c r="L471" s="1150" t="s">
        <v>1271</v>
      </c>
      <c r="M471" s="1153" t="s">
        <v>14</v>
      </c>
      <c r="N471" s="1153" t="s">
        <v>693</v>
      </c>
      <c r="O471" s="1155">
        <v>70</v>
      </c>
      <c r="P471" s="1156"/>
      <c r="Q471" s="1155">
        <v>5</v>
      </c>
      <c r="R471" s="1150" t="s">
        <v>632</v>
      </c>
      <c r="S471" s="1150" t="s">
        <v>910</v>
      </c>
      <c r="T471" s="1150" t="s">
        <v>719</v>
      </c>
      <c r="U471" s="1157">
        <v>188500</v>
      </c>
      <c r="V471" s="1150" t="s">
        <v>719</v>
      </c>
      <c r="W471" s="1157">
        <v>188500</v>
      </c>
      <c r="X471" s="1150" t="s">
        <v>664</v>
      </c>
      <c r="Y471" s="1158">
        <v>43529.49296296296</v>
      </c>
      <c r="Z471" s="1150" t="s">
        <v>664</v>
      </c>
      <c r="AA471" s="1158">
        <v>43529.49296296296</v>
      </c>
      <c r="AB471" s="1138">
        <f t="shared" si="7"/>
        <v>377000</v>
      </c>
    </row>
    <row r="472" spans="1:28" x14ac:dyDescent="0.25">
      <c r="A472" s="1159">
        <v>110163</v>
      </c>
      <c r="B472" s="1159" t="s">
        <v>1269</v>
      </c>
      <c r="C472" s="1159" t="s">
        <v>1275</v>
      </c>
      <c r="D472" s="1160">
        <v>43529</v>
      </c>
      <c r="E472" s="1161">
        <v>42880000</v>
      </c>
      <c r="F472" s="1159" t="s">
        <v>387</v>
      </c>
      <c r="G472" s="1162" t="s">
        <v>611</v>
      </c>
      <c r="H472" s="1163">
        <v>3564</v>
      </c>
      <c r="I472" s="1159" t="s">
        <v>612</v>
      </c>
      <c r="J472" s="1162" t="s">
        <v>14</v>
      </c>
      <c r="K472" s="1159" t="s">
        <v>849</v>
      </c>
      <c r="L472" s="1159" t="s">
        <v>1271</v>
      </c>
      <c r="M472" s="1162" t="s">
        <v>14</v>
      </c>
      <c r="N472" s="1162" t="s">
        <v>693</v>
      </c>
      <c r="O472" s="1164">
        <v>70</v>
      </c>
      <c r="P472" s="1165"/>
      <c r="Q472" s="1164">
        <v>5</v>
      </c>
      <c r="R472" s="1159" t="s">
        <v>773</v>
      </c>
      <c r="S472" s="1159" t="s">
        <v>910</v>
      </c>
      <c r="T472" s="1159" t="s">
        <v>719</v>
      </c>
      <c r="U472" s="1166">
        <v>188500</v>
      </c>
      <c r="V472" s="1159" t="s">
        <v>719</v>
      </c>
      <c r="W472" s="1166">
        <v>188500</v>
      </c>
      <c r="X472" s="1159" t="s">
        <v>664</v>
      </c>
      <c r="Y472" s="1167">
        <v>43529.4903125</v>
      </c>
      <c r="Z472" s="1159" t="s">
        <v>664</v>
      </c>
      <c r="AA472" s="1167">
        <v>43529.49045138889</v>
      </c>
      <c r="AB472" s="1138">
        <f t="shared" si="7"/>
        <v>377000</v>
      </c>
    </row>
    <row r="473" spans="1:28" x14ac:dyDescent="0.25">
      <c r="A473" s="1150">
        <v>110164</v>
      </c>
      <c r="B473" s="1150" t="s">
        <v>1269</v>
      </c>
      <c r="C473" s="1150" t="s">
        <v>1276</v>
      </c>
      <c r="D473" s="1151">
        <v>43529</v>
      </c>
      <c r="E473" s="1152">
        <v>43610000</v>
      </c>
      <c r="F473" s="1150" t="s">
        <v>387</v>
      </c>
      <c r="G473" s="1153" t="s">
        <v>611</v>
      </c>
      <c r="H473" s="1154">
        <v>3564</v>
      </c>
      <c r="I473" s="1150" t="s">
        <v>612</v>
      </c>
      <c r="J473" s="1153" t="s">
        <v>14</v>
      </c>
      <c r="K473" s="1150" t="s">
        <v>849</v>
      </c>
      <c r="L473" s="1150" t="s">
        <v>1271</v>
      </c>
      <c r="M473" s="1153" t="s">
        <v>14</v>
      </c>
      <c r="N473" s="1153" t="s">
        <v>693</v>
      </c>
      <c r="O473" s="1155">
        <v>70</v>
      </c>
      <c r="P473" s="1156"/>
      <c r="Q473" s="1155">
        <v>5</v>
      </c>
      <c r="R473" s="1150" t="s">
        <v>773</v>
      </c>
      <c r="S473" s="1150" t="s">
        <v>910</v>
      </c>
      <c r="T473" s="1150" t="s">
        <v>719</v>
      </c>
      <c r="U473" s="1157">
        <v>188500</v>
      </c>
      <c r="V473" s="1150" t="s">
        <v>719</v>
      </c>
      <c r="W473" s="1157">
        <v>188500</v>
      </c>
      <c r="X473" s="1150" t="s">
        <v>664</v>
      </c>
      <c r="Y473" s="1158">
        <v>43529.49105324074</v>
      </c>
      <c r="Z473" s="1150" t="s">
        <v>664</v>
      </c>
      <c r="AA473" s="1158">
        <v>43529.49123842592</v>
      </c>
      <c r="AB473" s="1138">
        <f t="shared" si="7"/>
        <v>377000</v>
      </c>
    </row>
    <row r="474" spans="1:28" x14ac:dyDescent="0.25">
      <c r="A474" s="1159">
        <v>110735</v>
      </c>
      <c r="B474" s="1159" t="s">
        <v>1277</v>
      </c>
      <c r="C474" s="1159" t="s">
        <v>1278</v>
      </c>
      <c r="D474" s="1160">
        <v>43760</v>
      </c>
      <c r="E474" s="1161">
        <v>43370000</v>
      </c>
      <c r="F474" s="1159" t="s">
        <v>387</v>
      </c>
      <c r="G474" s="1162" t="s">
        <v>611</v>
      </c>
      <c r="H474" s="1163">
        <v>1998</v>
      </c>
      <c r="I474" s="1159" t="s">
        <v>629</v>
      </c>
      <c r="J474" s="1162" t="s">
        <v>14</v>
      </c>
      <c r="K474" s="1159" t="s">
        <v>18</v>
      </c>
      <c r="L474" s="1159" t="s">
        <v>1277</v>
      </c>
      <c r="M474" s="1162" t="s">
        <v>14</v>
      </c>
      <c r="N474" s="1162" t="s">
        <v>717</v>
      </c>
      <c r="O474" s="1164">
        <v>60</v>
      </c>
      <c r="P474" s="1165"/>
      <c r="Q474" s="1164">
        <v>5</v>
      </c>
      <c r="R474" s="1159" t="s">
        <v>710</v>
      </c>
      <c r="S474" s="1159" t="s">
        <v>625</v>
      </c>
      <c r="T474" s="1159" t="s">
        <v>1042</v>
      </c>
      <c r="U474" s="1166">
        <v>191000</v>
      </c>
      <c r="V474" s="1159" t="s">
        <v>1279</v>
      </c>
      <c r="W474" s="1166">
        <v>193000</v>
      </c>
      <c r="X474" s="1159" t="s">
        <v>618</v>
      </c>
      <c r="Y474" s="1167">
        <v>43760.73211805556</v>
      </c>
      <c r="Z474" s="1159" t="s">
        <v>618</v>
      </c>
      <c r="AA474" s="1167">
        <v>43894.46267361111</v>
      </c>
      <c r="AB474" s="1138">
        <f t="shared" si="7"/>
        <v>386000</v>
      </c>
    </row>
    <row r="475" ht="24" customHeight="1" spans="1:28" x14ac:dyDescent="0.25">
      <c r="A475" s="1150">
        <v>110749</v>
      </c>
      <c r="B475" s="1150" t="s">
        <v>1277</v>
      </c>
      <c r="C475" s="1150" t="s">
        <v>1280</v>
      </c>
      <c r="D475" s="1151">
        <v>43760</v>
      </c>
      <c r="E475" s="1152">
        <v>45670000</v>
      </c>
      <c r="F475" s="1150" t="s">
        <v>387</v>
      </c>
      <c r="G475" s="1153" t="s">
        <v>611</v>
      </c>
      <c r="H475" s="1154">
        <v>1998</v>
      </c>
      <c r="I475" s="1150" t="s">
        <v>629</v>
      </c>
      <c r="J475" s="1153" t="s">
        <v>14</v>
      </c>
      <c r="K475" s="1150" t="s">
        <v>18</v>
      </c>
      <c r="L475" s="1150" t="s">
        <v>1277</v>
      </c>
      <c r="M475" s="1153" t="s">
        <v>14</v>
      </c>
      <c r="N475" s="1153" t="s">
        <v>717</v>
      </c>
      <c r="O475" s="1155">
        <v>60</v>
      </c>
      <c r="P475" s="1156"/>
      <c r="Q475" s="1155">
        <v>5</v>
      </c>
      <c r="R475" s="1150" t="s">
        <v>710</v>
      </c>
      <c r="S475" s="1150" t="s">
        <v>625</v>
      </c>
      <c r="T475" s="1150" t="s">
        <v>1042</v>
      </c>
      <c r="U475" s="1157">
        <v>191000</v>
      </c>
      <c r="V475" s="1150" t="s">
        <v>1279</v>
      </c>
      <c r="W475" s="1157">
        <v>193000</v>
      </c>
      <c r="X475" s="1150" t="s">
        <v>618</v>
      </c>
      <c r="Y475" s="1158">
        <v>43760.97423611111</v>
      </c>
      <c r="Z475" s="1150" t="s">
        <v>618</v>
      </c>
      <c r="AA475" s="1158">
        <v>43894.46952546296</v>
      </c>
      <c r="AB475" s="1138">
        <f t="shared" si="7"/>
        <v>386000</v>
      </c>
    </row>
    <row r="476" ht="24" customHeight="1" spans="1:28" x14ac:dyDescent="0.25">
      <c r="A476" s="1159">
        <v>110736</v>
      </c>
      <c r="B476" s="1159" t="s">
        <v>1277</v>
      </c>
      <c r="C476" s="1159" t="s">
        <v>1281</v>
      </c>
      <c r="D476" s="1160">
        <v>43760</v>
      </c>
      <c r="E476" s="1161">
        <v>46120000</v>
      </c>
      <c r="F476" s="1159" t="s">
        <v>387</v>
      </c>
      <c r="G476" s="1162" t="s">
        <v>611</v>
      </c>
      <c r="H476" s="1163">
        <v>1998</v>
      </c>
      <c r="I476" s="1159" t="s">
        <v>629</v>
      </c>
      <c r="J476" s="1162" t="s">
        <v>14</v>
      </c>
      <c r="K476" s="1159" t="s">
        <v>18</v>
      </c>
      <c r="L476" s="1159" t="s">
        <v>1277</v>
      </c>
      <c r="M476" s="1162" t="s">
        <v>14</v>
      </c>
      <c r="N476" s="1162" t="s">
        <v>717</v>
      </c>
      <c r="O476" s="1164">
        <v>60</v>
      </c>
      <c r="P476" s="1165"/>
      <c r="Q476" s="1164">
        <v>5</v>
      </c>
      <c r="R476" s="1159" t="s">
        <v>710</v>
      </c>
      <c r="S476" s="1159" t="s">
        <v>625</v>
      </c>
      <c r="T476" s="1159" t="s">
        <v>1042</v>
      </c>
      <c r="U476" s="1166">
        <v>191000</v>
      </c>
      <c r="V476" s="1159" t="s">
        <v>1279</v>
      </c>
      <c r="W476" s="1166">
        <v>193000</v>
      </c>
      <c r="X476" s="1159" t="s">
        <v>618</v>
      </c>
      <c r="Y476" s="1167">
        <v>43760.73958333333</v>
      </c>
      <c r="Z476" s="1159" t="s">
        <v>618</v>
      </c>
      <c r="AA476" s="1167">
        <v>43894.466782407406</v>
      </c>
      <c r="AB476" s="1138">
        <f t="shared" si="7"/>
        <v>386000</v>
      </c>
    </row>
    <row r="477" ht="24" customHeight="1" spans="1:28" x14ac:dyDescent="0.25">
      <c r="A477" s="1150">
        <v>110750</v>
      </c>
      <c r="B477" s="1150" t="s">
        <v>1277</v>
      </c>
      <c r="C477" s="1150" t="s">
        <v>1282</v>
      </c>
      <c r="D477" s="1151">
        <v>43760</v>
      </c>
      <c r="E477" s="1152">
        <v>48420000</v>
      </c>
      <c r="F477" s="1150" t="s">
        <v>387</v>
      </c>
      <c r="G477" s="1153" t="s">
        <v>611</v>
      </c>
      <c r="H477" s="1154">
        <v>1998</v>
      </c>
      <c r="I477" s="1150" t="s">
        <v>629</v>
      </c>
      <c r="J477" s="1153" t="s">
        <v>14</v>
      </c>
      <c r="K477" s="1150" t="s">
        <v>18</v>
      </c>
      <c r="L477" s="1150" t="s">
        <v>1277</v>
      </c>
      <c r="M477" s="1153" t="s">
        <v>14</v>
      </c>
      <c r="N477" s="1153" t="s">
        <v>717</v>
      </c>
      <c r="O477" s="1155">
        <v>60</v>
      </c>
      <c r="P477" s="1156"/>
      <c r="Q477" s="1155">
        <v>5</v>
      </c>
      <c r="R477" s="1150" t="s">
        <v>710</v>
      </c>
      <c r="S477" s="1150" t="s">
        <v>625</v>
      </c>
      <c r="T477" s="1150" t="s">
        <v>1042</v>
      </c>
      <c r="U477" s="1157">
        <v>191000</v>
      </c>
      <c r="V477" s="1150" t="s">
        <v>1279</v>
      </c>
      <c r="W477" s="1157">
        <v>193000</v>
      </c>
      <c r="X477" s="1150" t="s">
        <v>618</v>
      </c>
      <c r="Y477" s="1158">
        <v>43760.975625</v>
      </c>
      <c r="Z477" s="1150" t="s">
        <v>618</v>
      </c>
      <c r="AA477" s="1158">
        <v>43894.47021990741</v>
      </c>
      <c r="AB477" s="1138">
        <f t="shared" si="7"/>
        <v>386000</v>
      </c>
    </row>
    <row r="478" spans="1:28" x14ac:dyDescent="0.25">
      <c r="A478" s="1159">
        <v>110733</v>
      </c>
      <c r="B478" s="1159" t="s">
        <v>1277</v>
      </c>
      <c r="C478" s="1159" t="s">
        <v>1283</v>
      </c>
      <c r="D478" s="1160">
        <v>43760</v>
      </c>
      <c r="E478" s="1161">
        <v>37770000</v>
      </c>
      <c r="F478" s="1159" t="s">
        <v>387</v>
      </c>
      <c r="G478" s="1162" t="s">
        <v>611</v>
      </c>
      <c r="H478" s="1163">
        <v>1998</v>
      </c>
      <c r="I478" s="1159" t="s">
        <v>629</v>
      </c>
      <c r="J478" s="1162" t="s">
        <v>14</v>
      </c>
      <c r="K478" s="1159" t="s">
        <v>18</v>
      </c>
      <c r="L478" s="1159" t="s">
        <v>1277</v>
      </c>
      <c r="M478" s="1162" t="s">
        <v>14</v>
      </c>
      <c r="N478" s="1162" t="s">
        <v>712</v>
      </c>
      <c r="O478" s="1164">
        <v>60</v>
      </c>
      <c r="P478" s="1165"/>
      <c r="Q478" s="1164">
        <v>5</v>
      </c>
      <c r="R478" s="1159" t="s">
        <v>710</v>
      </c>
      <c r="S478" s="1159" t="s">
        <v>625</v>
      </c>
      <c r="T478" s="1159" t="s">
        <v>832</v>
      </c>
      <c r="U478" s="1166">
        <v>158200</v>
      </c>
      <c r="V478" s="1159" t="s">
        <v>832</v>
      </c>
      <c r="W478" s="1166">
        <v>158200</v>
      </c>
      <c r="X478" s="1159" t="s">
        <v>618</v>
      </c>
      <c r="Y478" s="1167">
        <v>43760.4852662037</v>
      </c>
      <c r="Z478" s="1159" t="s">
        <v>618</v>
      </c>
      <c r="AA478" s="1167">
        <v>43894.46009259259</v>
      </c>
      <c r="AB478" s="1138">
        <f t="shared" si="7"/>
        <v>316400</v>
      </c>
    </row>
    <row r="479" spans="1:28" x14ac:dyDescent="0.25">
      <c r="A479" s="1150">
        <v>110747</v>
      </c>
      <c r="B479" s="1150" t="s">
        <v>1277</v>
      </c>
      <c r="C479" s="1150" t="s">
        <v>1284</v>
      </c>
      <c r="D479" s="1151">
        <v>43760</v>
      </c>
      <c r="E479" s="1152">
        <v>40270000</v>
      </c>
      <c r="F479" s="1150" t="s">
        <v>387</v>
      </c>
      <c r="G479" s="1153" t="s">
        <v>611</v>
      </c>
      <c r="H479" s="1154">
        <v>1998</v>
      </c>
      <c r="I479" s="1150" t="s">
        <v>629</v>
      </c>
      <c r="J479" s="1153" t="s">
        <v>14</v>
      </c>
      <c r="K479" s="1150" t="s">
        <v>18</v>
      </c>
      <c r="L479" s="1150" t="s">
        <v>1277</v>
      </c>
      <c r="M479" s="1153" t="s">
        <v>14</v>
      </c>
      <c r="N479" s="1153" t="s">
        <v>717</v>
      </c>
      <c r="O479" s="1155">
        <v>60</v>
      </c>
      <c r="P479" s="1156"/>
      <c r="Q479" s="1155">
        <v>5</v>
      </c>
      <c r="R479" s="1150" t="s">
        <v>710</v>
      </c>
      <c r="S479" s="1150" t="s">
        <v>625</v>
      </c>
      <c r="T479" s="1150" t="s">
        <v>832</v>
      </c>
      <c r="U479" s="1157">
        <v>158200</v>
      </c>
      <c r="V479" s="1150" t="s">
        <v>832</v>
      </c>
      <c r="W479" s="1157">
        <v>158200</v>
      </c>
      <c r="X479" s="1150" t="s">
        <v>618</v>
      </c>
      <c r="Y479" s="1158">
        <v>43760.97221064815</v>
      </c>
      <c r="Z479" s="1150" t="s">
        <v>618</v>
      </c>
      <c r="AA479" s="1158">
        <v>43894.462129629625</v>
      </c>
      <c r="AB479" s="1138">
        <f t="shared" si="7"/>
        <v>316400</v>
      </c>
    </row>
    <row r="480" spans="1:28" x14ac:dyDescent="0.25">
      <c r="A480" s="1159">
        <v>110734</v>
      </c>
      <c r="B480" s="1159" t="s">
        <v>1277</v>
      </c>
      <c r="C480" s="1159" t="s">
        <v>1285</v>
      </c>
      <c r="D480" s="1160">
        <v>43760</v>
      </c>
      <c r="E480" s="1161">
        <v>40370000</v>
      </c>
      <c r="F480" s="1159" t="s">
        <v>387</v>
      </c>
      <c r="G480" s="1162" t="s">
        <v>611</v>
      </c>
      <c r="H480" s="1163">
        <v>1998</v>
      </c>
      <c r="I480" s="1159" t="s">
        <v>629</v>
      </c>
      <c r="J480" s="1162" t="s">
        <v>14</v>
      </c>
      <c r="K480" s="1159" t="s">
        <v>18</v>
      </c>
      <c r="L480" s="1159" t="s">
        <v>1277</v>
      </c>
      <c r="M480" s="1162" t="s">
        <v>14</v>
      </c>
      <c r="N480" s="1162" t="s">
        <v>717</v>
      </c>
      <c r="O480" s="1164">
        <v>60</v>
      </c>
      <c r="P480" s="1165"/>
      <c r="Q480" s="1164">
        <v>5</v>
      </c>
      <c r="R480" s="1159" t="s">
        <v>710</v>
      </c>
      <c r="S480" s="1159" t="s">
        <v>625</v>
      </c>
      <c r="T480" s="1159" t="s">
        <v>832</v>
      </c>
      <c r="U480" s="1166">
        <v>158200</v>
      </c>
      <c r="V480" s="1159" t="s">
        <v>832</v>
      </c>
      <c r="W480" s="1166">
        <v>158200</v>
      </c>
      <c r="X480" s="1159" t="s">
        <v>618</v>
      </c>
      <c r="Y480" s="1167">
        <v>43760.715</v>
      </c>
      <c r="Z480" s="1159" t="s">
        <v>618</v>
      </c>
      <c r="AA480" s="1167">
        <v>43894.46230324074</v>
      </c>
      <c r="AB480" s="1138">
        <f t="shared" si="7"/>
        <v>316400</v>
      </c>
    </row>
    <row r="481" spans="1:28" x14ac:dyDescent="0.25">
      <c r="A481" s="1150">
        <v>110748</v>
      </c>
      <c r="B481" s="1150" t="s">
        <v>1277</v>
      </c>
      <c r="C481" s="1150" t="s">
        <v>1286</v>
      </c>
      <c r="D481" s="1151">
        <v>43760</v>
      </c>
      <c r="E481" s="1152">
        <v>42870000</v>
      </c>
      <c r="F481" s="1150" t="s">
        <v>387</v>
      </c>
      <c r="G481" s="1153" t="s">
        <v>611</v>
      </c>
      <c r="H481" s="1154">
        <v>1998</v>
      </c>
      <c r="I481" s="1150" t="s">
        <v>629</v>
      </c>
      <c r="J481" s="1153" t="s">
        <v>14</v>
      </c>
      <c r="K481" s="1150" t="s">
        <v>18</v>
      </c>
      <c r="L481" s="1150" t="s">
        <v>1277</v>
      </c>
      <c r="M481" s="1153" t="s">
        <v>14</v>
      </c>
      <c r="N481" s="1153" t="s">
        <v>717</v>
      </c>
      <c r="O481" s="1155">
        <v>60</v>
      </c>
      <c r="P481" s="1156"/>
      <c r="Q481" s="1155">
        <v>5</v>
      </c>
      <c r="R481" s="1150" t="s">
        <v>710</v>
      </c>
      <c r="S481" s="1150" t="s">
        <v>625</v>
      </c>
      <c r="T481" s="1150" t="s">
        <v>832</v>
      </c>
      <c r="U481" s="1157">
        <v>158200</v>
      </c>
      <c r="V481" s="1150" t="s">
        <v>832</v>
      </c>
      <c r="W481" s="1157">
        <v>158200</v>
      </c>
      <c r="X481" s="1150" t="s">
        <v>618</v>
      </c>
      <c r="Y481" s="1158">
        <v>43760.97309027778</v>
      </c>
      <c r="Z481" s="1150" t="s">
        <v>618</v>
      </c>
      <c r="AA481" s="1158">
        <v>43894.4624537037</v>
      </c>
      <c r="AB481" s="1138">
        <f t="shared" si="7"/>
        <v>316400</v>
      </c>
    </row>
    <row r="482" spans="1:28" x14ac:dyDescent="0.25">
      <c r="A482" s="1159">
        <v>110739</v>
      </c>
      <c r="B482" s="1159" t="s">
        <v>1277</v>
      </c>
      <c r="C482" s="1159" t="s">
        <v>1287</v>
      </c>
      <c r="D482" s="1160">
        <v>43760</v>
      </c>
      <c r="E482" s="1161">
        <v>41070000</v>
      </c>
      <c r="F482" s="1159" t="s">
        <v>610</v>
      </c>
      <c r="G482" s="1162" t="s">
        <v>611</v>
      </c>
      <c r="H482" s="1163">
        <v>2199</v>
      </c>
      <c r="I482" s="1159" t="s">
        <v>612</v>
      </c>
      <c r="J482" s="1162" t="s">
        <v>14</v>
      </c>
      <c r="K482" s="1159" t="s">
        <v>18</v>
      </c>
      <c r="L482" s="1159" t="s">
        <v>1277</v>
      </c>
      <c r="M482" s="1162" t="s">
        <v>14</v>
      </c>
      <c r="N482" s="1162" t="s">
        <v>717</v>
      </c>
      <c r="O482" s="1164">
        <v>60</v>
      </c>
      <c r="P482" s="1165"/>
      <c r="Q482" s="1164">
        <v>5</v>
      </c>
      <c r="R482" s="1159" t="s">
        <v>710</v>
      </c>
      <c r="S482" s="1159" t="s">
        <v>625</v>
      </c>
      <c r="T482" s="1159" t="s">
        <v>803</v>
      </c>
      <c r="U482" s="1166">
        <v>124000</v>
      </c>
      <c r="V482" s="1159" t="s">
        <v>803</v>
      </c>
      <c r="W482" s="1166">
        <v>124000</v>
      </c>
      <c r="X482" s="1159" t="s">
        <v>618</v>
      </c>
      <c r="Y482" s="1167">
        <v>43760.773564814815</v>
      </c>
      <c r="Z482" s="1159" t="s">
        <v>618</v>
      </c>
      <c r="AA482" s="1167">
        <v>43894.47130787037</v>
      </c>
      <c r="AB482" s="1138">
        <f t="shared" si="7"/>
        <v>248000</v>
      </c>
    </row>
    <row r="483" spans="1:28" x14ac:dyDescent="0.25">
      <c r="A483" s="1150">
        <v>110751</v>
      </c>
      <c r="B483" s="1150" t="s">
        <v>1277</v>
      </c>
      <c r="C483" s="1150" t="s">
        <v>1288</v>
      </c>
      <c r="D483" s="1151">
        <v>43760</v>
      </c>
      <c r="E483" s="1152">
        <v>43570000</v>
      </c>
      <c r="F483" s="1150" t="s">
        <v>610</v>
      </c>
      <c r="G483" s="1153" t="s">
        <v>611</v>
      </c>
      <c r="H483" s="1154">
        <v>2199</v>
      </c>
      <c r="I483" s="1150" t="s">
        <v>612</v>
      </c>
      <c r="J483" s="1153" t="s">
        <v>14</v>
      </c>
      <c r="K483" s="1150" t="s">
        <v>18</v>
      </c>
      <c r="L483" s="1150" t="s">
        <v>1277</v>
      </c>
      <c r="M483" s="1153" t="s">
        <v>14</v>
      </c>
      <c r="N483" s="1153" t="s">
        <v>717</v>
      </c>
      <c r="O483" s="1155">
        <v>60</v>
      </c>
      <c r="P483" s="1156"/>
      <c r="Q483" s="1155">
        <v>5</v>
      </c>
      <c r="R483" s="1150" t="s">
        <v>710</v>
      </c>
      <c r="S483" s="1150" t="s">
        <v>625</v>
      </c>
      <c r="T483" s="1150" t="s">
        <v>803</v>
      </c>
      <c r="U483" s="1157">
        <v>124000</v>
      </c>
      <c r="V483" s="1150" t="s">
        <v>803</v>
      </c>
      <c r="W483" s="1157">
        <v>124000</v>
      </c>
      <c r="X483" s="1150" t="s">
        <v>618</v>
      </c>
      <c r="Y483" s="1158">
        <v>43760.9775</v>
      </c>
      <c r="Z483" s="1150" t="s">
        <v>618</v>
      </c>
      <c r="AA483" s="1158">
        <v>43894.472546296296</v>
      </c>
      <c r="AB483" s="1138">
        <f t="shared" si="7"/>
        <v>248000</v>
      </c>
    </row>
    <row r="484" spans="1:28" x14ac:dyDescent="0.25">
      <c r="A484" s="1159">
        <v>110740</v>
      </c>
      <c r="B484" s="1159" t="s">
        <v>1277</v>
      </c>
      <c r="C484" s="1159" t="s">
        <v>1289</v>
      </c>
      <c r="D484" s="1160">
        <v>43760</v>
      </c>
      <c r="E484" s="1161">
        <v>43870000</v>
      </c>
      <c r="F484" s="1159" t="s">
        <v>610</v>
      </c>
      <c r="G484" s="1162" t="s">
        <v>611</v>
      </c>
      <c r="H484" s="1163">
        <v>2199</v>
      </c>
      <c r="I484" s="1159" t="s">
        <v>612</v>
      </c>
      <c r="J484" s="1162" t="s">
        <v>14</v>
      </c>
      <c r="K484" s="1159" t="s">
        <v>18</v>
      </c>
      <c r="L484" s="1159" t="s">
        <v>1277</v>
      </c>
      <c r="M484" s="1162" t="s">
        <v>14</v>
      </c>
      <c r="N484" s="1162" t="s">
        <v>717</v>
      </c>
      <c r="O484" s="1164">
        <v>60</v>
      </c>
      <c r="P484" s="1165"/>
      <c r="Q484" s="1164">
        <v>5</v>
      </c>
      <c r="R484" s="1159" t="s">
        <v>710</v>
      </c>
      <c r="S484" s="1159" t="s">
        <v>625</v>
      </c>
      <c r="T484" s="1159" t="s">
        <v>803</v>
      </c>
      <c r="U484" s="1166">
        <v>124000</v>
      </c>
      <c r="V484" s="1159" t="s">
        <v>803</v>
      </c>
      <c r="W484" s="1166">
        <v>124000</v>
      </c>
      <c r="X484" s="1159" t="s">
        <v>618</v>
      </c>
      <c r="Y484" s="1167">
        <v>43760.778819444444</v>
      </c>
      <c r="Z484" s="1159" t="s">
        <v>618</v>
      </c>
      <c r="AA484" s="1167">
        <v>43894.472858796296</v>
      </c>
      <c r="AB484" s="1138">
        <f t="shared" si="7"/>
        <v>248000</v>
      </c>
    </row>
    <row r="485" spans="1:28" x14ac:dyDescent="0.25">
      <c r="A485" s="1150">
        <v>110752</v>
      </c>
      <c r="B485" s="1150" t="s">
        <v>1277</v>
      </c>
      <c r="C485" s="1150" t="s">
        <v>1290</v>
      </c>
      <c r="D485" s="1151">
        <v>43760</v>
      </c>
      <c r="E485" s="1152">
        <v>46370000</v>
      </c>
      <c r="F485" s="1150" t="s">
        <v>610</v>
      </c>
      <c r="G485" s="1153" t="s">
        <v>611</v>
      </c>
      <c r="H485" s="1154">
        <v>2199</v>
      </c>
      <c r="I485" s="1150" t="s">
        <v>612</v>
      </c>
      <c r="J485" s="1153" t="s">
        <v>14</v>
      </c>
      <c r="K485" s="1150" t="s">
        <v>18</v>
      </c>
      <c r="L485" s="1150" t="s">
        <v>1277</v>
      </c>
      <c r="M485" s="1153" t="s">
        <v>14</v>
      </c>
      <c r="N485" s="1153" t="s">
        <v>717</v>
      </c>
      <c r="O485" s="1155">
        <v>60</v>
      </c>
      <c r="P485" s="1156"/>
      <c r="Q485" s="1155">
        <v>5</v>
      </c>
      <c r="R485" s="1150" t="s">
        <v>710</v>
      </c>
      <c r="S485" s="1150" t="s">
        <v>625</v>
      </c>
      <c r="T485" s="1150" t="s">
        <v>803</v>
      </c>
      <c r="U485" s="1157">
        <v>124000</v>
      </c>
      <c r="V485" s="1150" t="s">
        <v>803</v>
      </c>
      <c r="W485" s="1157">
        <v>124000</v>
      </c>
      <c r="X485" s="1150" t="s">
        <v>618</v>
      </c>
      <c r="Y485" s="1158">
        <v>43760.97809027778</v>
      </c>
      <c r="Z485" s="1150" t="s">
        <v>618</v>
      </c>
      <c r="AA485" s="1158">
        <v>43894.473020833335</v>
      </c>
      <c r="AB485" s="1138">
        <f t="shared" si="7"/>
        <v>248000</v>
      </c>
    </row>
    <row r="486" spans="1:28" x14ac:dyDescent="0.25">
      <c r="A486" s="1159">
        <v>110743</v>
      </c>
      <c r="B486" s="1159" t="s">
        <v>1277</v>
      </c>
      <c r="C486" s="1159" t="s">
        <v>1291</v>
      </c>
      <c r="D486" s="1160">
        <v>43760</v>
      </c>
      <c r="E486" s="1161">
        <v>46020000</v>
      </c>
      <c r="F486" s="1159" t="s">
        <v>387</v>
      </c>
      <c r="G486" s="1162" t="s">
        <v>611</v>
      </c>
      <c r="H486" s="1163">
        <v>3342</v>
      </c>
      <c r="I486" s="1159" t="s">
        <v>629</v>
      </c>
      <c r="J486" s="1162" t="s">
        <v>14</v>
      </c>
      <c r="K486" s="1159" t="s">
        <v>18</v>
      </c>
      <c r="L486" s="1159" t="s">
        <v>1277</v>
      </c>
      <c r="M486" s="1162" t="s">
        <v>14</v>
      </c>
      <c r="N486" s="1162" t="s">
        <v>717</v>
      </c>
      <c r="O486" s="1164">
        <v>60</v>
      </c>
      <c r="P486" s="1165"/>
      <c r="Q486" s="1164">
        <v>5</v>
      </c>
      <c r="R486" s="1159" t="s">
        <v>710</v>
      </c>
      <c r="S486" s="1159" t="s">
        <v>625</v>
      </c>
      <c r="T486" s="1159" t="s">
        <v>1042</v>
      </c>
      <c r="U486" s="1166">
        <v>191000</v>
      </c>
      <c r="V486" s="1159" t="s">
        <v>1279</v>
      </c>
      <c r="W486" s="1166">
        <v>193000</v>
      </c>
      <c r="X486" s="1159" t="s">
        <v>618</v>
      </c>
      <c r="Y486" s="1167">
        <v>43760.78394675926</v>
      </c>
      <c r="Z486" s="1159" t="s">
        <v>618</v>
      </c>
      <c r="AA486" s="1167">
        <v>43894.47372685185</v>
      </c>
      <c r="AB486" s="1138">
        <f t="shared" si="7"/>
        <v>386000</v>
      </c>
    </row>
    <row r="487" ht="24" customHeight="1" spans="1:28" x14ac:dyDescent="0.25">
      <c r="A487" s="1150">
        <v>110753</v>
      </c>
      <c r="B487" s="1150" t="s">
        <v>1277</v>
      </c>
      <c r="C487" s="1150" t="s">
        <v>1292</v>
      </c>
      <c r="D487" s="1151">
        <v>43760</v>
      </c>
      <c r="E487" s="1152">
        <v>48520000</v>
      </c>
      <c r="F487" s="1150" t="s">
        <v>387</v>
      </c>
      <c r="G487" s="1153" t="s">
        <v>611</v>
      </c>
      <c r="H487" s="1154">
        <v>3342</v>
      </c>
      <c r="I487" s="1150" t="s">
        <v>629</v>
      </c>
      <c r="J487" s="1153" t="s">
        <v>14</v>
      </c>
      <c r="K487" s="1150" t="s">
        <v>18</v>
      </c>
      <c r="L487" s="1150" t="s">
        <v>1277</v>
      </c>
      <c r="M487" s="1153" t="s">
        <v>14</v>
      </c>
      <c r="N487" s="1153" t="s">
        <v>717</v>
      </c>
      <c r="O487" s="1155">
        <v>60</v>
      </c>
      <c r="P487" s="1156"/>
      <c r="Q487" s="1155">
        <v>5</v>
      </c>
      <c r="R487" s="1150" t="s">
        <v>710</v>
      </c>
      <c r="S487" s="1150" t="s">
        <v>625</v>
      </c>
      <c r="T487" s="1150" t="s">
        <v>1042</v>
      </c>
      <c r="U487" s="1157">
        <v>191000</v>
      </c>
      <c r="V487" s="1150" t="s">
        <v>1279</v>
      </c>
      <c r="W487" s="1157">
        <v>193000</v>
      </c>
      <c r="X487" s="1150" t="s">
        <v>618</v>
      </c>
      <c r="Y487" s="1158">
        <v>43760.980891203704</v>
      </c>
      <c r="Z487" s="1150" t="s">
        <v>618</v>
      </c>
      <c r="AA487" s="1158">
        <v>43894.473912037036</v>
      </c>
      <c r="AB487" s="1138">
        <f t="shared" si="7"/>
        <v>386000</v>
      </c>
    </row>
    <row r="488" ht="24" customHeight="1" spans="1:28" x14ac:dyDescent="0.25">
      <c r="A488" s="1159">
        <v>110744</v>
      </c>
      <c r="B488" s="1159" t="s">
        <v>1277</v>
      </c>
      <c r="C488" s="1159" t="s">
        <v>1293</v>
      </c>
      <c r="D488" s="1160">
        <v>43760</v>
      </c>
      <c r="E488" s="1161">
        <v>50620000</v>
      </c>
      <c r="F488" s="1159" t="s">
        <v>387</v>
      </c>
      <c r="G488" s="1162" t="s">
        <v>611</v>
      </c>
      <c r="H488" s="1163">
        <v>3342</v>
      </c>
      <c r="I488" s="1159" t="s">
        <v>629</v>
      </c>
      <c r="J488" s="1162" t="s">
        <v>14</v>
      </c>
      <c r="K488" s="1159" t="s">
        <v>18</v>
      </c>
      <c r="L488" s="1159" t="s">
        <v>1277</v>
      </c>
      <c r="M488" s="1162" t="s">
        <v>14</v>
      </c>
      <c r="N488" s="1162" t="s">
        <v>717</v>
      </c>
      <c r="O488" s="1164">
        <v>60</v>
      </c>
      <c r="P488" s="1165"/>
      <c r="Q488" s="1164">
        <v>5</v>
      </c>
      <c r="R488" s="1159" t="s">
        <v>710</v>
      </c>
      <c r="S488" s="1159" t="s">
        <v>625</v>
      </c>
      <c r="T488" s="1159" t="s">
        <v>1042</v>
      </c>
      <c r="U488" s="1166">
        <v>191000</v>
      </c>
      <c r="V488" s="1159" t="s">
        <v>1279</v>
      </c>
      <c r="W488" s="1166">
        <v>193000</v>
      </c>
      <c r="X488" s="1159" t="s">
        <v>618</v>
      </c>
      <c r="Y488" s="1167">
        <v>43760.789375</v>
      </c>
      <c r="Z488" s="1159" t="s">
        <v>618</v>
      </c>
      <c r="AA488" s="1167">
        <v>43894.47488425926</v>
      </c>
      <c r="AB488" s="1138">
        <f t="shared" si="7"/>
        <v>386000</v>
      </c>
    </row>
    <row r="489" ht="24" customHeight="1" spans="1:28" x14ac:dyDescent="0.25">
      <c r="A489" s="1150">
        <v>110754</v>
      </c>
      <c r="B489" s="1150" t="s">
        <v>1277</v>
      </c>
      <c r="C489" s="1150" t="s">
        <v>1294</v>
      </c>
      <c r="D489" s="1151">
        <v>43760</v>
      </c>
      <c r="E489" s="1152">
        <v>53120000</v>
      </c>
      <c r="F489" s="1150" t="s">
        <v>387</v>
      </c>
      <c r="G489" s="1153" t="s">
        <v>611</v>
      </c>
      <c r="H489" s="1154">
        <v>3342</v>
      </c>
      <c r="I489" s="1150" t="s">
        <v>629</v>
      </c>
      <c r="J489" s="1153" t="s">
        <v>14</v>
      </c>
      <c r="K489" s="1150" t="s">
        <v>18</v>
      </c>
      <c r="L489" s="1150" t="s">
        <v>1277</v>
      </c>
      <c r="M489" s="1153" t="s">
        <v>14</v>
      </c>
      <c r="N489" s="1153" t="s">
        <v>717</v>
      </c>
      <c r="O489" s="1155">
        <v>60</v>
      </c>
      <c r="P489" s="1156"/>
      <c r="Q489" s="1155">
        <v>5</v>
      </c>
      <c r="R489" s="1150" t="s">
        <v>710</v>
      </c>
      <c r="S489" s="1150" t="s">
        <v>625</v>
      </c>
      <c r="T489" s="1150" t="s">
        <v>1042</v>
      </c>
      <c r="U489" s="1157">
        <v>191000</v>
      </c>
      <c r="V489" s="1150" t="s">
        <v>1279</v>
      </c>
      <c r="W489" s="1157">
        <v>193000</v>
      </c>
      <c r="X489" s="1150" t="s">
        <v>618</v>
      </c>
      <c r="Y489" s="1158">
        <v>43760.98231481481</v>
      </c>
      <c r="Z489" s="1150" t="s">
        <v>618</v>
      </c>
      <c r="AA489" s="1158">
        <v>43894.47508101852</v>
      </c>
      <c r="AB489" s="1138">
        <f t="shared" si="7"/>
        <v>386000</v>
      </c>
    </row>
    <row r="490" spans="1:28" x14ac:dyDescent="0.25">
      <c r="A490" s="1159">
        <v>110745</v>
      </c>
      <c r="B490" s="1159" t="s">
        <v>1277</v>
      </c>
      <c r="C490" s="1159" t="s">
        <v>1295</v>
      </c>
      <c r="D490" s="1160">
        <v>43760</v>
      </c>
      <c r="E490" s="1161">
        <v>53320000</v>
      </c>
      <c r="F490" s="1159" t="s">
        <v>387</v>
      </c>
      <c r="G490" s="1162" t="s">
        <v>611</v>
      </c>
      <c r="H490" s="1163">
        <v>3342</v>
      </c>
      <c r="I490" s="1159" t="s">
        <v>629</v>
      </c>
      <c r="J490" s="1162" t="s">
        <v>14</v>
      </c>
      <c r="K490" s="1159" t="s">
        <v>18</v>
      </c>
      <c r="L490" s="1159" t="s">
        <v>1277</v>
      </c>
      <c r="M490" s="1162" t="s">
        <v>14</v>
      </c>
      <c r="N490" s="1162" t="s">
        <v>717</v>
      </c>
      <c r="O490" s="1164">
        <v>60</v>
      </c>
      <c r="P490" s="1165"/>
      <c r="Q490" s="1164">
        <v>5</v>
      </c>
      <c r="R490" s="1159" t="s">
        <v>710</v>
      </c>
      <c r="S490" s="1159" t="s">
        <v>625</v>
      </c>
      <c r="T490" s="1159" t="s">
        <v>1042</v>
      </c>
      <c r="U490" s="1166">
        <v>191000</v>
      </c>
      <c r="V490" s="1159" t="s">
        <v>1279</v>
      </c>
      <c r="W490" s="1166">
        <v>193000</v>
      </c>
      <c r="X490" s="1159" t="s">
        <v>618</v>
      </c>
      <c r="Y490" s="1167">
        <v>43760.797581018516</v>
      </c>
      <c r="Z490" s="1159" t="s">
        <v>618</v>
      </c>
      <c r="AA490" s="1167">
        <v>43894.47550925926</v>
      </c>
      <c r="AB490" s="1138">
        <f t="shared" si="7"/>
        <v>386000</v>
      </c>
    </row>
    <row r="491" ht="24" customHeight="1" spans="1:28" x14ac:dyDescent="0.25">
      <c r="A491" s="1150">
        <v>110755</v>
      </c>
      <c r="B491" s="1150" t="s">
        <v>1277</v>
      </c>
      <c r="C491" s="1150" t="s">
        <v>1296</v>
      </c>
      <c r="D491" s="1151">
        <v>43760</v>
      </c>
      <c r="E491" s="1152">
        <v>55820000</v>
      </c>
      <c r="F491" s="1150" t="s">
        <v>387</v>
      </c>
      <c r="G491" s="1153" t="s">
        <v>611</v>
      </c>
      <c r="H491" s="1154">
        <v>3342</v>
      </c>
      <c r="I491" s="1150" t="s">
        <v>629</v>
      </c>
      <c r="J491" s="1153" t="s">
        <v>14</v>
      </c>
      <c r="K491" s="1150" t="s">
        <v>18</v>
      </c>
      <c r="L491" s="1150" t="s">
        <v>1277</v>
      </c>
      <c r="M491" s="1153" t="s">
        <v>14</v>
      </c>
      <c r="N491" s="1153" t="s">
        <v>717</v>
      </c>
      <c r="O491" s="1155">
        <v>60</v>
      </c>
      <c r="P491" s="1156"/>
      <c r="Q491" s="1155">
        <v>5</v>
      </c>
      <c r="R491" s="1150" t="s">
        <v>710</v>
      </c>
      <c r="S491" s="1150" t="s">
        <v>625</v>
      </c>
      <c r="T491" s="1150" t="s">
        <v>1042</v>
      </c>
      <c r="U491" s="1157">
        <v>191000</v>
      </c>
      <c r="V491" s="1150" t="s">
        <v>1279</v>
      </c>
      <c r="W491" s="1157">
        <v>193000</v>
      </c>
      <c r="X491" s="1150" t="s">
        <v>618</v>
      </c>
      <c r="Y491" s="1158">
        <v>43760.982939814814</v>
      </c>
      <c r="Z491" s="1150" t="s">
        <v>618</v>
      </c>
      <c r="AA491" s="1158">
        <v>43894.475752314815</v>
      </c>
      <c r="AB491" s="1138">
        <f t="shared" si="7"/>
        <v>386000</v>
      </c>
    </row>
    <row r="492" ht="24" customHeight="1" spans="1:28" x14ac:dyDescent="0.25">
      <c r="A492" s="1159">
        <v>110746</v>
      </c>
      <c r="B492" s="1159" t="s">
        <v>1277</v>
      </c>
      <c r="C492" s="1159" t="s">
        <v>1297</v>
      </c>
      <c r="D492" s="1160">
        <v>43760</v>
      </c>
      <c r="E492" s="1161">
        <v>56620000</v>
      </c>
      <c r="F492" s="1159" t="s">
        <v>387</v>
      </c>
      <c r="G492" s="1162" t="s">
        <v>611</v>
      </c>
      <c r="H492" s="1163">
        <v>3342</v>
      </c>
      <c r="I492" s="1159" t="s">
        <v>629</v>
      </c>
      <c r="J492" s="1162" t="s">
        <v>14</v>
      </c>
      <c r="K492" s="1159" t="s">
        <v>18</v>
      </c>
      <c r="L492" s="1159" t="s">
        <v>1277</v>
      </c>
      <c r="M492" s="1162" t="s">
        <v>14</v>
      </c>
      <c r="N492" s="1162" t="s">
        <v>717</v>
      </c>
      <c r="O492" s="1164">
        <v>60</v>
      </c>
      <c r="P492" s="1165"/>
      <c r="Q492" s="1164">
        <v>5</v>
      </c>
      <c r="R492" s="1159" t="s">
        <v>710</v>
      </c>
      <c r="S492" s="1159" t="s">
        <v>625</v>
      </c>
      <c r="T492" s="1159" t="s">
        <v>1042</v>
      </c>
      <c r="U492" s="1166">
        <v>191000</v>
      </c>
      <c r="V492" s="1159" t="s">
        <v>1279</v>
      </c>
      <c r="W492" s="1166">
        <v>193000</v>
      </c>
      <c r="X492" s="1159" t="s">
        <v>618</v>
      </c>
      <c r="Y492" s="1167">
        <v>43760.94918981481</v>
      </c>
      <c r="Z492" s="1159" t="s">
        <v>618</v>
      </c>
      <c r="AA492" s="1167">
        <v>43894.47746527778</v>
      </c>
      <c r="AB492" s="1138">
        <f t="shared" si="7"/>
        <v>386000</v>
      </c>
    </row>
    <row r="493" ht="24" customHeight="1" spans="1:28" x14ac:dyDescent="0.25">
      <c r="A493" s="1150">
        <v>110756</v>
      </c>
      <c r="B493" s="1150" t="s">
        <v>1277</v>
      </c>
      <c r="C493" s="1150" t="s">
        <v>1298</v>
      </c>
      <c r="D493" s="1151">
        <v>43760</v>
      </c>
      <c r="E493" s="1152">
        <v>59120000</v>
      </c>
      <c r="F493" s="1150" t="s">
        <v>387</v>
      </c>
      <c r="G493" s="1153" t="s">
        <v>611</v>
      </c>
      <c r="H493" s="1154">
        <v>3342</v>
      </c>
      <c r="I493" s="1150" t="s">
        <v>629</v>
      </c>
      <c r="J493" s="1153" t="s">
        <v>14</v>
      </c>
      <c r="K493" s="1150" t="s">
        <v>18</v>
      </c>
      <c r="L493" s="1150" t="s">
        <v>1277</v>
      </c>
      <c r="M493" s="1153" t="s">
        <v>14</v>
      </c>
      <c r="N493" s="1153" t="s">
        <v>717</v>
      </c>
      <c r="O493" s="1155">
        <v>60</v>
      </c>
      <c r="P493" s="1156"/>
      <c r="Q493" s="1155">
        <v>5</v>
      </c>
      <c r="R493" s="1150" t="s">
        <v>710</v>
      </c>
      <c r="S493" s="1150" t="s">
        <v>625</v>
      </c>
      <c r="T493" s="1150" t="s">
        <v>1042</v>
      </c>
      <c r="U493" s="1157">
        <v>191000</v>
      </c>
      <c r="V493" s="1150" t="s">
        <v>1279</v>
      </c>
      <c r="W493" s="1157">
        <v>193000</v>
      </c>
      <c r="X493" s="1150" t="s">
        <v>618</v>
      </c>
      <c r="Y493" s="1158">
        <v>43760.98351851852</v>
      </c>
      <c r="Z493" s="1150" t="s">
        <v>618</v>
      </c>
      <c r="AA493" s="1158">
        <v>43894.477638888886</v>
      </c>
      <c r="AB493" s="1138">
        <f t="shared" si="7"/>
        <v>386000</v>
      </c>
    </row>
    <row r="494" ht="24" customHeight="1" spans="1:28" x14ac:dyDescent="0.25">
      <c r="A494" s="1159">
        <v>111153</v>
      </c>
      <c r="B494" s="1159" t="s">
        <v>1277</v>
      </c>
      <c r="C494" s="1159" t="s">
        <v>1299</v>
      </c>
      <c r="D494" s="1160">
        <v>43920</v>
      </c>
      <c r="E494" s="1161">
        <v>52470000</v>
      </c>
      <c r="F494" s="1159" t="s">
        <v>387</v>
      </c>
      <c r="G494" s="1162" t="s">
        <v>611</v>
      </c>
      <c r="H494" s="1163">
        <v>2497</v>
      </c>
      <c r="I494" s="1159" t="s">
        <v>629</v>
      </c>
      <c r="J494" s="1162" t="s">
        <v>14</v>
      </c>
      <c r="K494" s="1159" t="s">
        <v>18</v>
      </c>
      <c r="L494" s="1159" t="s">
        <v>1277</v>
      </c>
      <c r="M494" s="1162" t="s">
        <v>14</v>
      </c>
      <c r="N494" s="1162" t="s">
        <v>717</v>
      </c>
      <c r="O494" s="1164">
        <v>77</v>
      </c>
      <c r="P494" s="1164">
        <v>0</v>
      </c>
      <c r="Q494" s="1164">
        <v>5</v>
      </c>
      <c r="R494" s="1159" t="s">
        <v>842</v>
      </c>
      <c r="S494" s="1159" t="s">
        <v>625</v>
      </c>
      <c r="T494" s="1159" t="s">
        <v>691</v>
      </c>
      <c r="U494" s="1166">
        <v>173800</v>
      </c>
      <c r="V494" s="1159" t="s">
        <v>691</v>
      </c>
      <c r="W494" s="1166">
        <v>173800</v>
      </c>
      <c r="X494" s="1159" t="s">
        <v>618</v>
      </c>
      <c r="Y494" s="1167">
        <v>43920.53891203704</v>
      </c>
      <c r="Z494" s="1159" t="s">
        <v>618</v>
      </c>
      <c r="AA494" s="1167">
        <v>43920.94998842593</v>
      </c>
      <c r="AB494" s="1138">
        <f t="shared" si="7"/>
        <v>347600</v>
      </c>
    </row>
    <row r="495" ht="24" customHeight="1" spans="1:28" x14ac:dyDescent="0.25">
      <c r="A495" s="1150">
        <v>111154</v>
      </c>
      <c r="B495" s="1150" t="s">
        <v>1277</v>
      </c>
      <c r="C495" s="1150" t="s">
        <v>1300</v>
      </c>
      <c r="D495" s="1151">
        <v>43920</v>
      </c>
      <c r="E495" s="1152">
        <v>55270000</v>
      </c>
      <c r="F495" s="1150" t="s">
        <v>387</v>
      </c>
      <c r="G495" s="1153" t="s">
        <v>611</v>
      </c>
      <c r="H495" s="1154">
        <v>2497</v>
      </c>
      <c r="I495" s="1150" t="s">
        <v>629</v>
      </c>
      <c r="J495" s="1153" t="s">
        <v>14</v>
      </c>
      <c r="K495" s="1150" t="s">
        <v>18</v>
      </c>
      <c r="L495" s="1150" t="s">
        <v>1277</v>
      </c>
      <c r="M495" s="1153" t="s">
        <v>14</v>
      </c>
      <c r="N495" s="1153" t="s">
        <v>717</v>
      </c>
      <c r="O495" s="1155">
        <v>77</v>
      </c>
      <c r="P495" s="1155">
        <v>0</v>
      </c>
      <c r="Q495" s="1155">
        <v>5</v>
      </c>
      <c r="R495" s="1150" t="s">
        <v>842</v>
      </c>
      <c r="S495" s="1150" t="s">
        <v>625</v>
      </c>
      <c r="T495" s="1150" t="s">
        <v>691</v>
      </c>
      <c r="U495" s="1157">
        <v>173800</v>
      </c>
      <c r="V495" s="1150" t="s">
        <v>691</v>
      </c>
      <c r="W495" s="1157">
        <v>173800</v>
      </c>
      <c r="X495" s="1150" t="s">
        <v>618</v>
      </c>
      <c r="Y495" s="1158">
        <v>43920.54809027778</v>
      </c>
      <c r="Z495" s="1150" t="s">
        <v>618</v>
      </c>
      <c r="AA495" s="1158">
        <v>43920.96591435185</v>
      </c>
      <c r="AB495" s="1138">
        <f t="shared" si="7"/>
        <v>347600</v>
      </c>
    </row>
    <row r="496" ht="24" customHeight="1" spans="1:28" x14ac:dyDescent="0.25">
      <c r="A496" s="1159">
        <v>111160</v>
      </c>
      <c r="B496" s="1159" t="s">
        <v>1277</v>
      </c>
      <c r="C496" s="1159" t="s">
        <v>1301</v>
      </c>
      <c r="D496" s="1160">
        <v>43920</v>
      </c>
      <c r="E496" s="1161">
        <v>59070000</v>
      </c>
      <c r="F496" s="1159" t="s">
        <v>387</v>
      </c>
      <c r="G496" s="1162" t="s">
        <v>611</v>
      </c>
      <c r="H496" s="1163">
        <v>3470</v>
      </c>
      <c r="I496" s="1159" t="s">
        <v>629</v>
      </c>
      <c r="J496" s="1162" t="s">
        <v>14</v>
      </c>
      <c r="K496" s="1159" t="s">
        <v>18</v>
      </c>
      <c r="L496" s="1159" t="s">
        <v>1277</v>
      </c>
      <c r="M496" s="1162" t="s">
        <v>14</v>
      </c>
      <c r="N496" s="1162" t="s">
        <v>717</v>
      </c>
      <c r="O496" s="1164">
        <v>73</v>
      </c>
      <c r="P496" s="1164">
        <v>0</v>
      </c>
      <c r="Q496" s="1164">
        <v>5</v>
      </c>
      <c r="R496" s="1159" t="s">
        <v>842</v>
      </c>
      <c r="S496" s="1159" t="s">
        <v>625</v>
      </c>
      <c r="T496" s="1159" t="s">
        <v>719</v>
      </c>
      <c r="U496" s="1166">
        <v>188500</v>
      </c>
      <c r="V496" s="1159" t="s">
        <v>720</v>
      </c>
      <c r="W496" s="1166">
        <v>229600</v>
      </c>
      <c r="X496" s="1159" t="s">
        <v>618</v>
      </c>
      <c r="Y496" s="1167">
        <v>43920.965104166666</v>
      </c>
      <c r="Z496" s="1159" t="s">
        <v>618</v>
      </c>
      <c r="AA496" s="1167">
        <v>43920.997083333335</v>
      </c>
      <c r="AB496" s="1138">
        <f t="shared" si="7"/>
        <v>459200</v>
      </c>
    </row>
    <row r="497" ht="24" customHeight="1" spans="1:28" x14ac:dyDescent="0.25">
      <c r="A497" s="1150">
        <v>111161</v>
      </c>
      <c r="B497" s="1150" t="s">
        <v>1277</v>
      </c>
      <c r="C497" s="1150" t="s">
        <v>1302</v>
      </c>
      <c r="D497" s="1151">
        <v>43920</v>
      </c>
      <c r="E497" s="1152">
        <v>61870000</v>
      </c>
      <c r="F497" s="1150" t="s">
        <v>387</v>
      </c>
      <c r="G497" s="1153" t="s">
        <v>611</v>
      </c>
      <c r="H497" s="1154">
        <v>3470</v>
      </c>
      <c r="I497" s="1150" t="s">
        <v>629</v>
      </c>
      <c r="J497" s="1153" t="s">
        <v>14</v>
      </c>
      <c r="K497" s="1150" t="s">
        <v>18</v>
      </c>
      <c r="L497" s="1150" t="s">
        <v>1277</v>
      </c>
      <c r="M497" s="1153" t="s">
        <v>14</v>
      </c>
      <c r="N497" s="1153" t="s">
        <v>717</v>
      </c>
      <c r="O497" s="1155">
        <v>73</v>
      </c>
      <c r="P497" s="1155">
        <v>0</v>
      </c>
      <c r="Q497" s="1155">
        <v>5</v>
      </c>
      <c r="R497" s="1150" t="s">
        <v>842</v>
      </c>
      <c r="S497" s="1150" t="s">
        <v>625</v>
      </c>
      <c r="T497" s="1150" t="s">
        <v>719</v>
      </c>
      <c r="U497" s="1157">
        <v>188500</v>
      </c>
      <c r="V497" s="1150" t="s">
        <v>720</v>
      </c>
      <c r="W497" s="1157">
        <v>229600</v>
      </c>
      <c r="X497" s="1150" t="s">
        <v>618</v>
      </c>
      <c r="Y497" s="1158">
        <v>43920.99903935185</v>
      </c>
      <c r="Z497" s="1150" t="s">
        <v>618</v>
      </c>
      <c r="AA497" s="1158">
        <v>43920.99903935185</v>
      </c>
      <c r="AB497" s="1138">
        <f t="shared" si="7"/>
        <v>459200</v>
      </c>
    </row>
    <row r="498" spans="1:28" x14ac:dyDescent="0.25">
      <c r="A498" s="1159">
        <v>111156</v>
      </c>
      <c r="B498" s="1159" t="s">
        <v>1277</v>
      </c>
      <c r="C498" s="1159" t="s">
        <v>1303</v>
      </c>
      <c r="D498" s="1160">
        <v>43920</v>
      </c>
      <c r="E498" s="1161">
        <v>54970000</v>
      </c>
      <c r="F498" s="1159" t="s">
        <v>387</v>
      </c>
      <c r="G498" s="1162" t="s">
        <v>611</v>
      </c>
      <c r="H498" s="1163">
        <v>2151</v>
      </c>
      <c r="I498" s="1159" t="s">
        <v>629</v>
      </c>
      <c r="J498" s="1162" t="s">
        <v>14</v>
      </c>
      <c r="K498" s="1159" t="s">
        <v>18</v>
      </c>
      <c r="L498" s="1159" t="s">
        <v>1277</v>
      </c>
      <c r="M498" s="1162" t="s">
        <v>14</v>
      </c>
      <c r="N498" s="1162" t="s">
        <v>717</v>
      </c>
      <c r="O498" s="1164">
        <v>65</v>
      </c>
      <c r="P498" s="1164">
        <v>0</v>
      </c>
      <c r="Q498" s="1164">
        <v>5</v>
      </c>
      <c r="R498" s="1159" t="s">
        <v>710</v>
      </c>
      <c r="S498" s="1159" t="s">
        <v>625</v>
      </c>
      <c r="T498" s="1159" t="s">
        <v>723</v>
      </c>
      <c r="U498" s="1166">
        <v>165500</v>
      </c>
      <c r="V498" s="1159" t="s">
        <v>723</v>
      </c>
      <c r="W498" s="1166">
        <v>165500</v>
      </c>
      <c r="X498" s="1159" t="s">
        <v>618</v>
      </c>
      <c r="Y498" s="1167">
        <v>43920.9287037037</v>
      </c>
      <c r="Z498" s="1159" t="s">
        <v>618</v>
      </c>
      <c r="AA498" s="1167">
        <v>43920.94928240741</v>
      </c>
      <c r="AB498" s="1138">
        <f t="shared" si="7"/>
        <v>331000</v>
      </c>
    </row>
    <row r="499" spans="1:28" x14ac:dyDescent="0.25">
      <c r="A499" s="1150">
        <v>111157</v>
      </c>
      <c r="B499" s="1150" t="s">
        <v>1277</v>
      </c>
      <c r="C499" s="1150" t="s">
        <v>1304</v>
      </c>
      <c r="D499" s="1151">
        <v>43920</v>
      </c>
      <c r="E499" s="1152">
        <v>57770000</v>
      </c>
      <c r="F499" s="1150" t="s">
        <v>387</v>
      </c>
      <c r="G499" s="1153" t="s">
        <v>611</v>
      </c>
      <c r="H499" s="1154">
        <v>2151</v>
      </c>
      <c r="I499" s="1150" t="s">
        <v>629</v>
      </c>
      <c r="J499" s="1153" t="s">
        <v>14</v>
      </c>
      <c r="K499" s="1150" t="s">
        <v>18</v>
      </c>
      <c r="L499" s="1150" t="s">
        <v>1277</v>
      </c>
      <c r="M499" s="1153" t="s">
        <v>14</v>
      </c>
      <c r="N499" s="1153" t="s">
        <v>717</v>
      </c>
      <c r="O499" s="1155">
        <v>65</v>
      </c>
      <c r="P499" s="1155">
        <v>0</v>
      </c>
      <c r="Q499" s="1155">
        <v>5</v>
      </c>
      <c r="R499" s="1150" t="s">
        <v>710</v>
      </c>
      <c r="S499" s="1150" t="s">
        <v>625</v>
      </c>
      <c r="T499" s="1150" t="s">
        <v>723</v>
      </c>
      <c r="U499" s="1157">
        <v>165500</v>
      </c>
      <c r="V499" s="1150" t="s">
        <v>723</v>
      </c>
      <c r="W499" s="1157">
        <v>165500</v>
      </c>
      <c r="X499" s="1150" t="s">
        <v>618</v>
      </c>
      <c r="Y499" s="1158">
        <v>43920.93368055555</v>
      </c>
      <c r="Z499" s="1150" t="s">
        <v>618</v>
      </c>
      <c r="AA499" s="1158">
        <v>43920.94939814815</v>
      </c>
      <c r="AB499" s="1138">
        <f t="shared" si="7"/>
        <v>331000</v>
      </c>
    </row>
    <row r="500" spans="1:28" x14ac:dyDescent="0.25">
      <c r="A500" s="1159">
        <v>109870</v>
      </c>
      <c r="B500" s="1159" t="s">
        <v>1277</v>
      </c>
      <c r="C500" s="1159" t="s">
        <v>1305</v>
      </c>
      <c r="D500" s="1160">
        <v>43423</v>
      </c>
      <c r="E500" s="1161">
        <v>81070000</v>
      </c>
      <c r="F500" s="1159" t="s">
        <v>387</v>
      </c>
      <c r="G500" s="1162" t="s">
        <v>611</v>
      </c>
      <c r="H500" s="1163">
        <v>3342</v>
      </c>
      <c r="I500" s="1159" t="s">
        <v>629</v>
      </c>
      <c r="J500" s="1162" t="s">
        <v>14</v>
      </c>
      <c r="K500" s="1159" t="s">
        <v>18</v>
      </c>
      <c r="L500" s="1159" t="s">
        <v>1277</v>
      </c>
      <c r="M500" s="1162" t="s">
        <v>14</v>
      </c>
      <c r="N500" s="1162" t="s">
        <v>1306</v>
      </c>
      <c r="O500" s="1164">
        <v>83</v>
      </c>
      <c r="P500" s="1165"/>
      <c r="Q500" s="1164">
        <v>5</v>
      </c>
      <c r="R500" s="1159" t="s">
        <v>710</v>
      </c>
      <c r="S500" s="1159" t="s">
        <v>625</v>
      </c>
      <c r="T500" s="1159" t="s">
        <v>723</v>
      </c>
      <c r="U500" s="1166">
        <v>165500</v>
      </c>
      <c r="V500" s="1159" t="s">
        <v>723</v>
      </c>
      <c r="W500" s="1166">
        <v>165500</v>
      </c>
      <c r="X500" s="1159" t="s">
        <v>664</v>
      </c>
      <c r="Y500" s="1167">
        <v>43423.46564814815</v>
      </c>
      <c r="Z500" s="1159" t="s">
        <v>618</v>
      </c>
      <c r="AA500" s="1167">
        <v>43894.554872685185</v>
      </c>
      <c r="AB500" s="1138">
        <f t="shared" si="7"/>
        <v>331000</v>
      </c>
    </row>
    <row r="501" spans="1:28" x14ac:dyDescent="0.25">
      <c r="A501" s="1150">
        <v>110432</v>
      </c>
      <c r="B501" s="1150" t="s">
        <v>1277</v>
      </c>
      <c r="C501" s="1150" t="s">
        <v>1307</v>
      </c>
      <c r="D501" s="1151">
        <v>43674</v>
      </c>
      <c r="E501" s="1152">
        <v>83570000</v>
      </c>
      <c r="F501" s="1150" t="s">
        <v>387</v>
      </c>
      <c r="G501" s="1153" t="s">
        <v>611</v>
      </c>
      <c r="H501" s="1154">
        <v>3342</v>
      </c>
      <c r="I501" s="1150" t="s">
        <v>629</v>
      </c>
      <c r="J501" s="1153" t="s">
        <v>14</v>
      </c>
      <c r="K501" s="1150" t="s">
        <v>18</v>
      </c>
      <c r="L501" s="1150" t="s">
        <v>1277</v>
      </c>
      <c r="M501" s="1153" t="s">
        <v>14</v>
      </c>
      <c r="N501" s="1153" t="s">
        <v>1306</v>
      </c>
      <c r="O501" s="1155">
        <v>83</v>
      </c>
      <c r="P501" s="1156"/>
      <c r="Q501" s="1155">
        <v>5</v>
      </c>
      <c r="R501" s="1150" t="s">
        <v>710</v>
      </c>
      <c r="S501" s="1150" t="s">
        <v>625</v>
      </c>
      <c r="T501" s="1150" t="s">
        <v>723</v>
      </c>
      <c r="U501" s="1157">
        <v>165500</v>
      </c>
      <c r="V501" s="1150" t="s">
        <v>723</v>
      </c>
      <c r="W501" s="1157">
        <v>165500</v>
      </c>
      <c r="X501" s="1150" t="s">
        <v>618</v>
      </c>
      <c r="Y501" s="1158">
        <v>43674.38962962963</v>
      </c>
      <c r="Z501" s="1150" t="s">
        <v>618</v>
      </c>
      <c r="AA501" s="1158">
        <v>43894.55510416666</v>
      </c>
      <c r="AB501" s="1138">
        <f t="shared" si="7"/>
        <v>331000</v>
      </c>
    </row>
    <row r="502" spans="1:28" x14ac:dyDescent="0.25">
      <c r="A502" s="1159">
        <v>109872</v>
      </c>
      <c r="B502" s="1159" t="s">
        <v>1277</v>
      </c>
      <c r="C502" s="1159" t="s">
        <v>1308</v>
      </c>
      <c r="D502" s="1160">
        <v>43423</v>
      </c>
      <c r="E502" s="1161">
        <v>114570000</v>
      </c>
      <c r="F502" s="1159" t="s">
        <v>387</v>
      </c>
      <c r="G502" s="1162" t="s">
        <v>611</v>
      </c>
      <c r="H502" s="1163">
        <v>3342</v>
      </c>
      <c r="I502" s="1159" t="s">
        <v>629</v>
      </c>
      <c r="J502" s="1162" t="s">
        <v>14</v>
      </c>
      <c r="K502" s="1159" t="s">
        <v>18</v>
      </c>
      <c r="L502" s="1159" t="s">
        <v>1277</v>
      </c>
      <c r="M502" s="1162" t="s">
        <v>14</v>
      </c>
      <c r="N502" s="1162" t="s">
        <v>1213</v>
      </c>
      <c r="O502" s="1164">
        <v>83</v>
      </c>
      <c r="P502" s="1165"/>
      <c r="Q502" s="1164">
        <v>5</v>
      </c>
      <c r="R502" s="1159" t="s">
        <v>710</v>
      </c>
      <c r="S502" s="1159" t="s">
        <v>625</v>
      </c>
      <c r="T502" s="1159" t="s">
        <v>719</v>
      </c>
      <c r="U502" s="1166">
        <v>188500</v>
      </c>
      <c r="V502" s="1159" t="s">
        <v>720</v>
      </c>
      <c r="W502" s="1166">
        <v>229600</v>
      </c>
      <c r="X502" s="1159" t="s">
        <v>664</v>
      </c>
      <c r="Y502" s="1167">
        <v>43423.47221064815</v>
      </c>
      <c r="Z502" s="1159" t="s">
        <v>618</v>
      </c>
      <c r="AA502" s="1167">
        <v>43894.555601851855</v>
      </c>
      <c r="AB502" s="1138">
        <f t="shared" si="7"/>
        <v>459200</v>
      </c>
    </row>
    <row r="503" spans="1:28" x14ac:dyDescent="0.25">
      <c r="A503" s="1150">
        <v>109871</v>
      </c>
      <c r="B503" s="1150" t="s">
        <v>1277</v>
      </c>
      <c r="C503" s="1150" t="s">
        <v>1309</v>
      </c>
      <c r="D503" s="1151">
        <v>43423</v>
      </c>
      <c r="E503" s="1152">
        <v>96070000</v>
      </c>
      <c r="F503" s="1150" t="s">
        <v>387</v>
      </c>
      <c r="G503" s="1153" t="s">
        <v>611</v>
      </c>
      <c r="H503" s="1154">
        <v>3342</v>
      </c>
      <c r="I503" s="1150" t="s">
        <v>629</v>
      </c>
      <c r="J503" s="1153" t="s">
        <v>14</v>
      </c>
      <c r="K503" s="1150" t="s">
        <v>18</v>
      </c>
      <c r="L503" s="1150" t="s">
        <v>1277</v>
      </c>
      <c r="M503" s="1153" t="s">
        <v>14</v>
      </c>
      <c r="N503" s="1153" t="s">
        <v>1306</v>
      </c>
      <c r="O503" s="1155">
        <v>83</v>
      </c>
      <c r="P503" s="1156"/>
      <c r="Q503" s="1155">
        <v>5</v>
      </c>
      <c r="R503" s="1150" t="s">
        <v>710</v>
      </c>
      <c r="S503" s="1150" t="s">
        <v>625</v>
      </c>
      <c r="T503" s="1150" t="s">
        <v>719</v>
      </c>
      <c r="U503" s="1157">
        <v>188500</v>
      </c>
      <c r="V503" s="1150" t="s">
        <v>720</v>
      </c>
      <c r="W503" s="1157">
        <v>229600</v>
      </c>
      <c r="X503" s="1150" t="s">
        <v>664</v>
      </c>
      <c r="Y503" s="1158">
        <v>43423.471550925926</v>
      </c>
      <c r="Z503" s="1150" t="s">
        <v>618</v>
      </c>
      <c r="AA503" s="1158">
        <v>43894.55533564815</v>
      </c>
      <c r="AB503" s="1138">
        <f t="shared" si="7"/>
        <v>459200</v>
      </c>
    </row>
    <row r="504" spans="1:28" x14ac:dyDescent="0.25">
      <c r="A504" s="1159">
        <v>109869</v>
      </c>
      <c r="B504" s="1159" t="s">
        <v>1277</v>
      </c>
      <c r="C504" s="1159" t="s">
        <v>1310</v>
      </c>
      <c r="D504" s="1160">
        <v>43420</v>
      </c>
      <c r="E504" s="1161">
        <v>77070000</v>
      </c>
      <c r="F504" s="1159" t="s">
        <v>387</v>
      </c>
      <c r="G504" s="1162" t="s">
        <v>611</v>
      </c>
      <c r="H504" s="1163">
        <v>3778</v>
      </c>
      <c r="I504" s="1159" t="s">
        <v>629</v>
      </c>
      <c r="J504" s="1162" t="s">
        <v>14</v>
      </c>
      <c r="K504" s="1159" t="s">
        <v>18</v>
      </c>
      <c r="L504" s="1159" t="s">
        <v>1277</v>
      </c>
      <c r="M504" s="1162" t="s">
        <v>14</v>
      </c>
      <c r="N504" s="1162" t="s">
        <v>1311</v>
      </c>
      <c r="O504" s="1164">
        <v>77</v>
      </c>
      <c r="P504" s="1165"/>
      <c r="Q504" s="1164">
        <v>5</v>
      </c>
      <c r="R504" s="1159" t="s">
        <v>624</v>
      </c>
      <c r="S504" s="1159" t="s">
        <v>625</v>
      </c>
      <c r="T504" s="1159" t="s">
        <v>723</v>
      </c>
      <c r="U504" s="1166">
        <v>165500</v>
      </c>
      <c r="V504" s="1159" t="s">
        <v>723</v>
      </c>
      <c r="W504" s="1166">
        <v>165500</v>
      </c>
      <c r="X504" s="1159" t="s">
        <v>664</v>
      </c>
      <c r="Y504" s="1167">
        <v>43420.94653935185</v>
      </c>
      <c r="Z504" s="1159" t="s">
        <v>618</v>
      </c>
      <c r="AA504" s="1167">
        <v>43894.55336805555</v>
      </c>
      <c r="AB504" s="1138">
        <f t="shared" si="7"/>
        <v>331000</v>
      </c>
    </row>
    <row r="505" spans="1:28" x14ac:dyDescent="0.25">
      <c r="A505" s="1150">
        <v>110431</v>
      </c>
      <c r="B505" s="1150" t="s">
        <v>1277</v>
      </c>
      <c r="C505" s="1150" t="s">
        <v>1312</v>
      </c>
      <c r="D505" s="1151">
        <v>43674</v>
      </c>
      <c r="E505" s="1152">
        <v>81000000</v>
      </c>
      <c r="F505" s="1150" t="s">
        <v>387</v>
      </c>
      <c r="G505" s="1153" t="s">
        <v>611</v>
      </c>
      <c r="H505" s="1154">
        <v>3778</v>
      </c>
      <c r="I505" s="1150" t="s">
        <v>629</v>
      </c>
      <c r="J505" s="1153" t="s">
        <v>14</v>
      </c>
      <c r="K505" s="1150" t="s">
        <v>18</v>
      </c>
      <c r="L505" s="1150" t="s">
        <v>1277</v>
      </c>
      <c r="M505" s="1153" t="s">
        <v>14</v>
      </c>
      <c r="N505" s="1153" t="s">
        <v>1311</v>
      </c>
      <c r="O505" s="1155">
        <v>77</v>
      </c>
      <c r="P505" s="1156"/>
      <c r="Q505" s="1155">
        <v>5</v>
      </c>
      <c r="R505" s="1150" t="s">
        <v>624</v>
      </c>
      <c r="S505" s="1150" t="s">
        <v>625</v>
      </c>
      <c r="T505" s="1150" t="s">
        <v>723</v>
      </c>
      <c r="U505" s="1157">
        <v>165500</v>
      </c>
      <c r="V505" s="1150" t="s">
        <v>723</v>
      </c>
      <c r="W505" s="1157">
        <v>165500</v>
      </c>
      <c r="X505" s="1150" t="s">
        <v>618</v>
      </c>
      <c r="Y505" s="1158">
        <v>43674.38753472222</v>
      </c>
      <c r="Z505" s="1150" t="s">
        <v>618</v>
      </c>
      <c r="AA505" s="1158">
        <v>43894.554247685184</v>
      </c>
      <c r="AB505" s="1138">
        <f t="shared" si="7"/>
        <v>331000</v>
      </c>
    </row>
    <row r="506" spans="1:28" x14ac:dyDescent="0.25">
      <c r="A506" s="1159">
        <v>109850</v>
      </c>
      <c r="B506" s="1159" t="s">
        <v>1277</v>
      </c>
      <c r="C506" s="1159" t="s">
        <v>1313</v>
      </c>
      <c r="D506" s="1160">
        <v>43416</v>
      </c>
      <c r="E506" s="1161">
        <v>110570000</v>
      </c>
      <c r="F506" s="1159" t="s">
        <v>387</v>
      </c>
      <c r="G506" s="1162" t="s">
        <v>611</v>
      </c>
      <c r="H506" s="1163">
        <v>3778</v>
      </c>
      <c r="I506" s="1159" t="s">
        <v>629</v>
      </c>
      <c r="J506" s="1162" t="s">
        <v>14</v>
      </c>
      <c r="K506" s="1159" t="s">
        <v>18</v>
      </c>
      <c r="L506" s="1159" t="s">
        <v>1277</v>
      </c>
      <c r="M506" s="1162" t="s">
        <v>14</v>
      </c>
      <c r="N506" s="1162" t="s">
        <v>1213</v>
      </c>
      <c r="O506" s="1164">
        <v>77</v>
      </c>
      <c r="P506" s="1165"/>
      <c r="Q506" s="1164">
        <v>5</v>
      </c>
      <c r="R506" s="1159" t="s">
        <v>624</v>
      </c>
      <c r="S506" s="1159" t="s">
        <v>625</v>
      </c>
      <c r="T506" s="1159" t="s">
        <v>719</v>
      </c>
      <c r="U506" s="1166">
        <v>188500</v>
      </c>
      <c r="V506" s="1159" t="s">
        <v>720</v>
      </c>
      <c r="W506" s="1166">
        <v>229600</v>
      </c>
      <c r="X506" s="1159" t="s">
        <v>618</v>
      </c>
      <c r="Y506" s="1167">
        <v>43416.646689814814</v>
      </c>
      <c r="Z506" s="1159" t="s">
        <v>618</v>
      </c>
      <c r="AA506" s="1167">
        <v>43894.55454861111</v>
      </c>
      <c r="AB506" s="1138">
        <f t="shared" si="7"/>
        <v>459200</v>
      </c>
    </row>
    <row r="507" spans="1:28" x14ac:dyDescent="0.25">
      <c r="A507" s="1150">
        <v>109868</v>
      </c>
      <c r="B507" s="1150" t="s">
        <v>1277</v>
      </c>
      <c r="C507" s="1150" t="s">
        <v>1314</v>
      </c>
      <c r="D507" s="1151">
        <v>43420</v>
      </c>
      <c r="E507" s="1152">
        <v>92070000</v>
      </c>
      <c r="F507" s="1150" t="s">
        <v>387</v>
      </c>
      <c r="G507" s="1153" t="s">
        <v>611</v>
      </c>
      <c r="H507" s="1154">
        <v>3778</v>
      </c>
      <c r="I507" s="1150" t="s">
        <v>629</v>
      </c>
      <c r="J507" s="1153" t="s">
        <v>14</v>
      </c>
      <c r="K507" s="1150" t="s">
        <v>18</v>
      </c>
      <c r="L507" s="1150" t="s">
        <v>1277</v>
      </c>
      <c r="M507" s="1153" t="s">
        <v>14</v>
      </c>
      <c r="N507" s="1153" t="s">
        <v>1306</v>
      </c>
      <c r="O507" s="1155">
        <v>77</v>
      </c>
      <c r="P507" s="1156"/>
      <c r="Q507" s="1155">
        <v>5</v>
      </c>
      <c r="R507" s="1150" t="s">
        <v>624</v>
      </c>
      <c r="S507" s="1150" t="s">
        <v>625</v>
      </c>
      <c r="T507" s="1150" t="s">
        <v>719</v>
      </c>
      <c r="U507" s="1157">
        <v>188500</v>
      </c>
      <c r="V507" s="1150" t="s">
        <v>720</v>
      </c>
      <c r="W507" s="1157">
        <v>229600</v>
      </c>
      <c r="X507" s="1150" t="s">
        <v>664</v>
      </c>
      <c r="Y507" s="1158">
        <v>43420.814363425925</v>
      </c>
      <c r="Z507" s="1150" t="s">
        <v>618</v>
      </c>
      <c r="AA507" s="1158">
        <v>43894.554247685184</v>
      </c>
      <c r="AB507" s="1138">
        <f t="shared" si="7"/>
        <v>459200</v>
      </c>
    </row>
    <row r="508" spans="1:28" x14ac:dyDescent="0.25">
      <c r="A508" s="1159">
        <v>109853</v>
      </c>
      <c r="B508" s="1159" t="s">
        <v>1277</v>
      </c>
      <c r="C508" s="1159" t="s">
        <v>1315</v>
      </c>
      <c r="D508" s="1160">
        <v>43416</v>
      </c>
      <c r="E508" s="1161">
        <v>119570000</v>
      </c>
      <c r="F508" s="1159" t="s">
        <v>387</v>
      </c>
      <c r="G508" s="1162" t="s">
        <v>611</v>
      </c>
      <c r="H508" s="1163">
        <v>5038</v>
      </c>
      <c r="I508" s="1159" t="s">
        <v>629</v>
      </c>
      <c r="J508" s="1162" t="s">
        <v>14</v>
      </c>
      <c r="K508" s="1159" t="s">
        <v>18</v>
      </c>
      <c r="L508" s="1159" t="s">
        <v>1277</v>
      </c>
      <c r="M508" s="1162" t="s">
        <v>14</v>
      </c>
      <c r="N508" s="1162" t="s">
        <v>1213</v>
      </c>
      <c r="O508" s="1164">
        <v>83</v>
      </c>
      <c r="P508" s="1165"/>
      <c r="Q508" s="1164">
        <v>5</v>
      </c>
      <c r="R508" s="1159" t="s">
        <v>643</v>
      </c>
      <c r="S508" s="1159" t="s">
        <v>625</v>
      </c>
      <c r="T508" s="1159" t="s">
        <v>719</v>
      </c>
      <c r="U508" s="1166">
        <v>188500</v>
      </c>
      <c r="V508" s="1159" t="s">
        <v>720</v>
      </c>
      <c r="W508" s="1166">
        <v>229600</v>
      </c>
      <c r="X508" s="1159" t="s">
        <v>618</v>
      </c>
      <c r="Y508" s="1167">
        <v>43416.6487037037</v>
      </c>
      <c r="Z508" s="1159" t="s">
        <v>618</v>
      </c>
      <c r="AA508" s="1167">
        <v>43894.556342592594</v>
      </c>
      <c r="AB508" s="1138">
        <f t="shared" si="7"/>
        <v>459200</v>
      </c>
    </row>
    <row r="509" spans="1:28" x14ac:dyDescent="0.25">
      <c r="A509" s="1150">
        <v>110126</v>
      </c>
      <c r="B509" s="1150" t="s">
        <v>1277</v>
      </c>
      <c r="C509" s="1150" t="s">
        <v>1316</v>
      </c>
      <c r="D509" s="1151">
        <v>43515</v>
      </c>
      <c r="E509" s="1152">
        <v>156570000</v>
      </c>
      <c r="F509" s="1150" t="s">
        <v>387</v>
      </c>
      <c r="G509" s="1153" t="s">
        <v>611</v>
      </c>
      <c r="H509" s="1154">
        <v>5038</v>
      </c>
      <c r="I509" s="1150" t="s">
        <v>629</v>
      </c>
      <c r="J509" s="1153" t="s">
        <v>14</v>
      </c>
      <c r="K509" s="1150" t="s">
        <v>18</v>
      </c>
      <c r="L509" s="1150" t="s">
        <v>1277</v>
      </c>
      <c r="M509" s="1153" t="s">
        <v>14</v>
      </c>
      <c r="N509" s="1153" t="s">
        <v>1215</v>
      </c>
      <c r="O509" s="1155">
        <v>83</v>
      </c>
      <c r="P509" s="1156"/>
      <c r="Q509" s="1155">
        <v>5</v>
      </c>
      <c r="R509" s="1150" t="s">
        <v>773</v>
      </c>
      <c r="S509" s="1150" t="s">
        <v>625</v>
      </c>
      <c r="T509" s="1150" t="s">
        <v>719</v>
      </c>
      <c r="U509" s="1157">
        <v>188500</v>
      </c>
      <c r="V509" s="1150" t="s">
        <v>720</v>
      </c>
      <c r="W509" s="1157">
        <v>229600</v>
      </c>
      <c r="X509" s="1150" t="s">
        <v>664</v>
      </c>
      <c r="Y509" s="1158">
        <v>43515.55599537037</v>
      </c>
      <c r="Z509" s="1150" t="s">
        <v>618</v>
      </c>
      <c r="AA509" s="1158">
        <v>43894.55678240741</v>
      </c>
      <c r="AB509" s="1138">
        <f t="shared" si="7"/>
        <v>459200</v>
      </c>
    </row>
    <row r="510" spans="1:28" x14ac:dyDescent="0.25">
      <c r="A510" s="1159">
        <v>111081</v>
      </c>
      <c r="B510" s="1159" t="s">
        <v>1277</v>
      </c>
      <c r="C510" s="1159" t="s">
        <v>1317</v>
      </c>
      <c r="D510" s="1160">
        <v>43895</v>
      </c>
      <c r="E510" s="1161">
        <v>60370000</v>
      </c>
      <c r="F510" s="1159" t="s">
        <v>610</v>
      </c>
      <c r="G510" s="1162" t="s">
        <v>611</v>
      </c>
      <c r="H510" s="1163">
        <v>2497</v>
      </c>
      <c r="I510" s="1159" t="s">
        <v>629</v>
      </c>
      <c r="J510" s="1162" t="s">
        <v>14</v>
      </c>
      <c r="K510" s="1159" t="s">
        <v>18</v>
      </c>
      <c r="L510" s="1159" t="s">
        <v>1277</v>
      </c>
      <c r="M510" s="1162" t="s">
        <v>14</v>
      </c>
      <c r="N510" s="1162" t="s">
        <v>902</v>
      </c>
      <c r="O510" s="1164">
        <v>80</v>
      </c>
      <c r="P510" s="1165"/>
      <c r="Q510" s="1164">
        <v>5</v>
      </c>
      <c r="R510" s="1159" t="s">
        <v>690</v>
      </c>
      <c r="S510" s="1159" t="s">
        <v>625</v>
      </c>
      <c r="T510" s="1159" t="s">
        <v>1318</v>
      </c>
      <c r="U510" s="1166">
        <v>370000</v>
      </c>
      <c r="V510" s="1159" t="s">
        <v>1318</v>
      </c>
      <c r="W510" s="1166">
        <v>370000</v>
      </c>
      <c r="X510" s="1159" t="s">
        <v>618</v>
      </c>
      <c r="Y510" s="1167">
        <v>43903.73645833333</v>
      </c>
      <c r="Z510" s="1159" t="s">
        <v>618</v>
      </c>
      <c r="AA510" s="1167">
        <v>43903.742476851854</v>
      </c>
      <c r="AB510" s="1138">
        <f t="shared" si="7"/>
        <v>740000</v>
      </c>
    </row>
    <row r="511" spans="1:28" x14ac:dyDescent="0.25">
      <c r="A511" s="1150">
        <v>111082</v>
      </c>
      <c r="B511" s="1150" t="s">
        <v>1277</v>
      </c>
      <c r="C511" s="1150" t="s">
        <v>1319</v>
      </c>
      <c r="D511" s="1151">
        <v>43895</v>
      </c>
      <c r="E511" s="1152">
        <v>61370000</v>
      </c>
      <c r="F511" s="1150" t="s">
        <v>610</v>
      </c>
      <c r="G511" s="1153" t="s">
        <v>611</v>
      </c>
      <c r="H511" s="1154">
        <v>2497</v>
      </c>
      <c r="I511" s="1150" t="s">
        <v>629</v>
      </c>
      <c r="J511" s="1153" t="s">
        <v>14</v>
      </c>
      <c r="K511" s="1150" t="s">
        <v>18</v>
      </c>
      <c r="L511" s="1150" t="s">
        <v>1277</v>
      </c>
      <c r="M511" s="1153" t="s">
        <v>14</v>
      </c>
      <c r="N511" s="1153" t="s">
        <v>902</v>
      </c>
      <c r="O511" s="1155">
        <v>80</v>
      </c>
      <c r="P511" s="1156"/>
      <c r="Q511" s="1155">
        <v>7</v>
      </c>
      <c r="R511" s="1150" t="s">
        <v>690</v>
      </c>
      <c r="S511" s="1150" t="s">
        <v>625</v>
      </c>
      <c r="T511" s="1150" t="s">
        <v>1318</v>
      </c>
      <c r="U511" s="1157">
        <v>370000</v>
      </c>
      <c r="V511" s="1150" t="s">
        <v>1318</v>
      </c>
      <c r="W511" s="1157">
        <v>370000</v>
      </c>
      <c r="X511" s="1150" t="s">
        <v>618</v>
      </c>
      <c r="Y511" s="1158">
        <v>43903.750196759254</v>
      </c>
      <c r="Z511" s="1150" t="s">
        <v>618</v>
      </c>
      <c r="AA511" s="1158">
        <v>43903.75046296296</v>
      </c>
      <c r="AB511" s="1138">
        <f t="shared" si="7"/>
        <v>740000</v>
      </c>
    </row>
    <row r="512" spans="1:28" x14ac:dyDescent="0.25">
      <c r="A512" s="1159">
        <v>111083</v>
      </c>
      <c r="B512" s="1159" t="s">
        <v>1277</v>
      </c>
      <c r="C512" s="1159" t="s">
        <v>1320</v>
      </c>
      <c r="D512" s="1160">
        <v>43895</v>
      </c>
      <c r="E512" s="1161">
        <v>63870000</v>
      </c>
      <c r="F512" s="1159" t="s">
        <v>610</v>
      </c>
      <c r="G512" s="1162" t="s">
        <v>611</v>
      </c>
      <c r="H512" s="1163">
        <v>2497</v>
      </c>
      <c r="I512" s="1159" t="s">
        <v>629</v>
      </c>
      <c r="J512" s="1162" t="s">
        <v>14</v>
      </c>
      <c r="K512" s="1159" t="s">
        <v>18</v>
      </c>
      <c r="L512" s="1159" t="s">
        <v>1277</v>
      </c>
      <c r="M512" s="1162" t="s">
        <v>14</v>
      </c>
      <c r="N512" s="1162" t="s">
        <v>902</v>
      </c>
      <c r="O512" s="1164">
        <v>80</v>
      </c>
      <c r="P512" s="1165"/>
      <c r="Q512" s="1164">
        <v>5</v>
      </c>
      <c r="R512" s="1159" t="s">
        <v>690</v>
      </c>
      <c r="S512" s="1159" t="s">
        <v>625</v>
      </c>
      <c r="T512" s="1159" t="s">
        <v>1318</v>
      </c>
      <c r="U512" s="1166">
        <v>370000</v>
      </c>
      <c r="V512" s="1159" t="s">
        <v>1318</v>
      </c>
      <c r="W512" s="1166">
        <v>370000</v>
      </c>
      <c r="X512" s="1159" t="s">
        <v>618</v>
      </c>
      <c r="Y512" s="1167">
        <v>43903.75109953704</v>
      </c>
      <c r="Z512" s="1159" t="s">
        <v>618</v>
      </c>
      <c r="AA512" s="1167">
        <v>43903.75109953704</v>
      </c>
      <c r="AB512" s="1138">
        <f t="shared" si="7"/>
        <v>740000</v>
      </c>
    </row>
    <row r="513" spans="1:28" x14ac:dyDescent="0.25">
      <c r="A513" s="1150">
        <v>111084</v>
      </c>
      <c r="B513" s="1150" t="s">
        <v>1277</v>
      </c>
      <c r="C513" s="1150" t="s">
        <v>1321</v>
      </c>
      <c r="D513" s="1151">
        <v>43895</v>
      </c>
      <c r="E513" s="1152">
        <v>64870000</v>
      </c>
      <c r="F513" s="1150" t="s">
        <v>610</v>
      </c>
      <c r="G513" s="1153" t="s">
        <v>611</v>
      </c>
      <c r="H513" s="1154">
        <v>2497</v>
      </c>
      <c r="I513" s="1150" t="s">
        <v>629</v>
      </c>
      <c r="J513" s="1153" t="s">
        <v>14</v>
      </c>
      <c r="K513" s="1150" t="s">
        <v>18</v>
      </c>
      <c r="L513" s="1150" t="s">
        <v>1277</v>
      </c>
      <c r="M513" s="1153" t="s">
        <v>14</v>
      </c>
      <c r="N513" s="1153" t="s">
        <v>902</v>
      </c>
      <c r="O513" s="1155">
        <v>80</v>
      </c>
      <c r="P513" s="1156"/>
      <c r="Q513" s="1155">
        <v>7</v>
      </c>
      <c r="R513" s="1150" t="s">
        <v>690</v>
      </c>
      <c r="S513" s="1150" t="s">
        <v>625</v>
      </c>
      <c r="T513" s="1150" t="s">
        <v>1318</v>
      </c>
      <c r="U513" s="1157">
        <v>370000</v>
      </c>
      <c r="V513" s="1150" t="s">
        <v>1318</v>
      </c>
      <c r="W513" s="1157">
        <v>370000</v>
      </c>
      <c r="X513" s="1150" t="s">
        <v>618</v>
      </c>
      <c r="Y513" s="1158">
        <v>43903.75158564815</v>
      </c>
      <c r="Z513" s="1150" t="s">
        <v>618</v>
      </c>
      <c r="AA513" s="1158">
        <v>43903.75158564815</v>
      </c>
      <c r="AB513" s="1138">
        <f t="shared" si="7"/>
        <v>740000</v>
      </c>
    </row>
    <row r="514" spans="1:28" x14ac:dyDescent="0.25">
      <c r="A514" s="1159">
        <v>111027</v>
      </c>
      <c r="B514" s="1159" t="s">
        <v>1277</v>
      </c>
      <c r="C514" s="1159" t="s">
        <v>1322</v>
      </c>
      <c r="D514" s="1160">
        <v>43845</v>
      </c>
      <c r="E514" s="1161">
        <v>64370000</v>
      </c>
      <c r="F514" s="1159" t="s">
        <v>610</v>
      </c>
      <c r="G514" s="1162" t="s">
        <v>611</v>
      </c>
      <c r="H514" s="1163">
        <v>2996</v>
      </c>
      <c r="I514" s="1159" t="s">
        <v>629</v>
      </c>
      <c r="J514" s="1162" t="s">
        <v>14</v>
      </c>
      <c r="K514" s="1159" t="s">
        <v>18</v>
      </c>
      <c r="L514" s="1159" t="s">
        <v>1277</v>
      </c>
      <c r="M514" s="1162" t="s">
        <v>14</v>
      </c>
      <c r="N514" s="1162" t="s">
        <v>1323</v>
      </c>
      <c r="O514" s="1164">
        <v>80</v>
      </c>
      <c r="P514" s="1165"/>
      <c r="Q514" s="1164">
        <v>5</v>
      </c>
      <c r="R514" s="1159" t="s">
        <v>690</v>
      </c>
      <c r="S514" s="1159" t="s">
        <v>625</v>
      </c>
      <c r="T514" s="1159" t="s">
        <v>1318</v>
      </c>
      <c r="U514" s="1166">
        <v>370000</v>
      </c>
      <c r="V514" s="1159" t="s">
        <v>1318</v>
      </c>
      <c r="W514" s="1166">
        <v>370000</v>
      </c>
      <c r="X514" s="1159" t="s">
        <v>618</v>
      </c>
      <c r="Y514" s="1167">
        <v>43845.54240740741</v>
      </c>
      <c r="Z514" s="1159" t="s">
        <v>618</v>
      </c>
      <c r="AA514" s="1167">
        <v>43894.545381944445</v>
      </c>
      <c r="AB514" s="1138">
        <f t="shared" si="7"/>
        <v>740000</v>
      </c>
    </row>
    <row r="515" spans="1:28" x14ac:dyDescent="0.25">
      <c r="A515" s="1150">
        <v>111028</v>
      </c>
      <c r="B515" s="1150" t="s">
        <v>1277</v>
      </c>
      <c r="C515" s="1150" t="s">
        <v>1324</v>
      </c>
      <c r="D515" s="1151">
        <v>43845</v>
      </c>
      <c r="E515" s="1152">
        <v>65370000</v>
      </c>
      <c r="F515" s="1150" t="s">
        <v>610</v>
      </c>
      <c r="G515" s="1153" t="s">
        <v>611</v>
      </c>
      <c r="H515" s="1154">
        <v>2996</v>
      </c>
      <c r="I515" s="1150" t="s">
        <v>629</v>
      </c>
      <c r="J515" s="1153" t="s">
        <v>14</v>
      </c>
      <c r="K515" s="1150" t="s">
        <v>18</v>
      </c>
      <c r="L515" s="1150" t="s">
        <v>1277</v>
      </c>
      <c r="M515" s="1153" t="s">
        <v>14</v>
      </c>
      <c r="N515" s="1153" t="s">
        <v>1323</v>
      </c>
      <c r="O515" s="1155">
        <v>80</v>
      </c>
      <c r="P515" s="1156"/>
      <c r="Q515" s="1155">
        <v>7</v>
      </c>
      <c r="R515" s="1150" t="s">
        <v>690</v>
      </c>
      <c r="S515" s="1150" t="s">
        <v>625</v>
      </c>
      <c r="T515" s="1150" t="s">
        <v>1318</v>
      </c>
      <c r="U515" s="1157">
        <v>370000</v>
      </c>
      <c r="V515" s="1150" t="s">
        <v>1318</v>
      </c>
      <c r="W515" s="1157">
        <v>370000</v>
      </c>
      <c r="X515" s="1150" t="s">
        <v>618</v>
      </c>
      <c r="Y515" s="1158">
        <v>43845.67674768518</v>
      </c>
      <c r="Z515" s="1150" t="s">
        <v>618</v>
      </c>
      <c r="AA515" s="1158">
        <v>43894.54627314815</v>
      </c>
      <c r="AB515" s="1138">
        <f t="shared" ref="AB515:AB578" si="8">W515*2</f>
        <v>740000</v>
      </c>
    </row>
    <row r="516" spans="1:28" x14ac:dyDescent="0.25">
      <c r="A516" s="1159">
        <v>111029</v>
      </c>
      <c r="B516" s="1159" t="s">
        <v>1277</v>
      </c>
      <c r="C516" s="1159" t="s">
        <v>1325</v>
      </c>
      <c r="D516" s="1160">
        <v>43845</v>
      </c>
      <c r="E516" s="1161">
        <v>67870000</v>
      </c>
      <c r="F516" s="1159" t="s">
        <v>610</v>
      </c>
      <c r="G516" s="1162" t="s">
        <v>611</v>
      </c>
      <c r="H516" s="1163">
        <v>2996</v>
      </c>
      <c r="I516" s="1159" t="s">
        <v>629</v>
      </c>
      <c r="J516" s="1162" t="s">
        <v>14</v>
      </c>
      <c r="K516" s="1159" t="s">
        <v>18</v>
      </c>
      <c r="L516" s="1159" t="s">
        <v>1277</v>
      </c>
      <c r="M516" s="1162" t="s">
        <v>14</v>
      </c>
      <c r="N516" s="1162" t="s">
        <v>1323</v>
      </c>
      <c r="O516" s="1164">
        <v>80</v>
      </c>
      <c r="P516" s="1165"/>
      <c r="Q516" s="1164">
        <v>5</v>
      </c>
      <c r="R516" s="1159" t="s">
        <v>690</v>
      </c>
      <c r="S516" s="1159" t="s">
        <v>625</v>
      </c>
      <c r="T516" s="1159" t="s">
        <v>1318</v>
      </c>
      <c r="U516" s="1166">
        <v>370000</v>
      </c>
      <c r="V516" s="1159" t="s">
        <v>1318</v>
      </c>
      <c r="W516" s="1166">
        <v>370000</v>
      </c>
      <c r="X516" s="1159" t="s">
        <v>618</v>
      </c>
      <c r="Y516" s="1167">
        <v>43845.678449074076</v>
      </c>
      <c r="Z516" s="1159" t="s">
        <v>618</v>
      </c>
      <c r="AA516" s="1167">
        <v>43894.546585648146</v>
      </c>
      <c r="AB516" s="1138">
        <f t="shared" si="8"/>
        <v>740000</v>
      </c>
    </row>
    <row r="517" spans="1:28" x14ac:dyDescent="0.25">
      <c r="A517" s="1150">
        <v>111030</v>
      </c>
      <c r="B517" s="1150" t="s">
        <v>1277</v>
      </c>
      <c r="C517" s="1150" t="s">
        <v>1326</v>
      </c>
      <c r="D517" s="1151">
        <v>43845</v>
      </c>
      <c r="E517" s="1152">
        <v>68870000</v>
      </c>
      <c r="F517" s="1150" t="s">
        <v>610</v>
      </c>
      <c r="G517" s="1153" t="s">
        <v>611</v>
      </c>
      <c r="H517" s="1154">
        <v>2996</v>
      </c>
      <c r="I517" s="1150" t="s">
        <v>629</v>
      </c>
      <c r="J517" s="1153" t="s">
        <v>14</v>
      </c>
      <c r="K517" s="1150" t="s">
        <v>18</v>
      </c>
      <c r="L517" s="1150" t="s">
        <v>1277</v>
      </c>
      <c r="M517" s="1153" t="s">
        <v>14</v>
      </c>
      <c r="N517" s="1153" t="s">
        <v>1323</v>
      </c>
      <c r="O517" s="1155">
        <v>80</v>
      </c>
      <c r="P517" s="1156"/>
      <c r="Q517" s="1155">
        <v>7</v>
      </c>
      <c r="R517" s="1150" t="s">
        <v>690</v>
      </c>
      <c r="S517" s="1150" t="s">
        <v>625</v>
      </c>
      <c r="T517" s="1150" t="s">
        <v>1318</v>
      </c>
      <c r="U517" s="1157">
        <v>370000</v>
      </c>
      <c r="V517" s="1150" t="s">
        <v>1318</v>
      </c>
      <c r="W517" s="1157">
        <v>370000</v>
      </c>
      <c r="X517" s="1150" t="s">
        <v>618</v>
      </c>
      <c r="Y517" s="1158">
        <v>43845.679375</v>
      </c>
      <c r="Z517" s="1150" t="s">
        <v>618</v>
      </c>
      <c r="AA517" s="1158">
        <v>43894.547002314815</v>
      </c>
      <c r="AB517" s="1138">
        <f t="shared" si="8"/>
        <v>740000</v>
      </c>
    </row>
    <row r="518" ht="24" customHeight="1" spans="1:28" x14ac:dyDescent="0.25">
      <c r="A518" s="1159">
        <v>111085</v>
      </c>
      <c r="B518" s="1159" t="s">
        <v>1277</v>
      </c>
      <c r="C518" s="1159" t="s">
        <v>1327</v>
      </c>
      <c r="D518" s="1160">
        <v>43895</v>
      </c>
      <c r="E518" s="1161">
        <v>65870000</v>
      </c>
      <c r="F518" s="1159" t="s">
        <v>610</v>
      </c>
      <c r="G518" s="1162" t="s">
        <v>611</v>
      </c>
      <c r="H518" s="1163">
        <v>3470</v>
      </c>
      <c r="I518" s="1159" t="s">
        <v>629</v>
      </c>
      <c r="J518" s="1162" t="s">
        <v>14</v>
      </c>
      <c r="K518" s="1159" t="s">
        <v>18</v>
      </c>
      <c r="L518" s="1159" t="s">
        <v>1277</v>
      </c>
      <c r="M518" s="1162" t="s">
        <v>14</v>
      </c>
      <c r="N518" s="1162" t="s">
        <v>902</v>
      </c>
      <c r="O518" s="1164">
        <v>80</v>
      </c>
      <c r="P518" s="1165"/>
      <c r="Q518" s="1164">
        <v>5</v>
      </c>
      <c r="R518" s="1159" t="s">
        <v>690</v>
      </c>
      <c r="S518" s="1159" t="s">
        <v>625</v>
      </c>
      <c r="T518" s="1159" t="s">
        <v>938</v>
      </c>
      <c r="U518" s="1166">
        <v>280000</v>
      </c>
      <c r="V518" s="1159" t="s">
        <v>938</v>
      </c>
      <c r="W518" s="1166">
        <v>280000</v>
      </c>
      <c r="X518" s="1159" t="s">
        <v>618</v>
      </c>
      <c r="Y518" s="1167">
        <v>43903.95710648148</v>
      </c>
      <c r="Z518" s="1159" t="s">
        <v>618</v>
      </c>
      <c r="AA518" s="1167">
        <v>43903.983935185184</v>
      </c>
      <c r="AB518" s="1138">
        <f t="shared" si="8"/>
        <v>560000</v>
      </c>
    </row>
    <row r="519" ht="24" customHeight="1" spans="1:28" x14ac:dyDescent="0.25">
      <c r="A519" s="1150">
        <v>111086</v>
      </c>
      <c r="B519" s="1150" t="s">
        <v>1277</v>
      </c>
      <c r="C519" s="1150" t="s">
        <v>1328</v>
      </c>
      <c r="D519" s="1151">
        <v>43895</v>
      </c>
      <c r="E519" s="1152">
        <v>66870000</v>
      </c>
      <c r="F519" s="1150" t="s">
        <v>610</v>
      </c>
      <c r="G519" s="1153" t="s">
        <v>611</v>
      </c>
      <c r="H519" s="1154">
        <v>3470</v>
      </c>
      <c r="I519" s="1150" t="s">
        <v>629</v>
      </c>
      <c r="J519" s="1153" t="s">
        <v>14</v>
      </c>
      <c r="K519" s="1150" t="s">
        <v>18</v>
      </c>
      <c r="L519" s="1150" t="s">
        <v>1277</v>
      </c>
      <c r="M519" s="1153" t="s">
        <v>14</v>
      </c>
      <c r="N519" s="1153" t="s">
        <v>902</v>
      </c>
      <c r="O519" s="1155">
        <v>80</v>
      </c>
      <c r="P519" s="1156"/>
      <c r="Q519" s="1155">
        <v>7</v>
      </c>
      <c r="R519" s="1150" t="s">
        <v>690</v>
      </c>
      <c r="S519" s="1150" t="s">
        <v>625</v>
      </c>
      <c r="T519" s="1150" t="s">
        <v>938</v>
      </c>
      <c r="U519" s="1157">
        <v>280000</v>
      </c>
      <c r="V519" s="1150" t="s">
        <v>938</v>
      </c>
      <c r="W519" s="1157">
        <v>280000</v>
      </c>
      <c r="X519" s="1150" t="s">
        <v>618</v>
      </c>
      <c r="Y519" s="1158">
        <v>43903.96170138889</v>
      </c>
      <c r="Z519" s="1150" t="s">
        <v>618</v>
      </c>
      <c r="AA519" s="1158">
        <v>43903.98372685185</v>
      </c>
      <c r="AB519" s="1138">
        <f t="shared" si="8"/>
        <v>560000</v>
      </c>
    </row>
    <row r="520" ht="24" customHeight="1" spans="1:28" x14ac:dyDescent="0.25">
      <c r="A520" s="1159">
        <v>111087</v>
      </c>
      <c r="B520" s="1159" t="s">
        <v>1277</v>
      </c>
      <c r="C520" s="1159" t="s">
        <v>1329</v>
      </c>
      <c r="D520" s="1160">
        <v>43895</v>
      </c>
      <c r="E520" s="1161">
        <v>69370000</v>
      </c>
      <c r="F520" s="1159" t="s">
        <v>610</v>
      </c>
      <c r="G520" s="1162" t="s">
        <v>611</v>
      </c>
      <c r="H520" s="1163">
        <v>3470</v>
      </c>
      <c r="I520" s="1159" t="s">
        <v>629</v>
      </c>
      <c r="J520" s="1162" t="s">
        <v>14</v>
      </c>
      <c r="K520" s="1159" t="s">
        <v>18</v>
      </c>
      <c r="L520" s="1159" t="s">
        <v>1277</v>
      </c>
      <c r="M520" s="1162" t="s">
        <v>14</v>
      </c>
      <c r="N520" s="1162" t="s">
        <v>902</v>
      </c>
      <c r="O520" s="1164">
        <v>80</v>
      </c>
      <c r="P520" s="1165"/>
      <c r="Q520" s="1164">
        <v>5</v>
      </c>
      <c r="R520" s="1159" t="s">
        <v>690</v>
      </c>
      <c r="S520" s="1159" t="s">
        <v>625</v>
      </c>
      <c r="T520" s="1159" t="s">
        <v>938</v>
      </c>
      <c r="U520" s="1166">
        <v>280000</v>
      </c>
      <c r="V520" s="1159" t="s">
        <v>938</v>
      </c>
      <c r="W520" s="1166">
        <v>280000</v>
      </c>
      <c r="X520" s="1159" t="s">
        <v>618</v>
      </c>
      <c r="Y520" s="1167">
        <v>43903.96415509259</v>
      </c>
      <c r="Z520" s="1159" t="s">
        <v>618</v>
      </c>
      <c r="AA520" s="1167">
        <v>43903.98324074074</v>
      </c>
      <c r="AB520" s="1138">
        <f t="shared" si="8"/>
        <v>560000</v>
      </c>
    </row>
    <row r="521" ht="24" customHeight="1" spans="1:28" x14ac:dyDescent="0.25">
      <c r="A521" s="1150">
        <v>111088</v>
      </c>
      <c r="B521" s="1150" t="s">
        <v>1277</v>
      </c>
      <c r="C521" s="1150" t="s">
        <v>1330</v>
      </c>
      <c r="D521" s="1151">
        <v>43895</v>
      </c>
      <c r="E521" s="1152">
        <v>70370000</v>
      </c>
      <c r="F521" s="1150" t="s">
        <v>610</v>
      </c>
      <c r="G521" s="1153" t="s">
        <v>611</v>
      </c>
      <c r="H521" s="1154">
        <v>3470</v>
      </c>
      <c r="I521" s="1150" t="s">
        <v>629</v>
      </c>
      <c r="J521" s="1153" t="s">
        <v>14</v>
      </c>
      <c r="K521" s="1150" t="s">
        <v>18</v>
      </c>
      <c r="L521" s="1150" t="s">
        <v>1277</v>
      </c>
      <c r="M521" s="1153" t="s">
        <v>14</v>
      </c>
      <c r="N521" s="1153" t="s">
        <v>902</v>
      </c>
      <c r="O521" s="1155">
        <v>80</v>
      </c>
      <c r="P521" s="1156"/>
      <c r="Q521" s="1155">
        <v>7</v>
      </c>
      <c r="R521" s="1150" t="s">
        <v>690</v>
      </c>
      <c r="S521" s="1150" t="s">
        <v>625</v>
      </c>
      <c r="T521" s="1150" t="s">
        <v>938</v>
      </c>
      <c r="U521" s="1157">
        <v>280000</v>
      </c>
      <c r="V521" s="1150" t="s">
        <v>938</v>
      </c>
      <c r="W521" s="1157">
        <v>280000</v>
      </c>
      <c r="X521" s="1150" t="s">
        <v>618</v>
      </c>
      <c r="Y521" s="1158">
        <v>43903.965</v>
      </c>
      <c r="Z521" s="1150" t="s">
        <v>618</v>
      </c>
      <c r="AA521" s="1158">
        <v>43903.98202546296</v>
      </c>
      <c r="AB521" s="1138">
        <f t="shared" si="8"/>
        <v>560000</v>
      </c>
    </row>
    <row r="522" spans="1:28" x14ac:dyDescent="0.25">
      <c r="A522" s="1159">
        <v>100284</v>
      </c>
      <c r="B522" s="1159" t="s">
        <v>1331</v>
      </c>
      <c r="C522" s="1159" t="s">
        <v>1332</v>
      </c>
      <c r="D522" s="1160">
        <v>40952</v>
      </c>
      <c r="E522" s="1161">
        <v>43400000</v>
      </c>
      <c r="F522" s="1159" t="s">
        <v>387</v>
      </c>
      <c r="G522" s="1162" t="s">
        <v>611</v>
      </c>
      <c r="H522" s="1163">
        <v>2799</v>
      </c>
      <c r="I522" s="1159" t="s">
        <v>629</v>
      </c>
      <c r="J522" s="1162" t="s">
        <v>14</v>
      </c>
      <c r="K522" s="1159" t="s">
        <v>86</v>
      </c>
      <c r="L522" s="1159" t="s">
        <v>1333</v>
      </c>
      <c r="M522" s="1162" t="s">
        <v>14</v>
      </c>
      <c r="N522" s="1162" t="s">
        <v>712</v>
      </c>
      <c r="O522" s="1164">
        <v>80</v>
      </c>
      <c r="P522" s="1164">
        <v>0</v>
      </c>
      <c r="Q522" s="1164">
        <v>5</v>
      </c>
      <c r="R522" s="1159" t="s">
        <v>773</v>
      </c>
      <c r="S522" s="1159" t="s">
        <v>877</v>
      </c>
      <c r="T522" s="1159" t="s">
        <v>633</v>
      </c>
      <c r="U522" s="1165"/>
      <c r="V522" s="1159" t="s">
        <v>633</v>
      </c>
      <c r="W522" s="1165"/>
      <c r="X522" s="1159" t="s">
        <v>634</v>
      </c>
      <c r="Y522" s="1167">
        <v>40952.45090277778</v>
      </c>
      <c r="Z522" s="1159" t="s">
        <v>634</v>
      </c>
      <c r="AA522" s="1167">
        <v>40976.56554398148</v>
      </c>
      <c r="AB522" s="1138">
        <f t="shared" si="8"/>
        <v>0</v>
      </c>
    </row>
    <row r="523" spans="1:28" x14ac:dyDescent="0.25">
      <c r="A523" s="1150" t="s">
        <v>1334</v>
      </c>
      <c r="B523" s="1150" t="s">
        <v>1331</v>
      </c>
      <c r="C523" s="1150" t="s">
        <v>1335</v>
      </c>
      <c r="D523" s="1151">
        <v>40590</v>
      </c>
      <c r="E523" s="1152">
        <v>44950000</v>
      </c>
      <c r="F523" s="1150" t="s">
        <v>387</v>
      </c>
      <c r="G523" s="1153" t="s">
        <v>611</v>
      </c>
      <c r="H523" s="1154">
        <v>2799</v>
      </c>
      <c r="I523" s="1150" t="s">
        <v>629</v>
      </c>
      <c r="J523" s="1153" t="s">
        <v>14</v>
      </c>
      <c r="K523" s="1150" t="s">
        <v>86</v>
      </c>
      <c r="L523" s="1150" t="s">
        <v>1333</v>
      </c>
      <c r="M523" s="1153" t="s">
        <v>14</v>
      </c>
      <c r="N523" s="1153" t="s">
        <v>712</v>
      </c>
      <c r="O523" s="1155">
        <v>80</v>
      </c>
      <c r="P523" s="1155">
        <v>0</v>
      </c>
      <c r="Q523" s="1155">
        <v>5</v>
      </c>
      <c r="R523" s="1150" t="s">
        <v>773</v>
      </c>
      <c r="S523" s="1150" t="s">
        <v>877</v>
      </c>
      <c r="T523" s="1150" t="s">
        <v>633</v>
      </c>
      <c r="U523" s="1156"/>
      <c r="V523" s="1150" t="s">
        <v>633</v>
      </c>
      <c r="W523" s="1156"/>
      <c r="X523" s="1150" t="s">
        <v>782</v>
      </c>
      <c r="Y523" s="1158">
        <v>40590.68318287037</v>
      </c>
      <c r="Z523" s="1150" t="s">
        <v>634</v>
      </c>
      <c r="AA523" s="1158">
        <v>40976.56568287037</v>
      </c>
      <c r="AB523" s="1138">
        <f t="shared" si="8"/>
        <v>0</v>
      </c>
    </row>
    <row r="524" spans="1:28" x14ac:dyDescent="0.25">
      <c r="A524" s="1159">
        <v>100282</v>
      </c>
      <c r="B524" s="1159" t="s">
        <v>1331</v>
      </c>
      <c r="C524" s="1159" t="s">
        <v>1336</v>
      </c>
      <c r="D524" s="1160">
        <v>40952</v>
      </c>
      <c r="E524" s="1161">
        <v>39900000</v>
      </c>
      <c r="F524" s="1159" t="s">
        <v>387</v>
      </c>
      <c r="G524" s="1162" t="s">
        <v>611</v>
      </c>
      <c r="H524" s="1163">
        <v>2799</v>
      </c>
      <c r="I524" s="1159" t="s">
        <v>629</v>
      </c>
      <c r="J524" s="1162" t="s">
        <v>14</v>
      </c>
      <c r="K524" s="1159" t="s">
        <v>86</v>
      </c>
      <c r="L524" s="1159" t="s">
        <v>1333</v>
      </c>
      <c r="M524" s="1162" t="s">
        <v>14</v>
      </c>
      <c r="N524" s="1162" t="s">
        <v>712</v>
      </c>
      <c r="O524" s="1164">
        <v>80</v>
      </c>
      <c r="P524" s="1164">
        <v>0</v>
      </c>
      <c r="Q524" s="1164">
        <v>5</v>
      </c>
      <c r="R524" s="1159" t="s">
        <v>773</v>
      </c>
      <c r="S524" s="1159" t="s">
        <v>877</v>
      </c>
      <c r="T524" s="1159" t="s">
        <v>633</v>
      </c>
      <c r="U524" s="1165"/>
      <c r="V524" s="1159" t="s">
        <v>633</v>
      </c>
      <c r="W524" s="1165"/>
      <c r="X524" s="1159" t="s">
        <v>634</v>
      </c>
      <c r="Y524" s="1167">
        <v>40952.45006944444</v>
      </c>
      <c r="Z524" s="1159" t="s">
        <v>634</v>
      </c>
      <c r="AA524" s="1167">
        <v>40976.56512731481</v>
      </c>
      <c r="AB524" s="1138">
        <f t="shared" si="8"/>
        <v>0</v>
      </c>
    </row>
    <row r="525" spans="1:28" x14ac:dyDescent="0.25">
      <c r="A525" s="1150">
        <v>100283</v>
      </c>
      <c r="B525" s="1150" t="s">
        <v>1331</v>
      </c>
      <c r="C525" s="1150" t="s">
        <v>1337</v>
      </c>
      <c r="D525" s="1151">
        <v>40952</v>
      </c>
      <c r="E525" s="1152">
        <v>43610000</v>
      </c>
      <c r="F525" s="1150" t="s">
        <v>387</v>
      </c>
      <c r="G525" s="1153" t="s">
        <v>611</v>
      </c>
      <c r="H525" s="1154">
        <v>2799</v>
      </c>
      <c r="I525" s="1150" t="s">
        <v>629</v>
      </c>
      <c r="J525" s="1153" t="s">
        <v>14</v>
      </c>
      <c r="K525" s="1150" t="s">
        <v>86</v>
      </c>
      <c r="L525" s="1150" t="s">
        <v>1333</v>
      </c>
      <c r="M525" s="1153" t="s">
        <v>14</v>
      </c>
      <c r="N525" s="1153" t="s">
        <v>712</v>
      </c>
      <c r="O525" s="1155">
        <v>80</v>
      </c>
      <c r="P525" s="1155">
        <v>0</v>
      </c>
      <c r="Q525" s="1155">
        <v>5</v>
      </c>
      <c r="R525" s="1150" t="s">
        <v>773</v>
      </c>
      <c r="S525" s="1150" t="s">
        <v>877</v>
      </c>
      <c r="T525" s="1150" t="s">
        <v>633</v>
      </c>
      <c r="U525" s="1156"/>
      <c r="V525" s="1150" t="s">
        <v>633</v>
      </c>
      <c r="W525" s="1156"/>
      <c r="X525" s="1150" t="s">
        <v>634</v>
      </c>
      <c r="Y525" s="1158">
        <v>40952.45037037037</v>
      </c>
      <c r="Z525" s="1150" t="s">
        <v>1338</v>
      </c>
      <c r="AA525" s="1158">
        <v>41969.76768518519</v>
      </c>
      <c r="AB525" s="1138">
        <f t="shared" si="8"/>
        <v>0</v>
      </c>
    </row>
    <row r="526" spans="1:28" x14ac:dyDescent="0.25">
      <c r="A526" s="1159">
        <v>100281</v>
      </c>
      <c r="B526" s="1159" t="s">
        <v>1331</v>
      </c>
      <c r="C526" s="1159" t="s">
        <v>1339</v>
      </c>
      <c r="D526" s="1160">
        <v>40952</v>
      </c>
      <c r="E526" s="1161">
        <v>45600000</v>
      </c>
      <c r="F526" s="1159" t="s">
        <v>387</v>
      </c>
      <c r="G526" s="1162" t="s">
        <v>611</v>
      </c>
      <c r="H526" s="1163">
        <v>3199</v>
      </c>
      <c r="I526" s="1159" t="s">
        <v>629</v>
      </c>
      <c r="J526" s="1162" t="s">
        <v>14</v>
      </c>
      <c r="K526" s="1159" t="s">
        <v>86</v>
      </c>
      <c r="L526" s="1159" t="s">
        <v>1333</v>
      </c>
      <c r="M526" s="1162" t="s">
        <v>14</v>
      </c>
      <c r="N526" s="1162" t="s">
        <v>717</v>
      </c>
      <c r="O526" s="1164">
        <v>80</v>
      </c>
      <c r="P526" s="1164">
        <v>0</v>
      </c>
      <c r="Q526" s="1164">
        <v>5</v>
      </c>
      <c r="R526" s="1159" t="s">
        <v>773</v>
      </c>
      <c r="S526" s="1159" t="s">
        <v>877</v>
      </c>
      <c r="T526" s="1159" t="s">
        <v>633</v>
      </c>
      <c r="U526" s="1165"/>
      <c r="V526" s="1159" t="s">
        <v>633</v>
      </c>
      <c r="W526" s="1165"/>
      <c r="X526" s="1159" t="s">
        <v>634</v>
      </c>
      <c r="Y526" s="1167">
        <v>40952.44873842593</v>
      </c>
      <c r="Z526" s="1159" t="s">
        <v>634</v>
      </c>
      <c r="AA526" s="1167">
        <v>40976.567870370374</v>
      </c>
      <c r="AB526" s="1138">
        <f t="shared" si="8"/>
        <v>0</v>
      </c>
    </row>
    <row r="527" spans="1:28" x14ac:dyDescent="0.25">
      <c r="A527" s="1150">
        <v>100167</v>
      </c>
      <c r="B527" s="1150" t="s">
        <v>1331</v>
      </c>
      <c r="C527" s="1150" t="s">
        <v>1340</v>
      </c>
      <c r="D527" s="1151">
        <v>40942</v>
      </c>
      <c r="E527" s="1152">
        <v>46950000</v>
      </c>
      <c r="F527" s="1150" t="s">
        <v>387</v>
      </c>
      <c r="G527" s="1153" t="s">
        <v>611</v>
      </c>
      <c r="H527" s="1154">
        <v>3199</v>
      </c>
      <c r="I527" s="1150" t="s">
        <v>629</v>
      </c>
      <c r="J527" s="1153" t="s">
        <v>14</v>
      </c>
      <c r="K527" s="1150" t="s">
        <v>86</v>
      </c>
      <c r="L527" s="1150" t="s">
        <v>1333</v>
      </c>
      <c r="M527" s="1153" t="s">
        <v>14</v>
      </c>
      <c r="N527" s="1153" t="s">
        <v>717</v>
      </c>
      <c r="O527" s="1155">
        <v>80</v>
      </c>
      <c r="P527" s="1155">
        <v>0</v>
      </c>
      <c r="Q527" s="1155">
        <v>5</v>
      </c>
      <c r="R527" s="1150" t="s">
        <v>773</v>
      </c>
      <c r="S527" s="1150" t="s">
        <v>877</v>
      </c>
      <c r="T527" s="1150" t="s">
        <v>633</v>
      </c>
      <c r="U527" s="1156"/>
      <c r="V527" s="1150" t="s">
        <v>633</v>
      </c>
      <c r="W527" s="1156"/>
      <c r="X527" s="1150" t="s">
        <v>786</v>
      </c>
      <c r="Y527" s="1158">
        <v>40942.530960648146</v>
      </c>
      <c r="Z527" s="1150" t="s">
        <v>634</v>
      </c>
      <c r="AA527" s="1158">
        <v>41498.74986111111</v>
      </c>
      <c r="AB527" s="1138">
        <f t="shared" si="8"/>
        <v>0</v>
      </c>
    </row>
    <row r="528" ht="24" customHeight="1" spans="1:28" x14ac:dyDescent="0.25">
      <c r="A528" s="1159" t="s">
        <v>1341</v>
      </c>
      <c r="B528" s="1159" t="s">
        <v>1331</v>
      </c>
      <c r="C528" s="1159" t="s">
        <v>1342</v>
      </c>
      <c r="D528" s="1160">
        <v>40289</v>
      </c>
      <c r="E528" s="1161">
        <v>41990000</v>
      </c>
      <c r="F528" s="1159" t="s">
        <v>387</v>
      </c>
      <c r="G528" s="1162" t="s">
        <v>611</v>
      </c>
      <c r="H528" s="1163">
        <v>3199</v>
      </c>
      <c r="I528" s="1159" t="s">
        <v>629</v>
      </c>
      <c r="J528" s="1162" t="s">
        <v>14</v>
      </c>
      <c r="K528" s="1159" t="s">
        <v>86</v>
      </c>
      <c r="L528" s="1159" t="s">
        <v>1333</v>
      </c>
      <c r="M528" s="1162" t="s">
        <v>14</v>
      </c>
      <c r="N528" s="1162" t="s">
        <v>717</v>
      </c>
      <c r="O528" s="1164">
        <v>80</v>
      </c>
      <c r="P528" s="1164">
        <v>0</v>
      </c>
      <c r="Q528" s="1164">
        <v>5</v>
      </c>
      <c r="R528" s="1159" t="s">
        <v>773</v>
      </c>
      <c r="S528" s="1159" t="s">
        <v>877</v>
      </c>
      <c r="T528" s="1159" t="s">
        <v>633</v>
      </c>
      <c r="U528" s="1165"/>
      <c r="V528" s="1159" t="s">
        <v>633</v>
      </c>
      <c r="W528" s="1165"/>
      <c r="X528" s="1159" t="s">
        <v>1250</v>
      </c>
      <c r="Y528" s="1167">
        <v>40289.465474537035</v>
      </c>
      <c r="Z528" s="1159" t="s">
        <v>634</v>
      </c>
      <c r="AA528" s="1167">
        <v>40976.56774305555</v>
      </c>
      <c r="AB528" s="1138">
        <f t="shared" si="8"/>
        <v>0</v>
      </c>
    </row>
    <row r="529" spans="1:28" x14ac:dyDescent="0.25">
      <c r="A529" s="1150">
        <v>100272</v>
      </c>
      <c r="B529" s="1150" t="s">
        <v>1331</v>
      </c>
      <c r="C529" s="1150" t="s">
        <v>1343</v>
      </c>
      <c r="D529" s="1151">
        <v>40952</v>
      </c>
      <c r="E529" s="1152">
        <v>56340000</v>
      </c>
      <c r="F529" s="1150" t="s">
        <v>387</v>
      </c>
      <c r="G529" s="1153" t="s">
        <v>611</v>
      </c>
      <c r="H529" s="1154">
        <v>3199</v>
      </c>
      <c r="I529" s="1150" t="s">
        <v>629</v>
      </c>
      <c r="J529" s="1153" t="s">
        <v>14</v>
      </c>
      <c r="K529" s="1150" t="s">
        <v>86</v>
      </c>
      <c r="L529" s="1150" t="s">
        <v>1344</v>
      </c>
      <c r="M529" s="1153" t="s">
        <v>14</v>
      </c>
      <c r="N529" s="1153" t="s">
        <v>717</v>
      </c>
      <c r="O529" s="1155">
        <v>83</v>
      </c>
      <c r="P529" s="1155">
        <v>0</v>
      </c>
      <c r="Q529" s="1155">
        <v>5</v>
      </c>
      <c r="R529" s="1150" t="s">
        <v>773</v>
      </c>
      <c r="S529" s="1150" t="s">
        <v>877</v>
      </c>
      <c r="T529" s="1150" t="s">
        <v>719</v>
      </c>
      <c r="U529" s="1157">
        <v>188500</v>
      </c>
      <c r="V529" s="1150" t="s">
        <v>719</v>
      </c>
      <c r="W529" s="1157">
        <v>188500</v>
      </c>
      <c r="X529" s="1150" t="s">
        <v>634</v>
      </c>
      <c r="Y529" s="1158">
        <v>40952.409108796295</v>
      </c>
      <c r="Z529" s="1150" t="s">
        <v>635</v>
      </c>
      <c r="AA529" s="1158">
        <v>42557.48648148148</v>
      </c>
      <c r="AB529" s="1138">
        <f t="shared" si="8"/>
        <v>377000</v>
      </c>
    </row>
    <row r="530" spans="1:28" x14ac:dyDescent="0.25">
      <c r="A530" s="1159" t="s">
        <v>1345</v>
      </c>
      <c r="B530" s="1159" t="s">
        <v>1331</v>
      </c>
      <c r="C530" s="1159" t="s">
        <v>1346</v>
      </c>
      <c r="D530" s="1160">
        <v>40542</v>
      </c>
      <c r="E530" s="1161">
        <v>63540000</v>
      </c>
      <c r="F530" s="1159" t="s">
        <v>387</v>
      </c>
      <c r="G530" s="1162" t="s">
        <v>611</v>
      </c>
      <c r="H530" s="1163">
        <v>3199</v>
      </c>
      <c r="I530" s="1159" t="s">
        <v>629</v>
      </c>
      <c r="J530" s="1162" t="s">
        <v>14</v>
      </c>
      <c r="K530" s="1159" t="s">
        <v>86</v>
      </c>
      <c r="L530" s="1159" t="s">
        <v>1344</v>
      </c>
      <c r="M530" s="1162" t="s">
        <v>14</v>
      </c>
      <c r="N530" s="1162" t="s">
        <v>717</v>
      </c>
      <c r="O530" s="1164">
        <v>83</v>
      </c>
      <c r="P530" s="1164">
        <v>0</v>
      </c>
      <c r="Q530" s="1164">
        <v>5</v>
      </c>
      <c r="R530" s="1159" t="s">
        <v>773</v>
      </c>
      <c r="S530" s="1159" t="s">
        <v>877</v>
      </c>
      <c r="T530" s="1159" t="s">
        <v>719</v>
      </c>
      <c r="U530" s="1166">
        <v>188500</v>
      </c>
      <c r="V530" s="1159" t="s">
        <v>719</v>
      </c>
      <c r="W530" s="1166">
        <v>188500</v>
      </c>
      <c r="X530" s="1159" t="s">
        <v>782</v>
      </c>
      <c r="Y530" s="1167">
        <v>40542.6575</v>
      </c>
      <c r="Z530" s="1159" t="s">
        <v>635</v>
      </c>
      <c r="AA530" s="1167">
        <v>42557.48662037037</v>
      </c>
      <c r="AB530" s="1138">
        <f t="shared" si="8"/>
        <v>377000</v>
      </c>
    </row>
    <row r="531" spans="1:28" x14ac:dyDescent="0.25">
      <c r="A531" s="1150">
        <v>100015</v>
      </c>
      <c r="B531" s="1150" t="s">
        <v>1331</v>
      </c>
      <c r="C531" s="1150" t="s">
        <v>1347</v>
      </c>
      <c r="D531" s="1151">
        <v>40872</v>
      </c>
      <c r="E531" s="1152">
        <v>77790000</v>
      </c>
      <c r="F531" s="1150" t="s">
        <v>387</v>
      </c>
      <c r="G531" s="1153" t="s">
        <v>611</v>
      </c>
      <c r="H531" s="1154">
        <v>3598</v>
      </c>
      <c r="I531" s="1150" t="s">
        <v>629</v>
      </c>
      <c r="J531" s="1153" t="s">
        <v>14</v>
      </c>
      <c r="K531" s="1150" t="s">
        <v>86</v>
      </c>
      <c r="L531" s="1150" t="s">
        <v>1344</v>
      </c>
      <c r="M531" s="1153" t="s">
        <v>630</v>
      </c>
      <c r="N531" s="1153" t="s">
        <v>1311</v>
      </c>
      <c r="O531" s="1155">
        <v>83</v>
      </c>
      <c r="P531" s="1155">
        <v>0</v>
      </c>
      <c r="Q531" s="1155">
        <v>5</v>
      </c>
      <c r="R531" s="1150" t="s">
        <v>773</v>
      </c>
      <c r="S531" s="1150" t="s">
        <v>877</v>
      </c>
      <c r="T531" s="1150" t="s">
        <v>633</v>
      </c>
      <c r="U531" s="1156"/>
      <c r="V531" s="1150" t="s">
        <v>633</v>
      </c>
      <c r="W531" s="1156"/>
      <c r="X531" s="1150" t="s">
        <v>786</v>
      </c>
      <c r="Y531" s="1158">
        <v>40872.652916666666</v>
      </c>
      <c r="Z531" s="1150" t="s">
        <v>635</v>
      </c>
      <c r="AA531" s="1158">
        <v>42488.658055555556</v>
      </c>
      <c r="AB531" s="1138">
        <f t="shared" si="8"/>
        <v>0</v>
      </c>
    </row>
    <row r="532" spans="1:28" x14ac:dyDescent="0.25">
      <c r="A532" s="1159">
        <v>100971</v>
      </c>
      <c r="B532" s="1159" t="s">
        <v>1331</v>
      </c>
      <c r="C532" s="1159" t="s">
        <v>1348</v>
      </c>
      <c r="D532" s="1160">
        <v>41775</v>
      </c>
      <c r="E532" s="1161">
        <v>62360000</v>
      </c>
      <c r="F532" s="1159" t="s">
        <v>387</v>
      </c>
      <c r="G532" s="1162" t="s">
        <v>611</v>
      </c>
      <c r="H532" s="1163">
        <v>3598</v>
      </c>
      <c r="I532" s="1159" t="s">
        <v>629</v>
      </c>
      <c r="J532" s="1162" t="s">
        <v>14</v>
      </c>
      <c r="K532" s="1159" t="s">
        <v>86</v>
      </c>
      <c r="L532" s="1159" t="s">
        <v>1344</v>
      </c>
      <c r="M532" s="1162" t="s">
        <v>14</v>
      </c>
      <c r="N532" s="1162" t="s">
        <v>1311</v>
      </c>
      <c r="O532" s="1164">
        <v>83</v>
      </c>
      <c r="P532" s="1164">
        <v>0</v>
      </c>
      <c r="Q532" s="1164">
        <v>5</v>
      </c>
      <c r="R532" s="1159" t="s">
        <v>773</v>
      </c>
      <c r="S532" s="1159" t="s">
        <v>877</v>
      </c>
      <c r="T532" s="1159" t="s">
        <v>719</v>
      </c>
      <c r="U532" s="1166">
        <v>188500</v>
      </c>
      <c r="V532" s="1159" t="s">
        <v>719</v>
      </c>
      <c r="W532" s="1166">
        <v>188500</v>
      </c>
      <c r="X532" s="1159" t="s">
        <v>634</v>
      </c>
      <c r="Y532" s="1167">
        <v>41775.497766203705</v>
      </c>
      <c r="Z532" s="1159" t="s">
        <v>635</v>
      </c>
      <c r="AA532" s="1167">
        <v>42557.48767361111</v>
      </c>
      <c r="AB532" s="1138">
        <f t="shared" si="8"/>
        <v>377000</v>
      </c>
    </row>
    <row r="533" spans="1:28" x14ac:dyDescent="0.25">
      <c r="A533" s="1150">
        <v>100275</v>
      </c>
      <c r="B533" s="1150" t="s">
        <v>1331</v>
      </c>
      <c r="C533" s="1150" t="s">
        <v>1349</v>
      </c>
      <c r="D533" s="1151">
        <v>40952</v>
      </c>
      <c r="E533" s="1152">
        <v>91430000</v>
      </c>
      <c r="F533" s="1150" t="s">
        <v>387</v>
      </c>
      <c r="G533" s="1153" t="s">
        <v>611</v>
      </c>
      <c r="H533" s="1154">
        <v>3598</v>
      </c>
      <c r="I533" s="1150" t="s">
        <v>629</v>
      </c>
      <c r="J533" s="1153" t="s">
        <v>14</v>
      </c>
      <c r="K533" s="1150" t="s">
        <v>86</v>
      </c>
      <c r="L533" s="1150" t="s">
        <v>1344</v>
      </c>
      <c r="M533" s="1153" t="s">
        <v>14</v>
      </c>
      <c r="N533" s="1153" t="s">
        <v>1311</v>
      </c>
      <c r="O533" s="1155">
        <v>83</v>
      </c>
      <c r="P533" s="1155">
        <v>0</v>
      </c>
      <c r="Q533" s="1155">
        <v>5</v>
      </c>
      <c r="R533" s="1150" t="s">
        <v>773</v>
      </c>
      <c r="S533" s="1150" t="s">
        <v>877</v>
      </c>
      <c r="T533" s="1150" t="s">
        <v>633</v>
      </c>
      <c r="U533" s="1156"/>
      <c r="V533" s="1150" t="s">
        <v>633</v>
      </c>
      <c r="W533" s="1156"/>
      <c r="X533" s="1150" t="s">
        <v>634</v>
      </c>
      <c r="Y533" s="1158">
        <v>40952.411469907405</v>
      </c>
      <c r="Z533" s="1150" t="s">
        <v>635</v>
      </c>
      <c r="AA533" s="1158">
        <v>42557.49030092593</v>
      </c>
      <c r="AB533" s="1138">
        <f t="shared" si="8"/>
        <v>0</v>
      </c>
    </row>
    <row r="534" spans="1:28" x14ac:dyDescent="0.25">
      <c r="A534" s="1159">
        <v>100970</v>
      </c>
      <c r="B534" s="1159" t="s">
        <v>1331</v>
      </c>
      <c r="C534" s="1159" t="s">
        <v>1350</v>
      </c>
      <c r="D534" s="1160">
        <v>41774</v>
      </c>
      <c r="E534" s="1161">
        <v>67990000</v>
      </c>
      <c r="F534" s="1159" t="s">
        <v>387</v>
      </c>
      <c r="G534" s="1162" t="s">
        <v>611</v>
      </c>
      <c r="H534" s="1163">
        <v>3598</v>
      </c>
      <c r="I534" s="1159" t="s">
        <v>629</v>
      </c>
      <c r="J534" s="1162" t="s">
        <v>14</v>
      </c>
      <c r="K534" s="1159" t="s">
        <v>86</v>
      </c>
      <c r="L534" s="1159" t="s">
        <v>1344</v>
      </c>
      <c r="M534" s="1162" t="s">
        <v>14</v>
      </c>
      <c r="N534" s="1162" t="s">
        <v>1311</v>
      </c>
      <c r="O534" s="1164">
        <v>83</v>
      </c>
      <c r="P534" s="1164">
        <v>0</v>
      </c>
      <c r="Q534" s="1164">
        <v>5</v>
      </c>
      <c r="R534" s="1159" t="s">
        <v>773</v>
      </c>
      <c r="S534" s="1159" t="s">
        <v>877</v>
      </c>
      <c r="T534" s="1159" t="s">
        <v>719</v>
      </c>
      <c r="U534" s="1166">
        <v>188500</v>
      </c>
      <c r="V534" s="1159" t="s">
        <v>719</v>
      </c>
      <c r="W534" s="1166">
        <v>188500</v>
      </c>
      <c r="X534" s="1159" t="s">
        <v>634</v>
      </c>
      <c r="Y534" s="1167">
        <v>41774.74208333333</v>
      </c>
      <c r="Z534" s="1159" t="s">
        <v>635</v>
      </c>
      <c r="AA534" s="1167">
        <v>42557.48981481481</v>
      </c>
      <c r="AB534" s="1138">
        <f t="shared" si="8"/>
        <v>377000</v>
      </c>
    </row>
    <row r="535" spans="1:28" x14ac:dyDescent="0.25">
      <c r="A535" s="1150">
        <v>108109</v>
      </c>
      <c r="B535" s="1150" t="s">
        <v>1331</v>
      </c>
      <c r="C535" s="1150" t="s">
        <v>1351</v>
      </c>
      <c r="D535" s="1151">
        <v>42557</v>
      </c>
      <c r="E535" s="1152">
        <v>79240000</v>
      </c>
      <c r="F535" s="1150" t="s">
        <v>387</v>
      </c>
      <c r="G535" s="1153" t="s">
        <v>611</v>
      </c>
      <c r="H535" s="1154">
        <v>3598</v>
      </c>
      <c r="I535" s="1150" t="s">
        <v>629</v>
      </c>
      <c r="J535" s="1153" t="s">
        <v>14</v>
      </c>
      <c r="K535" s="1150" t="s">
        <v>86</v>
      </c>
      <c r="L535" s="1150" t="s">
        <v>1344</v>
      </c>
      <c r="M535" s="1153" t="s">
        <v>14</v>
      </c>
      <c r="N535" s="1153" t="s">
        <v>1311</v>
      </c>
      <c r="O535" s="1155">
        <v>83</v>
      </c>
      <c r="P535" s="1155">
        <v>0</v>
      </c>
      <c r="Q535" s="1155">
        <v>5</v>
      </c>
      <c r="R535" s="1150" t="s">
        <v>773</v>
      </c>
      <c r="S535" s="1150" t="s">
        <v>877</v>
      </c>
      <c r="T535" s="1150" t="s">
        <v>719</v>
      </c>
      <c r="U535" s="1157">
        <v>188500</v>
      </c>
      <c r="V535" s="1150" t="s">
        <v>719</v>
      </c>
      <c r="W535" s="1157">
        <v>188500</v>
      </c>
      <c r="X535" s="1150" t="s">
        <v>635</v>
      </c>
      <c r="Y535" s="1158">
        <v>42557.48934027778</v>
      </c>
      <c r="Z535" s="1150" t="s">
        <v>635</v>
      </c>
      <c r="AA535" s="1158">
        <v>42557.48966435185</v>
      </c>
      <c r="AB535" s="1138">
        <f t="shared" si="8"/>
        <v>377000</v>
      </c>
    </row>
    <row r="536" spans="1:28" x14ac:dyDescent="0.25">
      <c r="A536" s="1159" t="s">
        <v>1352</v>
      </c>
      <c r="B536" s="1159" t="s">
        <v>1331</v>
      </c>
      <c r="C536" s="1159" t="s">
        <v>1353</v>
      </c>
      <c r="D536" s="1160">
        <v>39568</v>
      </c>
      <c r="E536" s="1161">
        <v>92120000</v>
      </c>
      <c r="F536" s="1159" t="s">
        <v>387</v>
      </c>
      <c r="G536" s="1162" t="s">
        <v>611</v>
      </c>
      <c r="H536" s="1163">
        <v>4966</v>
      </c>
      <c r="I536" s="1159" t="s">
        <v>629</v>
      </c>
      <c r="J536" s="1162" t="s">
        <v>14</v>
      </c>
      <c r="K536" s="1159" t="s">
        <v>86</v>
      </c>
      <c r="L536" s="1159" t="s">
        <v>1344</v>
      </c>
      <c r="M536" s="1162" t="s">
        <v>14</v>
      </c>
      <c r="N536" s="1162" t="s">
        <v>1306</v>
      </c>
      <c r="O536" s="1164">
        <v>83</v>
      </c>
      <c r="P536" s="1164">
        <v>0</v>
      </c>
      <c r="Q536" s="1164">
        <v>5</v>
      </c>
      <c r="R536" s="1159" t="s">
        <v>773</v>
      </c>
      <c r="S536" s="1159" t="s">
        <v>877</v>
      </c>
      <c r="T536" s="1159" t="s">
        <v>719</v>
      </c>
      <c r="U536" s="1166">
        <v>188500</v>
      </c>
      <c r="V536" s="1159" t="s">
        <v>719</v>
      </c>
      <c r="W536" s="1166">
        <v>188500</v>
      </c>
      <c r="X536" s="1159" t="s">
        <v>1250</v>
      </c>
      <c r="Y536" s="1167">
        <v>39568.85325231482</v>
      </c>
      <c r="Z536" s="1159" t="s">
        <v>635</v>
      </c>
      <c r="AA536" s="1167">
        <v>42557.49657407407</v>
      </c>
      <c r="AB536" s="1138">
        <f t="shared" si="8"/>
        <v>377000</v>
      </c>
    </row>
    <row r="537" spans="1:28" x14ac:dyDescent="0.25">
      <c r="A537" s="1150">
        <v>107826</v>
      </c>
      <c r="B537" s="1150" t="s">
        <v>1331</v>
      </c>
      <c r="C537" s="1150" t="s">
        <v>1354</v>
      </c>
      <c r="D537" s="1151">
        <v>42384</v>
      </c>
      <c r="E537" s="1152">
        <v>111430000</v>
      </c>
      <c r="F537" s="1150" t="s">
        <v>387</v>
      </c>
      <c r="G537" s="1153" t="s">
        <v>611</v>
      </c>
      <c r="H537" s="1154">
        <v>4966</v>
      </c>
      <c r="I537" s="1150" t="s">
        <v>629</v>
      </c>
      <c r="J537" s="1153" t="s">
        <v>14</v>
      </c>
      <c r="K537" s="1150" t="s">
        <v>86</v>
      </c>
      <c r="L537" s="1150" t="s">
        <v>1344</v>
      </c>
      <c r="M537" s="1153" t="s">
        <v>14</v>
      </c>
      <c r="N537" s="1153" t="s">
        <v>1306</v>
      </c>
      <c r="O537" s="1155">
        <v>83</v>
      </c>
      <c r="P537" s="1155">
        <v>0</v>
      </c>
      <c r="Q537" s="1155">
        <v>5</v>
      </c>
      <c r="R537" s="1150" t="s">
        <v>773</v>
      </c>
      <c r="S537" s="1150" t="s">
        <v>877</v>
      </c>
      <c r="T537" s="1150" t="s">
        <v>719</v>
      </c>
      <c r="U537" s="1157">
        <v>188500</v>
      </c>
      <c r="V537" s="1150" t="s">
        <v>719</v>
      </c>
      <c r="W537" s="1157">
        <v>188500</v>
      </c>
      <c r="X537" s="1150" t="s">
        <v>774</v>
      </c>
      <c r="Y537" s="1158">
        <v>42384.81173611111</v>
      </c>
      <c r="Z537" s="1150" t="s">
        <v>635</v>
      </c>
      <c r="AA537" s="1158">
        <v>42557.49680555555</v>
      </c>
      <c r="AB537" s="1138">
        <f t="shared" si="8"/>
        <v>377000</v>
      </c>
    </row>
    <row r="538" spans="1:28" x14ac:dyDescent="0.25">
      <c r="A538" s="1159">
        <v>108110</v>
      </c>
      <c r="B538" s="1159" t="s">
        <v>1331</v>
      </c>
      <c r="C538" s="1159" t="s">
        <v>1355</v>
      </c>
      <c r="D538" s="1160">
        <v>42557</v>
      </c>
      <c r="E538" s="1161">
        <v>76040000</v>
      </c>
      <c r="F538" s="1159" t="s">
        <v>387</v>
      </c>
      <c r="G538" s="1162" t="s">
        <v>611</v>
      </c>
      <c r="H538" s="1163">
        <v>4966</v>
      </c>
      <c r="I538" s="1159" t="s">
        <v>629</v>
      </c>
      <c r="J538" s="1162" t="s">
        <v>14</v>
      </c>
      <c r="K538" s="1159" t="s">
        <v>86</v>
      </c>
      <c r="L538" s="1159" t="s">
        <v>1344</v>
      </c>
      <c r="M538" s="1162" t="s">
        <v>14</v>
      </c>
      <c r="N538" s="1162" t="s">
        <v>1306</v>
      </c>
      <c r="O538" s="1164">
        <v>83</v>
      </c>
      <c r="P538" s="1164">
        <v>0</v>
      </c>
      <c r="Q538" s="1164">
        <v>5</v>
      </c>
      <c r="R538" s="1159" t="s">
        <v>773</v>
      </c>
      <c r="S538" s="1159" t="s">
        <v>877</v>
      </c>
      <c r="T538" s="1159" t="s">
        <v>719</v>
      </c>
      <c r="U538" s="1166">
        <v>188500</v>
      </c>
      <c r="V538" s="1159" t="s">
        <v>719</v>
      </c>
      <c r="W538" s="1166">
        <v>188500</v>
      </c>
      <c r="X538" s="1159" t="s">
        <v>635</v>
      </c>
      <c r="Y538" s="1167">
        <v>42557.49541666667</v>
      </c>
      <c r="Z538" s="1159" t="s">
        <v>635</v>
      </c>
      <c r="AA538" s="1167">
        <v>42557.49637731482</v>
      </c>
      <c r="AB538" s="1138">
        <f t="shared" si="8"/>
        <v>377000</v>
      </c>
    </row>
    <row r="539" spans="1:28" x14ac:dyDescent="0.25">
      <c r="A539" s="1150">
        <v>107825</v>
      </c>
      <c r="B539" s="1150" t="s">
        <v>1331</v>
      </c>
      <c r="C539" s="1150" t="s">
        <v>1355</v>
      </c>
      <c r="D539" s="1151">
        <v>42384</v>
      </c>
      <c r="E539" s="1152">
        <v>76040000</v>
      </c>
      <c r="F539" s="1150" t="s">
        <v>387</v>
      </c>
      <c r="G539" s="1153" t="s">
        <v>611</v>
      </c>
      <c r="H539" s="1154">
        <v>4966</v>
      </c>
      <c r="I539" s="1150" t="s">
        <v>629</v>
      </c>
      <c r="J539" s="1153" t="s">
        <v>14</v>
      </c>
      <c r="K539" s="1150" t="s">
        <v>86</v>
      </c>
      <c r="L539" s="1150" t="s">
        <v>1344</v>
      </c>
      <c r="M539" s="1153" t="s">
        <v>14</v>
      </c>
      <c r="N539" s="1153" t="s">
        <v>1306</v>
      </c>
      <c r="O539" s="1155">
        <v>83</v>
      </c>
      <c r="P539" s="1155">
        <v>0</v>
      </c>
      <c r="Q539" s="1155">
        <v>5</v>
      </c>
      <c r="R539" s="1150" t="s">
        <v>773</v>
      </c>
      <c r="S539" s="1150" t="s">
        <v>877</v>
      </c>
      <c r="T539" s="1150" t="s">
        <v>633</v>
      </c>
      <c r="U539" s="1156"/>
      <c r="V539" s="1150" t="s">
        <v>633</v>
      </c>
      <c r="W539" s="1156"/>
      <c r="X539" s="1150" t="s">
        <v>774</v>
      </c>
      <c r="Y539" s="1158">
        <v>42384.77758101852</v>
      </c>
      <c r="Z539" s="1150" t="s">
        <v>774</v>
      </c>
      <c r="AA539" s="1158">
        <v>42384.77758101852</v>
      </c>
      <c r="AB539" s="1138">
        <f t="shared" si="8"/>
        <v>0</v>
      </c>
    </row>
    <row r="540" ht="24" customHeight="1" spans="1:28" x14ac:dyDescent="0.25">
      <c r="A540" s="1159">
        <v>110698</v>
      </c>
      <c r="B540" s="1159" t="s">
        <v>1356</v>
      </c>
      <c r="C540" s="1159" t="s">
        <v>1357</v>
      </c>
      <c r="D540" s="1160">
        <v>43756</v>
      </c>
      <c r="E540" s="1161">
        <v>51760000</v>
      </c>
      <c r="F540" s="1159" t="s">
        <v>610</v>
      </c>
      <c r="G540" s="1162" t="s">
        <v>611</v>
      </c>
      <c r="H540" s="1163">
        <v>2199</v>
      </c>
      <c r="I540" s="1159" t="s">
        <v>629</v>
      </c>
      <c r="J540" s="1162" t="s">
        <v>14</v>
      </c>
      <c r="K540" s="1159" t="s">
        <v>76</v>
      </c>
      <c r="L540" s="1159" t="s">
        <v>1356</v>
      </c>
      <c r="M540" s="1162" t="s">
        <v>14</v>
      </c>
      <c r="N540" s="1162" t="s">
        <v>1323</v>
      </c>
      <c r="O540" s="1164">
        <v>80</v>
      </c>
      <c r="P540" s="1164">
        <v>0</v>
      </c>
      <c r="Q540" s="1164">
        <v>11</v>
      </c>
      <c r="R540" s="1159" t="s">
        <v>842</v>
      </c>
      <c r="S540" s="1159" t="s">
        <v>718</v>
      </c>
      <c r="T540" s="1159" t="s">
        <v>1076</v>
      </c>
      <c r="U540" s="1166">
        <v>176200</v>
      </c>
      <c r="V540" s="1159" t="s">
        <v>1076</v>
      </c>
      <c r="W540" s="1166">
        <v>176200</v>
      </c>
      <c r="X540" s="1159" t="s">
        <v>618</v>
      </c>
      <c r="Y540" s="1167">
        <v>43756.631157407406</v>
      </c>
      <c r="Z540" s="1159" t="s">
        <v>618</v>
      </c>
      <c r="AA540" s="1167">
        <v>43756.66259259259</v>
      </c>
      <c r="AB540" s="1138">
        <f t="shared" si="8"/>
        <v>352400</v>
      </c>
    </row>
    <row r="541" ht="24" customHeight="1" spans="1:28" x14ac:dyDescent="0.25">
      <c r="A541" s="1150">
        <v>110581</v>
      </c>
      <c r="B541" s="1150" t="s">
        <v>1356</v>
      </c>
      <c r="C541" s="1150" t="s">
        <v>1358</v>
      </c>
      <c r="D541" s="1151">
        <v>43717</v>
      </c>
      <c r="E541" s="1152">
        <v>31600000</v>
      </c>
      <c r="F541" s="1150" t="s">
        <v>387</v>
      </c>
      <c r="G541" s="1153" t="s">
        <v>611</v>
      </c>
      <c r="H541" s="1154">
        <v>3342</v>
      </c>
      <c r="I541" s="1150" t="s">
        <v>612</v>
      </c>
      <c r="J541" s="1153" t="s">
        <v>14</v>
      </c>
      <c r="K541" s="1150" t="s">
        <v>76</v>
      </c>
      <c r="L541" s="1150" t="s">
        <v>1356</v>
      </c>
      <c r="M541" s="1153" t="s">
        <v>14</v>
      </c>
      <c r="N541" s="1153" t="s">
        <v>1359</v>
      </c>
      <c r="O541" s="1155">
        <v>80</v>
      </c>
      <c r="P541" s="1156"/>
      <c r="Q541" s="1155">
        <v>11</v>
      </c>
      <c r="R541" s="1150" t="s">
        <v>690</v>
      </c>
      <c r="S541" s="1150" t="s">
        <v>718</v>
      </c>
      <c r="T541" s="1150" t="s">
        <v>1360</v>
      </c>
      <c r="U541" s="1157">
        <v>133300</v>
      </c>
      <c r="V541" s="1150" t="s">
        <v>1360</v>
      </c>
      <c r="W541" s="1157">
        <v>133300</v>
      </c>
      <c r="X541" s="1150" t="s">
        <v>618</v>
      </c>
      <c r="Y541" s="1158">
        <v>43717.555659722224</v>
      </c>
      <c r="Z541" s="1150" t="s">
        <v>618</v>
      </c>
      <c r="AA541" s="1158">
        <v>43920.70887731481</v>
      </c>
      <c r="AB541" s="1138">
        <f t="shared" si="8"/>
        <v>266600</v>
      </c>
    </row>
    <row r="542" spans="1:28" x14ac:dyDescent="0.25">
      <c r="A542" s="1159">
        <v>110578</v>
      </c>
      <c r="B542" s="1159" t="s">
        <v>1356</v>
      </c>
      <c r="C542" s="1159" t="s">
        <v>1361</v>
      </c>
      <c r="D542" s="1160">
        <v>43717</v>
      </c>
      <c r="E542" s="1161">
        <v>33470000</v>
      </c>
      <c r="F542" s="1159" t="s">
        <v>387</v>
      </c>
      <c r="G542" s="1162" t="s">
        <v>611</v>
      </c>
      <c r="H542" s="1163">
        <v>3342</v>
      </c>
      <c r="I542" s="1159" t="s">
        <v>612</v>
      </c>
      <c r="J542" s="1162" t="s">
        <v>14</v>
      </c>
      <c r="K542" s="1159" t="s">
        <v>76</v>
      </c>
      <c r="L542" s="1159" t="s">
        <v>1356</v>
      </c>
      <c r="M542" s="1162" t="s">
        <v>14</v>
      </c>
      <c r="N542" s="1162" t="s">
        <v>1359</v>
      </c>
      <c r="O542" s="1164">
        <v>80</v>
      </c>
      <c r="P542" s="1165"/>
      <c r="Q542" s="1164">
        <v>7</v>
      </c>
      <c r="R542" s="1159" t="s">
        <v>690</v>
      </c>
      <c r="S542" s="1159" t="s">
        <v>718</v>
      </c>
      <c r="T542" s="1159" t="s">
        <v>1081</v>
      </c>
      <c r="U542" s="1166">
        <v>163000</v>
      </c>
      <c r="V542" s="1159" t="s">
        <v>1081</v>
      </c>
      <c r="W542" s="1166">
        <v>163000</v>
      </c>
      <c r="X542" s="1159" t="s">
        <v>618</v>
      </c>
      <c r="Y542" s="1167">
        <v>43717.547800925924</v>
      </c>
      <c r="Z542" s="1159" t="s">
        <v>618</v>
      </c>
      <c r="AA542" s="1167">
        <v>43897.61667824074</v>
      </c>
      <c r="AB542" s="1138">
        <f t="shared" si="8"/>
        <v>326000</v>
      </c>
    </row>
    <row r="543" spans="1:28" x14ac:dyDescent="0.25">
      <c r="A543" s="1150">
        <v>110577</v>
      </c>
      <c r="B543" s="1150" t="s">
        <v>1356</v>
      </c>
      <c r="C543" s="1150" t="s">
        <v>1362</v>
      </c>
      <c r="D543" s="1151">
        <v>43717</v>
      </c>
      <c r="E543" s="1152">
        <v>37270000</v>
      </c>
      <c r="F543" s="1150" t="s">
        <v>387</v>
      </c>
      <c r="G543" s="1153" t="s">
        <v>611</v>
      </c>
      <c r="H543" s="1154">
        <v>3342</v>
      </c>
      <c r="I543" s="1150" t="s">
        <v>612</v>
      </c>
      <c r="J543" s="1153" t="s">
        <v>14</v>
      </c>
      <c r="K543" s="1150" t="s">
        <v>76</v>
      </c>
      <c r="L543" s="1150" t="s">
        <v>1356</v>
      </c>
      <c r="M543" s="1153" t="s">
        <v>14</v>
      </c>
      <c r="N543" s="1153" t="s">
        <v>1359</v>
      </c>
      <c r="O543" s="1155">
        <v>80</v>
      </c>
      <c r="P543" s="1156"/>
      <c r="Q543" s="1155">
        <v>7</v>
      </c>
      <c r="R543" s="1150" t="s">
        <v>690</v>
      </c>
      <c r="S543" s="1150" t="s">
        <v>718</v>
      </c>
      <c r="T543" s="1150" t="s">
        <v>1081</v>
      </c>
      <c r="U543" s="1157">
        <v>163000</v>
      </c>
      <c r="V543" s="1150" t="s">
        <v>1081</v>
      </c>
      <c r="W543" s="1157">
        <v>163000</v>
      </c>
      <c r="X543" s="1150" t="s">
        <v>618</v>
      </c>
      <c r="Y543" s="1158">
        <v>43717.54629629629</v>
      </c>
      <c r="Z543" s="1150" t="s">
        <v>618</v>
      </c>
      <c r="AA543" s="1158">
        <v>43897.616898148146</v>
      </c>
      <c r="AB543" s="1138">
        <f t="shared" si="8"/>
        <v>326000</v>
      </c>
    </row>
    <row r="544" ht="24" customHeight="1" spans="1:28" x14ac:dyDescent="0.25">
      <c r="A544" s="1159">
        <v>110573</v>
      </c>
      <c r="B544" s="1159" t="s">
        <v>1356</v>
      </c>
      <c r="C544" s="1159" t="s">
        <v>1363</v>
      </c>
      <c r="D544" s="1160">
        <v>43717</v>
      </c>
      <c r="E544" s="1161">
        <v>36600000</v>
      </c>
      <c r="F544" s="1159" t="s">
        <v>387</v>
      </c>
      <c r="G544" s="1162" t="s">
        <v>611</v>
      </c>
      <c r="H544" s="1163">
        <v>3342</v>
      </c>
      <c r="I544" s="1159" t="s">
        <v>612</v>
      </c>
      <c r="J544" s="1162" t="s">
        <v>14</v>
      </c>
      <c r="K544" s="1159" t="s">
        <v>76</v>
      </c>
      <c r="L544" s="1159" t="s">
        <v>1356</v>
      </c>
      <c r="M544" s="1162" t="s">
        <v>14</v>
      </c>
      <c r="N544" s="1162" t="s">
        <v>1359</v>
      </c>
      <c r="O544" s="1164">
        <v>80</v>
      </c>
      <c r="P544" s="1164">
        <v>0</v>
      </c>
      <c r="Q544" s="1164">
        <v>9</v>
      </c>
      <c r="R544" s="1159" t="s">
        <v>690</v>
      </c>
      <c r="S544" s="1159" t="s">
        <v>718</v>
      </c>
      <c r="T544" s="1159" t="s">
        <v>1081</v>
      </c>
      <c r="U544" s="1166">
        <v>163000</v>
      </c>
      <c r="V544" s="1159" t="s">
        <v>1081</v>
      </c>
      <c r="W544" s="1166">
        <v>163000</v>
      </c>
      <c r="X544" s="1159" t="s">
        <v>618</v>
      </c>
      <c r="Y544" s="1167">
        <v>43717.4969212963</v>
      </c>
      <c r="Z544" s="1159" t="s">
        <v>618</v>
      </c>
      <c r="AA544" s="1167">
        <v>43717.59953703704</v>
      </c>
      <c r="AB544" s="1138">
        <f t="shared" si="8"/>
        <v>326000</v>
      </c>
    </row>
    <row r="545" spans="1:28" x14ac:dyDescent="0.25">
      <c r="A545" s="1150">
        <v>110574</v>
      </c>
      <c r="B545" s="1150" t="s">
        <v>1356</v>
      </c>
      <c r="C545" s="1150" t="s">
        <v>1364</v>
      </c>
      <c r="D545" s="1151">
        <v>43717</v>
      </c>
      <c r="E545" s="1152">
        <v>32600000</v>
      </c>
      <c r="F545" s="1150" t="s">
        <v>387</v>
      </c>
      <c r="G545" s="1153" t="s">
        <v>611</v>
      </c>
      <c r="H545" s="1154">
        <v>3342</v>
      </c>
      <c r="I545" s="1150" t="s">
        <v>612</v>
      </c>
      <c r="J545" s="1153" t="s">
        <v>14</v>
      </c>
      <c r="K545" s="1150" t="s">
        <v>76</v>
      </c>
      <c r="L545" s="1150" t="s">
        <v>1356</v>
      </c>
      <c r="M545" s="1153" t="s">
        <v>14</v>
      </c>
      <c r="N545" s="1153" t="s">
        <v>1359</v>
      </c>
      <c r="O545" s="1155">
        <v>80</v>
      </c>
      <c r="P545" s="1155">
        <v>0</v>
      </c>
      <c r="Q545" s="1155">
        <v>9</v>
      </c>
      <c r="R545" s="1150" t="s">
        <v>690</v>
      </c>
      <c r="S545" s="1150" t="s">
        <v>718</v>
      </c>
      <c r="T545" s="1150" t="s">
        <v>1081</v>
      </c>
      <c r="U545" s="1157">
        <v>163000</v>
      </c>
      <c r="V545" s="1150" t="s">
        <v>1081</v>
      </c>
      <c r="W545" s="1157">
        <v>163000</v>
      </c>
      <c r="X545" s="1150" t="s">
        <v>618</v>
      </c>
      <c r="Y545" s="1158">
        <v>43717.50005787037</v>
      </c>
      <c r="Z545" s="1150" t="s">
        <v>618</v>
      </c>
      <c r="AA545" s="1158">
        <v>43717.59953703704</v>
      </c>
      <c r="AB545" s="1138">
        <f t="shared" si="8"/>
        <v>326000</v>
      </c>
    </row>
    <row r="546" spans="1:28" x14ac:dyDescent="0.25">
      <c r="A546" s="1159">
        <v>110691</v>
      </c>
      <c r="B546" s="1159" t="s">
        <v>1356</v>
      </c>
      <c r="C546" s="1159" t="s">
        <v>1365</v>
      </c>
      <c r="D546" s="1160">
        <v>43756</v>
      </c>
      <c r="E546" s="1161">
        <v>55070000</v>
      </c>
      <c r="F546" s="1159" t="s">
        <v>610</v>
      </c>
      <c r="G546" s="1162" t="s">
        <v>611</v>
      </c>
      <c r="H546" s="1163">
        <v>2199</v>
      </c>
      <c r="I546" s="1159" t="s">
        <v>612</v>
      </c>
      <c r="J546" s="1162" t="s">
        <v>14</v>
      </c>
      <c r="K546" s="1159" t="s">
        <v>76</v>
      </c>
      <c r="L546" s="1159" t="s">
        <v>1356</v>
      </c>
      <c r="M546" s="1162" t="s">
        <v>14</v>
      </c>
      <c r="N546" s="1162" t="s">
        <v>1359</v>
      </c>
      <c r="O546" s="1164">
        <v>80</v>
      </c>
      <c r="P546" s="1164">
        <v>0</v>
      </c>
      <c r="Q546" s="1164">
        <v>7</v>
      </c>
      <c r="R546" s="1159" t="s">
        <v>690</v>
      </c>
      <c r="S546" s="1159" t="s">
        <v>718</v>
      </c>
      <c r="T546" s="1159" t="s">
        <v>1081</v>
      </c>
      <c r="U546" s="1166">
        <v>163000</v>
      </c>
      <c r="V546" s="1159" t="s">
        <v>1081</v>
      </c>
      <c r="W546" s="1166">
        <v>163000</v>
      </c>
      <c r="X546" s="1159" t="s">
        <v>618</v>
      </c>
      <c r="Y546" s="1167">
        <v>43756.59704861111</v>
      </c>
      <c r="Z546" s="1159" t="s">
        <v>618</v>
      </c>
      <c r="AA546" s="1167">
        <v>43897.63020833333</v>
      </c>
      <c r="AB546" s="1138">
        <f t="shared" si="8"/>
        <v>326000</v>
      </c>
    </row>
    <row r="547" ht="24" customHeight="1" spans="1:28" x14ac:dyDescent="0.25">
      <c r="A547" s="1150">
        <v>110692</v>
      </c>
      <c r="B547" s="1150" t="s">
        <v>1356</v>
      </c>
      <c r="C547" s="1150" t="s">
        <v>1366</v>
      </c>
      <c r="D547" s="1151">
        <v>43756</v>
      </c>
      <c r="E547" s="1152">
        <v>59760000</v>
      </c>
      <c r="F547" s="1150" t="s">
        <v>610</v>
      </c>
      <c r="G547" s="1153" t="s">
        <v>611</v>
      </c>
      <c r="H547" s="1154">
        <v>2199</v>
      </c>
      <c r="I547" s="1150" t="s">
        <v>612</v>
      </c>
      <c r="J547" s="1153" t="s">
        <v>14</v>
      </c>
      <c r="K547" s="1150" t="s">
        <v>76</v>
      </c>
      <c r="L547" s="1150" t="s">
        <v>1356</v>
      </c>
      <c r="M547" s="1153" t="s">
        <v>14</v>
      </c>
      <c r="N547" s="1153" t="s">
        <v>1359</v>
      </c>
      <c r="O547" s="1155">
        <v>80</v>
      </c>
      <c r="P547" s="1155">
        <v>0</v>
      </c>
      <c r="Q547" s="1155">
        <v>7</v>
      </c>
      <c r="R547" s="1150" t="s">
        <v>690</v>
      </c>
      <c r="S547" s="1150" t="s">
        <v>718</v>
      </c>
      <c r="T547" s="1150" t="s">
        <v>1081</v>
      </c>
      <c r="U547" s="1157">
        <v>163000</v>
      </c>
      <c r="V547" s="1150" t="s">
        <v>1081</v>
      </c>
      <c r="W547" s="1157">
        <v>163000</v>
      </c>
      <c r="X547" s="1150" t="s">
        <v>618</v>
      </c>
      <c r="Y547" s="1158">
        <v>43756.59945601852</v>
      </c>
      <c r="Z547" s="1150" t="s">
        <v>618</v>
      </c>
      <c r="AA547" s="1158">
        <v>43897.63041666667</v>
      </c>
      <c r="AB547" s="1138">
        <f t="shared" si="8"/>
        <v>326000</v>
      </c>
    </row>
    <row r="548" ht="24" customHeight="1" spans="1:28" x14ac:dyDescent="0.25">
      <c r="A548" s="1159">
        <v>110693</v>
      </c>
      <c r="B548" s="1159" t="s">
        <v>1356</v>
      </c>
      <c r="C548" s="1159" t="s">
        <v>1367</v>
      </c>
      <c r="D548" s="1160">
        <v>43756</v>
      </c>
      <c r="E548" s="1161">
        <v>57350000</v>
      </c>
      <c r="F548" s="1159" t="s">
        <v>387</v>
      </c>
      <c r="G548" s="1162" t="s">
        <v>611</v>
      </c>
      <c r="H548" s="1163">
        <v>3342</v>
      </c>
      <c r="I548" s="1159" t="s">
        <v>612</v>
      </c>
      <c r="J548" s="1162" t="s">
        <v>14</v>
      </c>
      <c r="K548" s="1159" t="s">
        <v>76</v>
      </c>
      <c r="L548" s="1159" t="s">
        <v>1356</v>
      </c>
      <c r="M548" s="1162" t="s">
        <v>14</v>
      </c>
      <c r="N548" s="1162" t="s">
        <v>1359</v>
      </c>
      <c r="O548" s="1164">
        <v>80</v>
      </c>
      <c r="P548" s="1164">
        <v>0</v>
      </c>
      <c r="Q548" s="1164">
        <v>7</v>
      </c>
      <c r="R548" s="1159" t="s">
        <v>690</v>
      </c>
      <c r="S548" s="1159" t="s">
        <v>718</v>
      </c>
      <c r="T548" s="1159" t="s">
        <v>1081</v>
      </c>
      <c r="U548" s="1166">
        <v>163000</v>
      </c>
      <c r="V548" s="1159" t="s">
        <v>1081</v>
      </c>
      <c r="W548" s="1166">
        <v>163000</v>
      </c>
      <c r="X548" s="1159" t="s">
        <v>618</v>
      </c>
      <c r="Y548" s="1167">
        <v>43756.60104166667</v>
      </c>
      <c r="Z548" s="1159" t="s">
        <v>618</v>
      </c>
      <c r="AA548" s="1167">
        <v>43897.63081018519</v>
      </c>
      <c r="AB548" s="1138">
        <f t="shared" si="8"/>
        <v>326000</v>
      </c>
    </row>
    <row r="549" ht="24" customHeight="1" spans="1:28" x14ac:dyDescent="0.25">
      <c r="A549" s="1150">
        <v>110701</v>
      </c>
      <c r="B549" s="1150" t="s">
        <v>1356</v>
      </c>
      <c r="C549" s="1150" t="s">
        <v>1368</v>
      </c>
      <c r="D549" s="1151">
        <v>43756</v>
      </c>
      <c r="E549" s="1152">
        <v>40600000</v>
      </c>
      <c r="F549" s="1150" t="s">
        <v>610</v>
      </c>
      <c r="G549" s="1153" t="s">
        <v>611</v>
      </c>
      <c r="H549" s="1154">
        <v>2199</v>
      </c>
      <c r="I549" s="1150" t="s">
        <v>629</v>
      </c>
      <c r="J549" s="1153" t="s">
        <v>14</v>
      </c>
      <c r="K549" s="1150" t="s">
        <v>76</v>
      </c>
      <c r="L549" s="1150" t="s">
        <v>1356</v>
      </c>
      <c r="M549" s="1153" t="s">
        <v>14</v>
      </c>
      <c r="N549" s="1153" t="s">
        <v>1323</v>
      </c>
      <c r="O549" s="1155">
        <v>80</v>
      </c>
      <c r="P549" s="1155">
        <v>0</v>
      </c>
      <c r="Q549" s="1155">
        <v>9</v>
      </c>
      <c r="R549" s="1150" t="s">
        <v>842</v>
      </c>
      <c r="S549" s="1150" t="s">
        <v>718</v>
      </c>
      <c r="T549" s="1150" t="s">
        <v>1081</v>
      </c>
      <c r="U549" s="1157">
        <v>163000</v>
      </c>
      <c r="V549" s="1150" t="s">
        <v>1081</v>
      </c>
      <c r="W549" s="1157">
        <v>163000</v>
      </c>
      <c r="X549" s="1150" t="s">
        <v>618</v>
      </c>
      <c r="Y549" s="1158">
        <v>43756.633634259255</v>
      </c>
      <c r="Z549" s="1150" t="s">
        <v>618</v>
      </c>
      <c r="AA549" s="1158">
        <v>43756.6634375</v>
      </c>
      <c r="AB549" s="1138">
        <f t="shared" si="8"/>
        <v>326000</v>
      </c>
    </row>
    <row r="550" ht="24" customHeight="1" spans="1:28" x14ac:dyDescent="0.25">
      <c r="A550" s="1159">
        <v>110685</v>
      </c>
      <c r="B550" s="1159" t="s">
        <v>1356</v>
      </c>
      <c r="C550" s="1159" t="s">
        <v>1369</v>
      </c>
      <c r="D550" s="1160">
        <v>43756</v>
      </c>
      <c r="E550" s="1161">
        <v>44350000</v>
      </c>
      <c r="F550" s="1159" t="s">
        <v>610</v>
      </c>
      <c r="G550" s="1162" t="s">
        <v>611</v>
      </c>
      <c r="H550" s="1163">
        <v>2199</v>
      </c>
      <c r="I550" s="1159" t="s">
        <v>629</v>
      </c>
      <c r="J550" s="1162" t="s">
        <v>14</v>
      </c>
      <c r="K550" s="1159" t="s">
        <v>76</v>
      </c>
      <c r="L550" s="1159" t="s">
        <v>1356</v>
      </c>
      <c r="M550" s="1162" t="s">
        <v>14</v>
      </c>
      <c r="N550" s="1162" t="s">
        <v>1323</v>
      </c>
      <c r="O550" s="1164">
        <v>80</v>
      </c>
      <c r="P550" s="1164">
        <v>0</v>
      </c>
      <c r="Q550" s="1164">
        <v>9</v>
      </c>
      <c r="R550" s="1159" t="s">
        <v>842</v>
      </c>
      <c r="S550" s="1159" t="s">
        <v>718</v>
      </c>
      <c r="T550" s="1159" t="s">
        <v>1081</v>
      </c>
      <c r="U550" s="1166">
        <v>163000</v>
      </c>
      <c r="V550" s="1159" t="s">
        <v>1081</v>
      </c>
      <c r="W550" s="1166">
        <v>163000</v>
      </c>
      <c r="X550" s="1159" t="s">
        <v>618</v>
      </c>
      <c r="Y550" s="1167">
        <v>43756.58969907407</v>
      </c>
      <c r="Z550" s="1159" t="s">
        <v>618</v>
      </c>
      <c r="AA550" s="1167">
        <v>43756.66175925926</v>
      </c>
      <c r="AB550" s="1138">
        <f t="shared" si="8"/>
        <v>326000</v>
      </c>
    </row>
    <row r="551" ht="24" customHeight="1" spans="1:28" x14ac:dyDescent="0.25">
      <c r="A551" s="1150">
        <v>110688</v>
      </c>
      <c r="B551" s="1150" t="s">
        <v>1356</v>
      </c>
      <c r="C551" s="1150" t="s">
        <v>1370</v>
      </c>
      <c r="D551" s="1151">
        <v>43756</v>
      </c>
      <c r="E551" s="1152">
        <v>46300000</v>
      </c>
      <c r="F551" s="1150" t="s">
        <v>387</v>
      </c>
      <c r="G551" s="1153" t="s">
        <v>611</v>
      </c>
      <c r="H551" s="1154">
        <v>3342</v>
      </c>
      <c r="I551" s="1150" t="s">
        <v>612</v>
      </c>
      <c r="J551" s="1153" t="s">
        <v>14</v>
      </c>
      <c r="K551" s="1150" t="s">
        <v>76</v>
      </c>
      <c r="L551" s="1150" t="s">
        <v>1356</v>
      </c>
      <c r="M551" s="1153" t="s">
        <v>14</v>
      </c>
      <c r="N551" s="1153" t="s">
        <v>1359</v>
      </c>
      <c r="O551" s="1155">
        <v>80</v>
      </c>
      <c r="P551" s="1155">
        <v>0</v>
      </c>
      <c r="Q551" s="1155">
        <v>9</v>
      </c>
      <c r="R551" s="1150" t="s">
        <v>690</v>
      </c>
      <c r="S551" s="1150" t="s">
        <v>718</v>
      </c>
      <c r="T551" s="1150" t="s">
        <v>1081</v>
      </c>
      <c r="U551" s="1157">
        <v>163000</v>
      </c>
      <c r="V551" s="1150" t="s">
        <v>1081</v>
      </c>
      <c r="W551" s="1157">
        <v>163000</v>
      </c>
      <c r="X551" s="1150" t="s">
        <v>618</v>
      </c>
      <c r="Y551" s="1158">
        <v>43756.59471064815</v>
      </c>
      <c r="Z551" s="1150" t="s">
        <v>618</v>
      </c>
      <c r="AA551" s="1158">
        <v>43756.66119212963</v>
      </c>
      <c r="AB551" s="1138">
        <f t="shared" si="8"/>
        <v>326000</v>
      </c>
    </row>
    <row r="552" ht="24" customHeight="1" spans="1:28" x14ac:dyDescent="0.25">
      <c r="A552" s="1159">
        <v>110679</v>
      </c>
      <c r="B552" s="1159" t="s">
        <v>1356</v>
      </c>
      <c r="C552" s="1159" t="s">
        <v>1371</v>
      </c>
      <c r="D552" s="1160">
        <v>43756</v>
      </c>
      <c r="E552" s="1161">
        <v>56560000</v>
      </c>
      <c r="F552" s="1159" t="s">
        <v>610</v>
      </c>
      <c r="G552" s="1162" t="s">
        <v>611</v>
      </c>
      <c r="H552" s="1163">
        <v>2199</v>
      </c>
      <c r="I552" s="1159" t="s">
        <v>629</v>
      </c>
      <c r="J552" s="1162" t="s">
        <v>14</v>
      </c>
      <c r="K552" s="1159" t="s">
        <v>76</v>
      </c>
      <c r="L552" s="1159" t="s">
        <v>1356</v>
      </c>
      <c r="M552" s="1162" t="s">
        <v>14</v>
      </c>
      <c r="N552" s="1162" t="s">
        <v>1323</v>
      </c>
      <c r="O552" s="1164">
        <v>80</v>
      </c>
      <c r="P552" s="1164">
        <v>0</v>
      </c>
      <c r="Q552" s="1164">
        <v>9</v>
      </c>
      <c r="R552" s="1159" t="s">
        <v>842</v>
      </c>
      <c r="S552" s="1159" t="s">
        <v>718</v>
      </c>
      <c r="T552" s="1159" t="s">
        <v>1081</v>
      </c>
      <c r="U552" s="1166">
        <v>163000</v>
      </c>
      <c r="V552" s="1159" t="s">
        <v>1081</v>
      </c>
      <c r="W552" s="1166">
        <v>163000</v>
      </c>
      <c r="X552" s="1159" t="s">
        <v>618</v>
      </c>
      <c r="Y552" s="1167">
        <v>43756.559317129635</v>
      </c>
      <c r="Z552" s="1159" t="s">
        <v>618</v>
      </c>
      <c r="AA552" s="1167">
        <v>43756.66047453704</v>
      </c>
      <c r="AB552" s="1138">
        <f t="shared" si="8"/>
        <v>326000</v>
      </c>
    </row>
    <row r="553" ht="24" customHeight="1" spans="1:28" x14ac:dyDescent="0.25">
      <c r="A553" s="1150">
        <v>110677</v>
      </c>
      <c r="B553" s="1150" t="s">
        <v>1356</v>
      </c>
      <c r="C553" s="1150" t="s">
        <v>1372</v>
      </c>
      <c r="D553" s="1151">
        <v>43756</v>
      </c>
      <c r="E553" s="1152">
        <v>50130000</v>
      </c>
      <c r="F553" s="1150" t="s">
        <v>610</v>
      </c>
      <c r="G553" s="1153" t="s">
        <v>611</v>
      </c>
      <c r="H553" s="1154">
        <v>2199</v>
      </c>
      <c r="I553" s="1150" t="s">
        <v>629</v>
      </c>
      <c r="J553" s="1153" t="s">
        <v>14</v>
      </c>
      <c r="K553" s="1150" t="s">
        <v>76</v>
      </c>
      <c r="L553" s="1150" t="s">
        <v>1356</v>
      </c>
      <c r="M553" s="1153" t="s">
        <v>14</v>
      </c>
      <c r="N553" s="1153" t="s">
        <v>1323</v>
      </c>
      <c r="O553" s="1155">
        <v>80</v>
      </c>
      <c r="P553" s="1155">
        <v>0</v>
      </c>
      <c r="Q553" s="1155">
        <v>9</v>
      </c>
      <c r="R553" s="1150" t="s">
        <v>842</v>
      </c>
      <c r="S553" s="1150" t="s">
        <v>718</v>
      </c>
      <c r="T553" s="1150" t="s">
        <v>1076</v>
      </c>
      <c r="U553" s="1157">
        <v>176200</v>
      </c>
      <c r="V553" s="1150" t="s">
        <v>1076</v>
      </c>
      <c r="W553" s="1157">
        <v>176200</v>
      </c>
      <c r="X553" s="1150" t="s">
        <v>618</v>
      </c>
      <c r="Y553" s="1158">
        <v>43756.55143518519</v>
      </c>
      <c r="Z553" s="1150" t="s">
        <v>618</v>
      </c>
      <c r="AA553" s="1158">
        <v>43756.66047453704</v>
      </c>
      <c r="AB553" s="1138">
        <f t="shared" si="8"/>
        <v>352400</v>
      </c>
    </row>
    <row r="554" ht="24" customHeight="1" spans="1:28" x14ac:dyDescent="0.25">
      <c r="A554" s="1159">
        <v>110678</v>
      </c>
      <c r="B554" s="1159" t="s">
        <v>1356</v>
      </c>
      <c r="C554" s="1159" t="s">
        <v>1373</v>
      </c>
      <c r="D554" s="1160">
        <v>43756</v>
      </c>
      <c r="E554" s="1161">
        <v>53610000</v>
      </c>
      <c r="F554" s="1159" t="s">
        <v>610</v>
      </c>
      <c r="G554" s="1162" t="s">
        <v>611</v>
      </c>
      <c r="H554" s="1163">
        <v>2199</v>
      </c>
      <c r="I554" s="1159" t="s">
        <v>629</v>
      </c>
      <c r="J554" s="1162" t="s">
        <v>14</v>
      </c>
      <c r="K554" s="1159" t="s">
        <v>76</v>
      </c>
      <c r="L554" s="1159" t="s">
        <v>1356</v>
      </c>
      <c r="M554" s="1162" t="s">
        <v>14</v>
      </c>
      <c r="N554" s="1162" t="s">
        <v>1323</v>
      </c>
      <c r="O554" s="1164">
        <v>80</v>
      </c>
      <c r="P554" s="1164">
        <v>0</v>
      </c>
      <c r="Q554" s="1164">
        <v>9</v>
      </c>
      <c r="R554" s="1159" t="s">
        <v>842</v>
      </c>
      <c r="S554" s="1159" t="s">
        <v>718</v>
      </c>
      <c r="T554" s="1159" t="s">
        <v>1081</v>
      </c>
      <c r="U554" s="1166">
        <v>163000</v>
      </c>
      <c r="V554" s="1159" t="s">
        <v>1081</v>
      </c>
      <c r="W554" s="1166">
        <v>163000</v>
      </c>
      <c r="X554" s="1159" t="s">
        <v>618</v>
      </c>
      <c r="Y554" s="1167">
        <v>43756.55875</v>
      </c>
      <c r="Z554" s="1159" t="s">
        <v>618</v>
      </c>
      <c r="AA554" s="1167">
        <v>43756.66047453704</v>
      </c>
      <c r="AB554" s="1138">
        <f t="shared" si="8"/>
        <v>326000</v>
      </c>
    </row>
    <row r="555" ht="24" customHeight="1" spans="1:28" x14ac:dyDescent="0.25">
      <c r="A555" s="1150">
        <v>110682</v>
      </c>
      <c r="B555" s="1150" t="s">
        <v>1356</v>
      </c>
      <c r="C555" s="1150" t="s">
        <v>1374</v>
      </c>
      <c r="D555" s="1151">
        <v>43756</v>
      </c>
      <c r="E555" s="1152">
        <v>55710000</v>
      </c>
      <c r="F555" s="1150" t="s">
        <v>387</v>
      </c>
      <c r="G555" s="1153" t="s">
        <v>611</v>
      </c>
      <c r="H555" s="1154">
        <v>3342</v>
      </c>
      <c r="I555" s="1150" t="s">
        <v>612</v>
      </c>
      <c r="J555" s="1153" t="s">
        <v>14</v>
      </c>
      <c r="K555" s="1150" t="s">
        <v>76</v>
      </c>
      <c r="L555" s="1150" t="s">
        <v>1356</v>
      </c>
      <c r="M555" s="1153" t="s">
        <v>14</v>
      </c>
      <c r="N555" s="1153" t="s">
        <v>1359</v>
      </c>
      <c r="O555" s="1155">
        <v>80</v>
      </c>
      <c r="P555" s="1155">
        <v>0</v>
      </c>
      <c r="Q555" s="1155">
        <v>9</v>
      </c>
      <c r="R555" s="1150" t="s">
        <v>690</v>
      </c>
      <c r="S555" s="1150" t="s">
        <v>718</v>
      </c>
      <c r="T555" s="1150" t="s">
        <v>1081</v>
      </c>
      <c r="U555" s="1157">
        <v>163000</v>
      </c>
      <c r="V555" s="1150" t="s">
        <v>1081</v>
      </c>
      <c r="W555" s="1157">
        <v>163000</v>
      </c>
      <c r="X555" s="1150" t="s">
        <v>618</v>
      </c>
      <c r="Y555" s="1158">
        <v>43756.5859375</v>
      </c>
      <c r="Z555" s="1150" t="s">
        <v>618</v>
      </c>
      <c r="AA555" s="1158">
        <v>43756.65987268518</v>
      </c>
      <c r="AB555" s="1138">
        <f t="shared" si="8"/>
        <v>326000</v>
      </c>
    </row>
    <row r="556" spans="1:28" x14ac:dyDescent="0.25">
      <c r="A556" s="1159">
        <v>110579</v>
      </c>
      <c r="B556" s="1159" t="s">
        <v>1356</v>
      </c>
      <c r="C556" s="1159" t="s">
        <v>1375</v>
      </c>
      <c r="D556" s="1160">
        <v>43717</v>
      </c>
      <c r="E556" s="1161">
        <v>28800000</v>
      </c>
      <c r="F556" s="1159" t="s">
        <v>610</v>
      </c>
      <c r="G556" s="1162" t="s">
        <v>611</v>
      </c>
      <c r="H556" s="1163">
        <v>2199</v>
      </c>
      <c r="I556" s="1159" t="s">
        <v>612</v>
      </c>
      <c r="J556" s="1162" t="s">
        <v>14</v>
      </c>
      <c r="K556" s="1159" t="s">
        <v>76</v>
      </c>
      <c r="L556" s="1159" t="s">
        <v>1356</v>
      </c>
      <c r="M556" s="1162" t="s">
        <v>14</v>
      </c>
      <c r="N556" s="1162" t="s">
        <v>1359</v>
      </c>
      <c r="O556" s="1164">
        <v>80</v>
      </c>
      <c r="P556" s="1164">
        <v>0</v>
      </c>
      <c r="Q556" s="1164">
        <v>11</v>
      </c>
      <c r="R556" s="1159" t="s">
        <v>690</v>
      </c>
      <c r="S556" s="1159" t="s">
        <v>718</v>
      </c>
      <c r="T556" s="1159" t="s">
        <v>1360</v>
      </c>
      <c r="U556" s="1166">
        <v>133300</v>
      </c>
      <c r="V556" s="1159" t="s">
        <v>1360</v>
      </c>
      <c r="W556" s="1166">
        <v>133300</v>
      </c>
      <c r="X556" s="1159" t="s">
        <v>618</v>
      </c>
      <c r="Y556" s="1167">
        <v>43717.55027777777</v>
      </c>
      <c r="Z556" s="1159" t="s">
        <v>618</v>
      </c>
      <c r="AA556" s="1167">
        <v>43920.708703703705</v>
      </c>
      <c r="AB556" s="1138">
        <f t="shared" si="8"/>
        <v>266600</v>
      </c>
    </row>
    <row r="557" ht="24" customHeight="1" spans="1:28" x14ac:dyDescent="0.25">
      <c r="A557" s="1150">
        <v>110580</v>
      </c>
      <c r="B557" s="1150" t="s">
        <v>1356</v>
      </c>
      <c r="C557" s="1150" t="s">
        <v>1376</v>
      </c>
      <c r="D557" s="1151">
        <v>43717</v>
      </c>
      <c r="E557" s="1152">
        <v>33900000</v>
      </c>
      <c r="F557" s="1150" t="s">
        <v>610</v>
      </c>
      <c r="G557" s="1153" t="s">
        <v>611</v>
      </c>
      <c r="H557" s="1154">
        <v>2199</v>
      </c>
      <c r="I557" s="1150" t="s">
        <v>612</v>
      </c>
      <c r="J557" s="1153" t="s">
        <v>14</v>
      </c>
      <c r="K557" s="1150" t="s">
        <v>76</v>
      </c>
      <c r="L557" s="1150" t="s">
        <v>1356</v>
      </c>
      <c r="M557" s="1153" t="s">
        <v>14</v>
      </c>
      <c r="N557" s="1153" t="s">
        <v>1359</v>
      </c>
      <c r="O557" s="1155">
        <v>80</v>
      </c>
      <c r="P557" s="1155">
        <v>0</v>
      </c>
      <c r="Q557" s="1155">
        <v>11</v>
      </c>
      <c r="R557" s="1150" t="s">
        <v>690</v>
      </c>
      <c r="S557" s="1150" t="s">
        <v>718</v>
      </c>
      <c r="T557" s="1150" t="s">
        <v>1076</v>
      </c>
      <c r="U557" s="1157">
        <v>176200</v>
      </c>
      <c r="V557" s="1150" t="s">
        <v>1076</v>
      </c>
      <c r="W557" s="1157">
        <v>176200</v>
      </c>
      <c r="X557" s="1150" t="s">
        <v>618</v>
      </c>
      <c r="Y557" s="1158">
        <v>43717.55216435185</v>
      </c>
      <c r="Z557" s="1150" t="s">
        <v>618</v>
      </c>
      <c r="AA557" s="1158">
        <v>43920.70809027778</v>
      </c>
      <c r="AB557" s="1138">
        <f t="shared" si="8"/>
        <v>352400</v>
      </c>
    </row>
    <row r="558" spans="1:28" x14ac:dyDescent="0.25">
      <c r="A558" s="1159">
        <v>110575</v>
      </c>
      <c r="B558" s="1159" t="s">
        <v>1356</v>
      </c>
      <c r="C558" s="1159" t="s">
        <v>1377</v>
      </c>
      <c r="D558" s="1160">
        <v>43717</v>
      </c>
      <c r="E558" s="1161">
        <v>35970000</v>
      </c>
      <c r="F558" s="1159" t="s">
        <v>610</v>
      </c>
      <c r="G558" s="1162" t="s">
        <v>611</v>
      </c>
      <c r="H558" s="1163">
        <v>2199</v>
      </c>
      <c r="I558" s="1159" t="s">
        <v>612</v>
      </c>
      <c r="J558" s="1162" t="s">
        <v>14</v>
      </c>
      <c r="K558" s="1159" t="s">
        <v>76</v>
      </c>
      <c r="L558" s="1159" t="s">
        <v>1356</v>
      </c>
      <c r="M558" s="1162" t="s">
        <v>14</v>
      </c>
      <c r="N558" s="1162" t="s">
        <v>1359</v>
      </c>
      <c r="O558" s="1164">
        <v>80</v>
      </c>
      <c r="P558" s="1164">
        <v>0</v>
      </c>
      <c r="Q558" s="1164">
        <v>7</v>
      </c>
      <c r="R558" s="1159" t="s">
        <v>690</v>
      </c>
      <c r="S558" s="1159" t="s">
        <v>718</v>
      </c>
      <c r="T558" s="1159" t="s">
        <v>1081</v>
      </c>
      <c r="U558" s="1166">
        <v>163000</v>
      </c>
      <c r="V558" s="1159" t="s">
        <v>1081</v>
      </c>
      <c r="W558" s="1166">
        <v>163000</v>
      </c>
      <c r="X558" s="1159" t="s">
        <v>618</v>
      </c>
      <c r="Y558" s="1167">
        <v>43717.53414351852</v>
      </c>
      <c r="Z558" s="1159" t="s">
        <v>618</v>
      </c>
      <c r="AA558" s="1167">
        <v>43897.61619212963</v>
      </c>
      <c r="AB558" s="1138">
        <f t="shared" si="8"/>
        <v>326000</v>
      </c>
    </row>
    <row r="559" ht="24" customHeight="1" spans="1:28" x14ac:dyDescent="0.25">
      <c r="A559" s="1150">
        <v>110576</v>
      </c>
      <c r="B559" s="1150" t="s">
        <v>1356</v>
      </c>
      <c r="C559" s="1150" t="s">
        <v>1378</v>
      </c>
      <c r="D559" s="1151">
        <v>43717</v>
      </c>
      <c r="E559" s="1152">
        <v>39770000</v>
      </c>
      <c r="F559" s="1150" t="s">
        <v>610</v>
      </c>
      <c r="G559" s="1153" t="s">
        <v>611</v>
      </c>
      <c r="H559" s="1154">
        <v>2199</v>
      </c>
      <c r="I559" s="1150" t="s">
        <v>612</v>
      </c>
      <c r="J559" s="1153" t="s">
        <v>14</v>
      </c>
      <c r="K559" s="1150" t="s">
        <v>76</v>
      </c>
      <c r="L559" s="1150" t="s">
        <v>1356</v>
      </c>
      <c r="M559" s="1153" t="s">
        <v>14</v>
      </c>
      <c r="N559" s="1153" t="s">
        <v>1359</v>
      </c>
      <c r="O559" s="1155">
        <v>80</v>
      </c>
      <c r="P559" s="1155">
        <v>0</v>
      </c>
      <c r="Q559" s="1155">
        <v>7</v>
      </c>
      <c r="R559" s="1150" t="s">
        <v>690</v>
      </c>
      <c r="S559" s="1150" t="s">
        <v>718</v>
      </c>
      <c r="T559" s="1150" t="s">
        <v>1081</v>
      </c>
      <c r="U559" s="1157">
        <v>163000</v>
      </c>
      <c r="V559" s="1150" t="s">
        <v>1081</v>
      </c>
      <c r="W559" s="1157">
        <v>163000</v>
      </c>
      <c r="X559" s="1150" t="s">
        <v>618</v>
      </c>
      <c r="Y559" s="1158">
        <v>43717.542129629626</v>
      </c>
      <c r="Z559" s="1150" t="s">
        <v>618</v>
      </c>
      <c r="AA559" s="1158">
        <v>43897.61640046297</v>
      </c>
      <c r="AB559" s="1138">
        <f t="shared" si="8"/>
        <v>326000</v>
      </c>
    </row>
    <row r="560" ht="24" customHeight="1" spans="1:28" x14ac:dyDescent="0.25">
      <c r="A560" s="1159">
        <v>110569</v>
      </c>
      <c r="B560" s="1159" t="s">
        <v>1356</v>
      </c>
      <c r="C560" s="1159" t="s">
        <v>1379</v>
      </c>
      <c r="D560" s="1160">
        <v>43717</v>
      </c>
      <c r="E560" s="1161">
        <v>38900000</v>
      </c>
      <c r="F560" s="1159" t="s">
        <v>610</v>
      </c>
      <c r="G560" s="1162" t="s">
        <v>611</v>
      </c>
      <c r="H560" s="1163">
        <v>2199</v>
      </c>
      <c r="I560" s="1159" t="s">
        <v>612</v>
      </c>
      <c r="J560" s="1162" t="s">
        <v>14</v>
      </c>
      <c r="K560" s="1159" t="s">
        <v>76</v>
      </c>
      <c r="L560" s="1159" t="s">
        <v>1356</v>
      </c>
      <c r="M560" s="1162" t="s">
        <v>14</v>
      </c>
      <c r="N560" s="1162" t="s">
        <v>1359</v>
      </c>
      <c r="O560" s="1164">
        <v>80</v>
      </c>
      <c r="P560" s="1164">
        <v>0</v>
      </c>
      <c r="Q560" s="1164">
        <v>9</v>
      </c>
      <c r="R560" s="1159" t="s">
        <v>690</v>
      </c>
      <c r="S560" s="1159" t="s">
        <v>718</v>
      </c>
      <c r="T560" s="1159" t="s">
        <v>1081</v>
      </c>
      <c r="U560" s="1166">
        <v>163000</v>
      </c>
      <c r="V560" s="1159" t="s">
        <v>1081</v>
      </c>
      <c r="W560" s="1166">
        <v>163000</v>
      </c>
      <c r="X560" s="1159" t="s">
        <v>618</v>
      </c>
      <c r="Y560" s="1167">
        <v>43717.490370370375</v>
      </c>
      <c r="Z560" s="1159" t="s">
        <v>618</v>
      </c>
      <c r="AA560" s="1167">
        <v>43717.59953703704</v>
      </c>
      <c r="AB560" s="1138">
        <f t="shared" si="8"/>
        <v>326000</v>
      </c>
    </row>
    <row r="561" spans="1:28" x14ac:dyDescent="0.25">
      <c r="A561" s="1150">
        <v>110567</v>
      </c>
      <c r="B561" s="1150" t="s">
        <v>1356</v>
      </c>
      <c r="C561" s="1150" t="s">
        <v>1380</v>
      </c>
      <c r="D561" s="1151">
        <v>43717</v>
      </c>
      <c r="E561" s="1152">
        <v>31500000</v>
      </c>
      <c r="F561" s="1150" t="s">
        <v>610</v>
      </c>
      <c r="G561" s="1153" t="s">
        <v>611</v>
      </c>
      <c r="H561" s="1154">
        <v>2199</v>
      </c>
      <c r="I561" s="1150" t="s">
        <v>612</v>
      </c>
      <c r="J561" s="1153" t="s">
        <v>14</v>
      </c>
      <c r="K561" s="1150" t="s">
        <v>76</v>
      </c>
      <c r="L561" s="1150" t="s">
        <v>1356</v>
      </c>
      <c r="M561" s="1153" t="s">
        <v>14</v>
      </c>
      <c r="N561" s="1153" t="s">
        <v>1359</v>
      </c>
      <c r="O561" s="1155">
        <v>80</v>
      </c>
      <c r="P561" s="1155">
        <v>0</v>
      </c>
      <c r="Q561" s="1155">
        <v>9</v>
      </c>
      <c r="R561" s="1150" t="s">
        <v>690</v>
      </c>
      <c r="S561" s="1150" t="s">
        <v>718</v>
      </c>
      <c r="T561" s="1150" t="s">
        <v>1076</v>
      </c>
      <c r="U561" s="1157">
        <v>176200</v>
      </c>
      <c r="V561" s="1150" t="s">
        <v>1076</v>
      </c>
      <c r="W561" s="1157">
        <v>176200</v>
      </c>
      <c r="X561" s="1150" t="s">
        <v>618</v>
      </c>
      <c r="Y561" s="1158">
        <v>43717.4827662037</v>
      </c>
      <c r="Z561" s="1150" t="s">
        <v>618</v>
      </c>
      <c r="AA561" s="1158">
        <v>43717.59953703704</v>
      </c>
      <c r="AB561" s="1138">
        <f t="shared" si="8"/>
        <v>352400</v>
      </c>
    </row>
    <row r="562" ht="24" customHeight="1" spans="1:28" x14ac:dyDescent="0.25">
      <c r="A562" s="1159">
        <v>110568</v>
      </c>
      <c r="B562" s="1159" t="s">
        <v>1356</v>
      </c>
      <c r="C562" s="1159" t="s">
        <v>1381</v>
      </c>
      <c r="D562" s="1160">
        <v>43717</v>
      </c>
      <c r="E562" s="1161">
        <v>34900000</v>
      </c>
      <c r="F562" s="1159" t="s">
        <v>610</v>
      </c>
      <c r="G562" s="1162" t="s">
        <v>611</v>
      </c>
      <c r="H562" s="1163">
        <v>2199</v>
      </c>
      <c r="I562" s="1159" t="s">
        <v>612</v>
      </c>
      <c r="J562" s="1162" t="s">
        <v>14</v>
      </c>
      <c r="K562" s="1159" t="s">
        <v>76</v>
      </c>
      <c r="L562" s="1159" t="s">
        <v>1356</v>
      </c>
      <c r="M562" s="1162" t="s">
        <v>14</v>
      </c>
      <c r="N562" s="1162" t="s">
        <v>1359</v>
      </c>
      <c r="O562" s="1164">
        <v>80</v>
      </c>
      <c r="P562" s="1164">
        <v>0</v>
      </c>
      <c r="Q562" s="1164">
        <v>9</v>
      </c>
      <c r="R562" s="1159" t="s">
        <v>690</v>
      </c>
      <c r="S562" s="1159" t="s">
        <v>718</v>
      </c>
      <c r="T562" s="1159" t="s">
        <v>1081</v>
      </c>
      <c r="U562" s="1166">
        <v>163000</v>
      </c>
      <c r="V562" s="1159" t="s">
        <v>1081</v>
      </c>
      <c r="W562" s="1166">
        <v>163000</v>
      </c>
      <c r="X562" s="1159" t="s">
        <v>618</v>
      </c>
      <c r="Y562" s="1167">
        <v>43717.483298611114</v>
      </c>
      <c r="Z562" s="1159" t="s">
        <v>618</v>
      </c>
      <c r="AA562" s="1167">
        <v>43717.59953703704</v>
      </c>
      <c r="AB562" s="1138">
        <f t="shared" si="8"/>
        <v>326000</v>
      </c>
    </row>
    <row r="563" spans="1:28" x14ac:dyDescent="0.25">
      <c r="A563" s="1150">
        <v>109364</v>
      </c>
      <c r="B563" s="1150" t="s">
        <v>1382</v>
      </c>
      <c r="C563" s="1150" t="s">
        <v>1383</v>
      </c>
      <c r="D563" s="1151">
        <v>43209</v>
      </c>
      <c r="E563" s="1152">
        <v>19630000</v>
      </c>
      <c r="F563" s="1150" t="s">
        <v>404</v>
      </c>
      <c r="G563" s="1153" t="s">
        <v>611</v>
      </c>
      <c r="H563" s="1154">
        <v>1999</v>
      </c>
      <c r="I563" s="1150" t="s">
        <v>612</v>
      </c>
      <c r="J563" s="1153" t="s">
        <v>14</v>
      </c>
      <c r="K563" s="1150" t="s">
        <v>76</v>
      </c>
      <c r="L563" s="1150" t="s">
        <v>1384</v>
      </c>
      <c r="M563" s="1153" t="s">
        <v>14</v>
      </c>
      <c r="N563" s="1153" t="s">
        <v>851</v>
      </c>
      <c r="O563" s="1155">
        <v>58</v>
      </c>
      <c r="P563" s="1155">
        <v>0</v>
      </c>
      <c r="Q563" s="1155">
        <v>7</v>
      </c>
      <c r="R563" s="1150" t="s">
        <v>624</v>
      </c>
      <c r="S563" s="1150" t="s">
        <v>974</v>
      </c>
      <c r="T563" s="1150" t="s">
        <v>649</v>
      </c>
      <c r="U563" s="1157">
        <v>100800</v>
      </c>
      <c r="V563" s="1150" t="s">
        <v>649</v>
      </c>
      <c r="W563" s="1157">
        <v>100800</v>
      </c>
      <c r="X563" s="1150" t="s">
        <v>721</v>
      </c>
      <c r="Y563" s="1158">
        <v>43209.38949074074</v>
      </c>
      <c r="Z563" s="1150" t="s">
        <v>721</v>
      </c>
      <c r="AA563" s="1158">
        <v>43347.57252314815</v>
      </c>
      <c r="AB563" s="1138">
        <f t="shared" si="8"/>
        <v>201600</v>
      </c>
    </row>
    <row r="564" spans="1:28" x14ac:dyDescent="0.25">
      <c r="A564" s="1159">
        <v>109365</v>
      </c>
      <c r="B564" s="1159" t="s">
        <v>1382</v>
      </c>
      <c r="C564" s="1159" t="s">
        <v>1385</v>
      </c>
      <c r="D564" s="1160">
        <v>43209</v>
      </c>
      <c r="E564" s="1161">
        <v>21840000</v>
      </c>
      <c r="F564" s="1159" t="s">
        <v>404</v>
      </c>
      <c r="G564" s="1162" t="s">
        <v>611</v>
      </c>
      <c r="H564" s="1163">
        <v>1999</v>
      </c>
      <c r="I564" s="1159" t="s">
        <v>612</v>
      </c>
      <c r="J564" s="1162" t="s">
        <v>14</v>
      </c>
      <c r="K564" s="1159" t="s">
        <v>76</v>
      </c>
      <c r="L564" s="1159" t="s">
        <v>1384</v>
      </c>
      <c r="M564" s="1162" t="s">
        <v>14</v>
      </c>
      <c r="N564" s="1162" t="s">
        <v>851</v>
      </c>
      <c r="O564" s="1164">
        <v>58</v>
      </c>
      <c r="P564" s="1164">
        <v>0</v>
      </c>
      <c r="Q564" s="1164">
        <v>7</v>
      </c>
      <c r="R564" s="1159" t="s">
        <v>624</v>
      </c>
      <c r="S564" s="1159" t="s">
        <v>974</v>
      </c>
      <c r="T564" s="1159" t="s">
        <v>1386</v>
      </c>
      <c r="U564" s="1166">
        <v>152000</v>
      </c>
      <c r="V564" s="1159" t="s">
        <v>1386</v>
      </c>
      <c r="W564" s="1166">
        <v>152000</v>
      </c>
      <c r="X564" s="1159" t="s">
        <v>721</v>
      </c>
      <c r="Y564" s="1167">
        <v>43209.39078703704</v>
      </c>
      <c r="Z564" s="1159" t="s">
        <v>721</v>
      </c>
      <c r="AA564" s="1167">
        <v>43347.57256944444</v>
      </c>
      <c r="AB564" s="1138">
        <f t="shared" si="8"/>
        <v>304000</v>
      </c>
    </row>
    <row r="565" spans="1:28" x14ac:dyDescent="0.25">
      <c r="A565" s="1150">
        <v>111053</v>
      </c>
      <c r="B565" s="1150" t="s">
        <v>1387</v>
      </c>
      <c r="C565" s="1150" t="s">
        <v>1388</v>
      </c>
      <c r="D565" s="1151">
        <v>43831</v>
      </c>
      <c r="E565" s="1152">
        <v>54990000</v>
      </c>
      <c r="F565" s="1150" t="s">
        <v>387</v>
      </c>
      <c r="G565" s="1153" t="s">
        <v>611</v>
      </c>
      <c r="H565" s="1154">
        <v>6162</v>
      </c>
      <c r="I565" s="1150" t="s">
        <v>629</v>
      </c>
      <c r="J565" s="1153" t="s">
        <v>14</v>
      </c>
      <c r="K565" s="1150" t="s">
        <v>849</v>
      </c>
      <c r="L565" s="1150" t="s">
        <v>1389</v>
      </c>
      <c r="M565" s="1153" t="s">
        <v>14</v>
      </c>
      <c r="N565" s="1153" t="s">
        <v>717</v>
      </c>
      <c r="O565" s="1155">
        <v>71</v>
      </c>
      <c r="P565" s="1155">
        <v>0</v>
      </c>
      <c r="Q565" s="1155">
        <v>4</v>
      </c>
      <c r="R565" s="1150" t="s">
        <v>632</v>
      </c>
      <c r="S565" s="1150" t="s">
        <v>910</v>
      </c>
      <c r="T565" s="1150" t="s">
        <v>1179</v>
      </c>
      <c r="U565" s="1157">
        <v>220000</v>
      </c>
      <c r="V565" s="1150" t="s">
        <v>1390</v>
      </c>
      <c r="W565" s="1157">
        <v>252000</v>
      </c>
      <c r="X565" s="1150" t="s">
        <v>618</v>
      </c>
      <c r="Y565" s="1158">
        <v>43849.08446759259</v>
      </c>
      <c r="Z565" s="1150" t="s">
        <v>618</v>
      </c>
      <c r="AA565" s="1158">
        <v>43849.84079861111</v>
      </c>
      <c r="AB565" s="1138">
        <f t="shared" si="8"/>
        <v>504000</v>
      </c>
    </row>
    <row r="566" ht="24" customHeight="1" spans="1:28" x14ac:dyDescent="0.25">
      <c r="A566" s="1159">
        <v>111057</v>
      </c>
      <c r="B566" s="1159" t="s">
        <v>1387</v>
      </c>
      <c r="C566" s="1159" t="s">
        <v>1391</v>
      </c>
      <c r="D566" s="1160">
        <v>43831</v>
      </c>
      <c r="E566" s="1161">
        <v>55790000</v>
      </c>
      <c r="F566" s="1159" t="s">
        <v>387</v>
      </c>
      <c r="G566" s="1162" t="s">
        <v>611</v>
      </c>
      <c r="H566" s="1163">
        <v>6162</v>
      </c>
      <c r="I566" s="1159" t="s">
        <v>629</v>
      </c>
      <c r="J566" s="1162" t="s">
        <v>14</v>
      </c>
      <c r="K566" s="1159" t="s">
        <v>849</v>
      </c>
      <c r="L566" s="1159" t="s">
        <v>1389</v>
      </c>
      <c r="M566" s="1162" t="s">
        <v>14</v>
      </c>
      <c r="N566" s="1162" t="s">
        <v>717</v>
      </c>
      <c r="O566" s="1164">
        <v>71</v>
      </c>
      <c r="P566" s="1164">
        <v>0</v>
      </c>
      <c r="Q566" s="1164">
        <v>4</v>
      </c>
      <c r="R566" s="1159" t="s">
        <v>632</v>
      </c>
      <c r="S566" s="1159" t="s">
        <v>910</v>
      </c>
      <c r="T566" s="1159" t="s">
        <v>1179</v>
      </c>
      <c r="U566" s="1166">
        <v>220000</v>
      </c>
      <c r="V566" s="1159" t="s">
        <v>1390</v>
      </c>
      <c r="W566" s="1166">
        <v>252000</v>
      </c>
      <c r="X566" s="1159" t="s">
        <v>618</v>
      </c>
      <c r="Y566" s="1167">
        <v>43849.85202546296</v>
      </c>
      <c r="Z566" s="1159" t="s">
        <v>618</v>
      </c>
      <c r="AA566" s="1167">
        <v>43849.85202546296</v>
      </c>
      <c r="AB566" s="1138">
        <f t="shared" si="8"/>
        <v>504000</v>
      </c>
    </row>
    <row r="567" spans="1:28" x14ac:dyDescent="0.25">
      <c r="A567" s="1150" t="s">
        <v>1392</v>
      </c>
      <c r="B567" s="1150" t="s">
        <v>1393</v>
      </c>
      <c r="C567" s="1150" t="s">
        <v>1394</v>
      </c>
      <c r="D567" s="1151">
        <v>38764</v>
      </c>
      <c r="E567" s="1152">
        <v>47000000</v>
      </c>
      <c r="F567" s="1150" t="s">
        <v>610</v>
      </c>
      <c r="G567" s="1153" t="s">
        <v>611</v>
      </c>
      <c r="H567" s="1154">
        <v>3907</v>
      </c>
      <c r="I567" s="1150" t="s">
        <v>629</v>
      </c>
      <c r="J567" s="1153" t="s">
        <v>14</v>
      </c>
      <c r="K567" s="1150" t="s">
        <v>18</v>
      </c>
      <c r="L567" s="1150" t="s">
        <v>1393</v>
      </c>
      <c r="M567" s="1153" t="s">
        <v>14</v>
      </c>
      <c r="N567" s="1153" t="s">
        <v>861</v>
      </c>
      <c r="O567" s="1156"/>
      <c r="P567" s="1155">
        <v>0</v>
      </c>
      <c r="Q567" s="1155">
        <v>15</v>
      </c>
      <c r="R567" s="1150" t="s">
        <v>615</v>
      </c>
      <c r="S567" s="1150" t="s">
        <v>625</v>
      </c>
      <c r="T567" s="1150" t="s">
        <v>633</v>
      </c>
      <c r="U567" s="1156"/>
      <c r="V567" s="1150" t="s">
        <v>633</v>
      </c>
      <c r="W567" s="1156"/>
      <c r="X567" s="1150" t="s">
        <v>634</v>
      </c>
      <c r="Y567" s="1158">
        <v>38764.61844907407</v>
      </c>
      <c r="Z567" s="1150" t="s">
        <v>776</v>
      </c>
      <c r="AA567" s="1158">
        <v>41880.50238425926</v>
      </c>
      <c r="AB567" s="1138">
        <f t="shared" si="8"/>
        <v>0</v>
      </c>
    </row>
    <row r="568" spans="1:28" x14ac:dyDescent="0.25">
      <c r="A568" s="1159" t="s">
        <v>1395</v>
      </c>
      <c r="B568" s="1159" t="s">
        <v>1393</v>
      </c>
      <c r="C568" s="1159" t="s">
        <v>1396</v>
      </c>
      <c r="D568" s="1160">
        <v>38229</v>
      </c>
      <c r="E568" s="1161">
        <v>47000000</v>
      </c>
      <c r="F568" s="1159" t="s">
        <v>610</v>
      </c>
      <c r="G568" s="1162" t="s">
        <v>611</v>
      </c>
      <c r="H568" s="1163">
        <v>3907</v>
      </c>
      <c r="I568" s="1159" t="s">
        <v>629</v>
      </c>
      <c r="J568" s="1162" t="s">
        <v>14</v>
      </c>
      <c r="K568" s="1159" t="s">
        <v>18</v>
      </c>
      <c r="L568" s="1159" t="s">
        <v>1397</v>
      </c>
      <c r="M568" s="1162" t="s">
        <v>14</v>
      </c>
      <c r="N568" s="1162" t="s">
        <v>861</v>
      </c>
      <c r="O568" s="1164">
        <v>95</v>
      </c>
      <c r="P568" s="1164">
        <v>0</v>
      </c>
      <c r="Q568" s="1164">
        <v>15</v>
      </c>
      <c r="R568" s="1159" t="s">
        <v>615</v>
      </c>
      <c r="S568" s="1159" t="s">
        <v>625</v>
      </c>
      <c r="T568" s="1159" t="s">
        <v>633</v>
      </c>
      <c r="U568" s="1165"/>
      <c r="V568" s="1159" t="s">
        <v>633</v>
      </c>
      <c r="W568" s="1165"/>
      <c r="X568" s="1159" t="s">
        <v>1398</v>
      </c>
      <c r="Y568" s="1167">
        <v>38229.62465277778</v>
      </c>
      <c r="Z568" s="1159" t="s">
        <v>776</v>
      </c>
      <c r="AA568" s="1167">
        <v>41880.50238425926</v>
      </c>
      <c r="AB568" s="1138">
        <f t="shared" si="8"/>
        <v>0</v>
      </c>
    </row>
    <row r="569" spans="1:28" x14ac:dyDescent="0.25">
      <c r="A569" s="1150" t="s">
        <v>1399</v>
      </c>
      <c r="B569" s="1150" t="s">
        <v>1393</v>
      </c>
      <c r="C569" s="1150" t="s">
        <v>1400</v>
      </c>
      <c r="D569" s="1151">
        <v>40653</v>
      </c>
      <c r="E569" s="1152">
        <v>59350000</v>
      </c>
      <c r="F569" s="1150" t="s">
        <v>610</v>
      </c>
      <c r="G569" s="1153" t="s">
        <v>611</v>
      </c>
      <c r="H569" s="1154">
        <v>3907</v>
      </c>
      <c r="I569" s="1150" t="s">
        <v>629</v>
      </c>
      <c r="J569" s="1153" t="s">
        <v>14</v>
      </c>
      <c r="K569" s="1150" t="s">
        <v>18</v>
      </c>
      <c r="L569" s="1150" t="s">
        <v>1397</v>
      </c>
      <c r="M569" s="1153" t="s">
        <v>14</v>
      </c>
      <c r="N569" s="1153" t="s">
        <v>1401</v>
      </c>
      <c r="O569" s="1155">
        <v>95</v>
      </c>
      <c r="P569" s="1155">
        <v>0</v>
      </c>
      <c r="Q569" s="1155">
        <v>15</v>
      </c>
      <c r="R569" s="1150" t="s">
        <v>615</v>
      </c>
      <c r="S569" s="1150" t="s">
        <v>625</v>
      </c>
      <c r="T569" s="1150" t="s">
        <v>633</v>
      </c>
      <c r="U569" s="1156"/>
      <c r="V569" s="1150" t="s">
        <v>633</v>
      </c>
      <c r="W569" s="1156"/>
      <c r="X569" s="1150" t="s">
        <v>782</v>
      </c>
      <c r="Y569" s="1158">
        <v>40653.59234953704</v>
      </c>
      <c r="Z569" s="1150" t="s">
        <v>776</v>
      </c>
      <c r="AA569" s="1158">
        <v>41880.50238425926</v>
      </c>
      <c r="AB569" s="1138">
        <f t="shared" si="8"/>
        <v>0</v>
      </c>
    </row>
    <row r="570" spans="1:28" x14ac:dyDescent="0.25">
      <c r="A570" s="1159" t="s">
        <v>1402</v>
      </c>
      <c r="B570" s="1159" t="s">
        <v>1393</v>
      </c>
      <c r="C570" s="1159" t="s">
        <v>1403</v>
      </c>
      <c r="D570" s="1160">
        <v>37751</v>
      </c>
      <c r="E570" s="1161">
        <v>36500000</v>
      </c>
      <c r="F570" s="1159" t="s">
        <v>610</v>
      </c>
      <c r="G570" s="1162" t="s">
        <v>611</v>
      </c>
      <c r="H570" s="1163">
        <v>3907</v>
      </c>
      <c r="I570" s="1159" t="s">
        <v>629</v>
      </c>
      <c r="J570" s="1162" t="s">
        <v>14</v>
      </c>
      <c r="K570" s="1159" t="s">
        <v>18</v>
      </c>
      <c r="L570" s="1159" t="s">
        <v>1404</v>
      </c>
      <c r="M570" s="1162" t="s">
        <v>14</v>
      </c>
      <c r="N570" s="1162" t="s">
        <v>861</v>
      </c>
      <c r="O570" s="1164">
        <v>95</v>
      </c>
      <c r="P570" s="1164">
        <v>0</v>
      </c>
      <c r="Q570" s="1164">
        <v>15</v>
      </c>
      <c r="R570" s="1159" t="s">
        <v>615</v>
      </c>
      <c r="S570" s="1159" t="s">
        <v>625</v>
      </c>
      <c r="T570" s="1159" t="s">
        <v>633</v>
      </c>
      <c r="U570" s="1165"/>
      <c r="V570" s="1159" t="s">
        <v>633</v>
      </c>
      <c r="W570" s="1165"/>
      <c r="X570" s="1159"/>
      <c r="Y570" s="1159"/>
      <c r="Z570" s="1159" t="s">
        <v>776</v>
      </c>
      <c r="AA570" s="1167">
        <v>41880.50238425926</v>
      </c>
      <c r="AB570" s="1138">
        <f t="shared" si="8"/>
        <v>0</v>
      </c>
    </row>
    <row r="571" spans="1:28" x14ac:dyDescent="0.25">
      <c r="A571" s="1150" t="s">
        <v>1405</v>
      </c>
      <c r="B571" s="1150" t="s">
        <v>1393</v>
      </c>
      <c r="C571" s="1150" t="s">
        <v>1406</v>
      </c>
      <c r="D571" s="1151">
        <v>40647</v>
      </c>
      <c r="E571" s="1152">
        <v>52490000</v>
      </c>
      <c r="F571" s="1150" t="s">
        <v>610</v>
      </c>
      <c r="G571" s="1153" t="s">
        <v>611</v>
      </c>
      <c r="H571" s="1154">
        <v>3907</v>
      </c>
      <c r="I571" s="1150" t="s">
        <v>629</v>
      </c>
      <c r="J571" s="1153" t="s">
        <v>14</v>
      </c>
      <c r="K571" s="1150" t="s">
        <v>18</v>
      </c>
      <c r="L571" s="1150" t="s">
        <v>1404</v>
      </c>
      <c r="M571" s="1153" t="s">
        <v>14</v>
      </c>
      <c r="N571" s="1153" t="s">
        <v>861</v>
      </c>
      <c r="O571" s="1155">
        <v>95</v>
      </c>
      <c r="P571" s="1155">
        <v>0</v>
      </c>
      <c r="Q571" s="1155">
        <v>15</v>
      </c>
      <c r="R571" s="1150" t="s">
        <v>615</v>
      </c>
      <c r="S571" s="1150" t="s">
        <v>625</v>
      </c>
      <c r="T571" s="1150" t="s">
        <v>633</v>
      </c>
      <c r="U571" s="1156"/>
      <c r="V571" s="1150" t="s">
        <v>633</v>
      </c>
      <c r="W571" s="1156"/>
      <c r="X571" s="1150" t="s">
        <v>782</v>
      </c>
      <c r="Y571" s="1158">
        <v>40647.678125</v>
      </c>
      <c r="Z571" s="1150" t="s">
        <v>1407</v>
      </c>
      <c r="AA571" s="1158">
        <v>40647.678125</v>
      </c>
      <c r="AB571" s="1138">
        <f t="shared" si="8"/>
        <v>0</v>
      </c>
    </row>
    <row r="572" spans="1:28" x14ac:dyDescent="0.25">
      <c r="A572" s="1159">
        <v>100930</v>
      </c>
      <c r="B572" s="1159" t="s">
        <v>1393</v>
      </c>
      <c r="C572" s="1159" t="s">
        <v>1408</v>
      </c>
      <c r="D572" s="1160">
        <v>41703</v>
      </c>
      <c r="E572" s="1161">
        <v>69310000</v>
      </c>
      <c r="F572" s="1159" t="s">
        <v>610</v>
      </c>
      <c r="G572" s="1162" t="s">
        <v>848</v>
      </c>
      <c r="H572" s="1163">
        <v>3933</v>
      </c>
      <c r="I572" s="1159" t="s">
        <v>629</v>
      </c>
      <c r="J572" s="1162" t="s">
        <v>14</v>
      </c>
      <c r="K572" s="1159" t="s">
        <v>18</v>
      </c>
      <c r="L572" s="1159" t="s">
        <v>1393</v>
      </c>
      <c r="M572" s="1162" t="s">
        <v>14</v>
      </c>
      <c r="N572" s="1162" t="s">
        <v>1401</v>
      </c>
      <c r="O572" s="1164">
        <v>95</v>
      </c>
      <c r="P572" s="1164">
        <v>0</v>
      </c>
      <c r="Q572" s="1164">
        <v>15</v>
      </c>
      <c r="R572" s="1159" t="s">
        <v>615</v>
      </c>
      <c r="S572" s="1159" t="s">
        <v>625</v>
      </c>
      <c r="T572" s="1159" t="s">
        <v>633</v>
      </c>
      <c r="U572" s="1165"/>
      <c r="V572" s="1159" t="s">
        <v>633</v>
      </c>
      <c r="W572" s="1165"/>
      <c r="X572" s="1159" t="s">
        <v>634</v>
      </c>
      <c r="Y572" s="1167">
        <v>41703.379652777774</v>
      </c>
      <c r="Z572" s="1159" t="s">
        <v>635</v>
      </c>
      <c r="AA572" s="1167">
        <v>42041.73474537037</v>
      </c>
      <c r="AB572" s="1138">
        <f t="shared" si="8"/>
        <v>0</v>
      </c>
    </row>
    <row r="573" spans="1:28" x14ac:dyDescent="0.25">
      <c r="A573" s="1150">
        <v>107377</v>
      </c>
      <c r="B573" s="1150" t="s">
        <v>1393</v>
      </c>
      <c r="C573" s="1150" t="s">
        <v>1409</v>
      </c>
      <c r="D573" s="1151">
        <v>42041</v>
      </c>
      <c r="E573" s="1152">
        <v>64090000</v>
      </c>
      <c r="F573" s="1150" t="s">
        <v>610</v>
      </c>
      <c r="G573" s="1153" t="s">
        <v>848</v>
      </c>
      <c r="H573" s="1154">
        <v>3933</v>
      </c>
      <c r="I573" s="1150" t="s">
        <v>629</v>
      </c>
      <c r="J573" s="1153" t="s">
        <v>14</v>
      </c>
      <c r="K573" s="1150" t="s">
        <v>18</v>
      </c>
      <c r="L573" s="1150" t="s">
        <v>1393</v>
      </c>
      <c r="M573" s="1153" t="s">
        <v>14</v>
      </c>
      <c r="N573" s="1153" t="s">
        <v>1401</v>
      </c>
      <c r="O573" s="1155">
        <v>95</v>
      </c>
      <c r="P573" s="1155">
        <v>0</v>
      </c>
      <c r="Q573" s="1155">
        <v>15</v>
      </c>
      <c r="R573" s="1150" t="s">
        <v>615</v>
      </c>
      <c r="S573" s="1150" t="s">
        <v>625</v>
      </c>
      <c r="T573" s="1150" t="s">
        <v>633</v>
      </c>
      <c r="U573" s="1156"/>
      <c r="V573" s="1150" t="s">
        <v>633</v>
      </c>
      <c r="W573" s="1156"/>
      <c r="X573" s="1150" t="s">
        <v>635</v>
      </c>
      <c r="Y573" s="1158">
        <v>42041.73625</v>
      </c>
      <c r="Z573" s="1150" t="s">
        <v>635</v>
      </c>
      <c r="AA573" s="1158">
        <v>42041.73694444445</v>
      </c>
      <c r="AB573" s="1138">
        <f t="shared" si="8"/>
        <v>0</v>
      </c>
    </row>
    <row r="574" spans="1:28" x14ac:dyDescent="0.25">
      <c r="A574" s="1159">
        <v>100336</v>
      </c>
      <c r="B574" s="1159" t="s">
        <v>1410</v>
      </c>
      <c r="C574" s="1159" t="s">
        <v>1411</v>
      </c>
      <c r="D574" s="1160">
        <v>41019</v>
      </c>
      <c r="E574" s="1161">
        <v>28610000</v>
      </c>
      <c r="F574" s="1159" t="s">
        <v>610</v>
      </c>
      <c r="G574" s="1162" t="s">
        <v>611</v>
      </c>
      <c r="H574" s="1163">
        <v>1998</v>
      </c>
      <c r="I574" s="1159" t="s">
        <v>612</v>
      </c>
      <c r="J574" s="1162" t="s">
        <v>14</v>
      </c>
      <c r="K574" s="1159" t="s">
        <v>849</v>
      </c>
      <c r="L574" s="1159" t="s">
        <v>1410</v>
      </c>
      <c r="M574" s="1162" t="s">
        <v>14</v>
      </c>
      <c r="N574" s="1162" t="s">
        <v>738</v>
      </c>
      <c r="O574" s="1164">
        <v>65</v>
      </c>
      <c r="P574" s="1164">
        <v>0</v>
      </c>
      <c r="Q574" s="1164">
        <v>7</v>
      </c>
      <c r="R574" s="1159" t="s">
        <v>710</v>
      </c>
      <c r="S574" s="1159" t="s">
        <v>910</v>
      </c>
      <c r="T574" s="1159" t="s">
        <v>1412</v>
      </c>
      <c r="U574" s="1166">
        <v>162100</v>
      </c>
      <c r="V574" s="1159" t="s">
        <v>1412</v>
      </c>
      <c r="W574" s="1166">
        <v>162100</v>
      </c>
      <c r="X574" s="1159" t="s">
        <v>634</v>
      </c>
      <c r="Y574" s="1167">
        <v>41019.583773148144</v>
      </c>
      <c r="Z574" s="1159" t="s">
        <v>1238</v>
      </c>
      <c r="AA574" s="1167">
        <v>42555.483877314815</v>
      </c>
      <c r="AB574" s="1138">
        <f t="shared" si="8"/>
        <v>324200</v>
      </c>
    </row>
    <row r="575" spans="1:28" x14ac:dyDescent="0.25">
      <c r="A575" s="1150">
        <v>108300</v>
      </c>
      <c r="B575" s="1150" t="s">
        <v>1410</v>
      </c>
      <c r="C575" s="1150" t="s">
        <v>1413</v>
      </c>
      <c r="D575" s="1151">
        <v>42696</v>
      </c>
      <c r="E575" s="1152">
        <v>29160000</v>
      </c>
      <c r="F575" s="1150" t="s">
        <v>610</v>
      </c>
      <c r="G575" s="1153" t="s">
        <v>611</v>
      </c>
      <c r="H575" s="1154">
        <v>1998</v>
      </c>
      <c r="I575" s="1150" t="s">
        <v>612</v>
      </c>
      <c r="J575" s="1153" t="s">
        <v>14</v>
      </c>
      <c r="K575" s="1150" t="s">
        <v>849</v>
      </c>
      <c r="L575" s="1150" t="s">
        <v>1410</v>
      </c>
      <c r="M575" s="1153" t="s">
        <v>14</v>
      </c>
      <c r="N575" s="1153" t="s">
        <v>738</v>
      </c>
      <c r="O575" s="1155">
        <v>65</v>
      </c>
      <c r="P575" s="1155">
        <v>0</v>
      </c>
      <c r="Q575" s="1155">
        <v>7</v>
      </c>
      <c r="R575" s="1150" t="s">
        <v>710</v>
      </c>
      <c r="S575" s="1150" t="s">
        <v>910</v>
      </c>
      <c r="T575" s="1150" t="s">
        <v>1412</v>
      </c>
      <c r="U575" s="1157">
        <v>162100</v>
      </c>
      <c r="V575" s="1150" t="s">
        <v>1412</v>
      </c>
      <c r="W575" s="1157">
        <v>162100</v>
      </c>
      <c r="X575" s="1150" t="s">
        <v>635</v>
      </c>
      <c r="Y575" s="1158">
        <v>42696.73260416667</v>
      </c>
      <c r="Z575" s="1150" t="s">
        <v>635</v>
      </c>
      <c r="AA575" s="1158">
        <v>42696.733125</v>
      </c>
      <c r="AB575" s="1138">
        <f t="shared" si="8"/>
        <v>324200</v>
      </c>
    </row>
    <row r="576" spans="1:28" x14ac:dyDescent="0.25">
      <c r="A576" s="1159">
        <v>100337</v>
      </c>
      <c r="B576" s="1159" t="s">
        <v>1410</v>
      </c>
      <c r="C576" s="1159" t="s">
        <v>1414</v>
      </c>
      <c r="D576" s="1160">
        <v>41019</v>
      </c>
      <c r="E576" s="1161">
        <v>30520000</v>
      </c>
      <c r="F576" s="1159" t="s">
        <v>610</v>
      </c>
      <c r="G576" s="1162" t="s">
        <v>611</v>
      </c>
      <c r="H576" s="1163">
        <v>1998</v>
      </c>
      <c r="I576" s="1159" t="s">
        <v>612</v>
      </c>
      <c r="J576" s="1162" t="s">
        <v>14</v>
      </c>
      <c r="K576" s="1159" t="s">
        <v>849</v>
      </c>
      <c r="L576" s="1159" t="s">
        <v>1410</v>
      </c>
      <c r="M576" s="1162" t="s">
        <v>14</v>
      </c>
      <c r="N576" s="1162" t="s">
        <v>738</v>
      </c>
      <c r="O576" s="1164">
        <v>65</v>
      </c>
      <c r="P576" s="1164">
        <v>0</v>
      </c>
      <c r="Q576" s="1164">
        <v>7</v>
      </c>
      <c r="R576" s="1159" t="s">
        <v>710</v>
      </c>
      <c r="S576" s="1159" t="s">
        <v>910</v>
      </c>
      <c r="T576" s="1159" t="s">
        <v>1415</v>
      </c>
      <c r="U576" s="1166">
        <v>165700</v>
      </c>
      <c r="V576" s="1159" t="s">
        <v>1415</v>
      </c>
      <c r="W576" s="1166">
        <v>165700</v>
      </c>
      <c r="X576" s="1159" t="s">
        <v>634</v>
      </c>
      <c r="Y576" s="1167">
        <v>41019.603055555555</v>
      </c>
      <c r="Z576" s="1159" t="s">
        <v>1238</v>
      </c>
      <c r="AA576" s="1167">
        <v>42555.48527777778</v>
      </c>
      <c r="AB576" s="1138">
        <f t="shared" si="8"/>
        <v>331400</v>
      </c>
    </row>
    <row r="577" spans="1:28" x14ac:dyDescent="0.25">
      <c r="A577" s="1150">
        <v>108301</v>
      </c>
      <c r="B577" s="1150" t="s">
        <v>1410</v>
      </c>
      <c r="C577" s="1150" t="s">
        <v>1416</v>
      </c>
      <c r="D577" s="1151">
        <v>42696</v>
      </c>
      <c r="E577" s="1152">
        <v>31870000</v>
      </c>
      <c r="F577" s="1150" t="s">
        <v>610</v>
      </c>
      <c r="G577" s="1153" t="s">
        <v>611</v>
      </c>
      <c r="H577" s="1154">
        <v>1998</v>
      </c>
      <c r="I577" s="1150" t="s">
        <v>612</v>
      </c>
      <c r="J577" s="1153" t="s">
        <v>14</v>
      </c>
      <c r="K577" s="1150" t="s">
        <v>849</v>
      </c>
      <c r="L577" s="1150" t="s">
        <v>1410</v>
      </c>
      <c r="M577" s="1153" t="s">
        <v>14</v>
      </c>
      <c r="N577" s="1153" t="s">
        <v>738</v>
      </c>
      <c r="O577" s="1155">
        <v>65</v>
      </c>
      <c r="P577" s="1155">
        <v>0</v>
      </c>
      <c r="Q577" s="1155">
        <v>7</v>
      </c>
      <c r="R577" s="1150" t="s">
        <v>710</v>
      </c>
      <c r="S577" s="1150" t="s">
        <v>910</v>
      </c>
      <c r="T577" s="1150" t="s">
        <v>1415</v>
      </c>
      <c r="U577" s="1157">
        <v>165700</v>
      </c>
      <c r="V577" s="1150" t="s">
        <v>1415</v>
      </c>
      <c r="W577" s="1157">
        <v>165700</v>
      </c>
      <c r="X577" s="1150" t="s">
        <v>635</v>
      </c>
      <c r="Y577" s="1158">
        <v>42696.733125</v>
      </c>
      <c r="Z577" s="1150" t="s">
        <v>635</v>
      </c>
      <c r="AA577" s="1158">
        <v>42696.733125</v>
      </c>
      <c r="AB577" s="1138">
        <f t="shared" si="8"/>
        <v>331400</v>
      </c>
    </row>
    <row r="578" spans="1:28" x14ac:dyDescent="0.25">
      <c r="A578" s="1159">
        <v>110541</v>
      </c>
      <c r="B578" s="1159" t="s">
        <v>1417</v>
      </c>
      <c r="C578" s="1159" t="s">
        <v>1418</v>
      </c>
      <c r="D578" s="1160">
        <v>43707</v>
      </c>
      <c r="E578" s="1161">
        <v>20500000</v>
      </c>
      <c r="F578" s="1159" t="s">
        <v>387</v>
      </c>
      <c r="G578" s="1162" t="s">
        <v>611</v>
      </c>
      <c r="H578" s="1163">
        <v>1591</v>
      </c>
      <c r="I578" s="1159" t="s">
        <v>612</v>
      </c>
      <c r="J578" s="1162" t="s">
        <v>14</v>
      </c>
      <c r="K578" s="1159" t="s">
        <v>18</v>
      </c>
      <c r="L578" s="1159" t="s">
        <v>1417</v>
      </c>
      <c r="M578" s="1162" t="s">
        <v>14</v>
      </c>
      <c r="N578" s="1162" t="s">
        <v>851</v>
      </c>
      <c r="O578" s="1164">
        <v>50</v>
      </c>
      <c r="P578" s="1165"/>
      <c r="Q578" s="1164">
        <v>5</v>
      </c>
      <c r="R578" s="1159" t="s">
        <v>842</v>
      </c>
      <c r="S578" s="1159" t="s">
        <v>625</v>
      </c>
      <c r="T578" s="1159" t="s">
        <v>763</v>
      </c>
      <c r="U578" s="1166">
        <v>109400</v>
      </c>
      <c r="V578" s="1159" t="s">
        <v>763</v>
      </c>
      <c r="W578" s="1166">
        <v>109400</v>
      </c>
      <c r="X578" s="1159" t="s">
        <v>618</v>
      </c>
      <c r="Y578" s="1167">
        <v>43707.54981481482</v>
      </c>
      <c r="Z578" s="1159" t="s">
        <v>618</v>
      </c>
      <c r="AA578" s="1167">
        <v>43898.05467592593</v>
      </c>
      <c r="AB578" s="1138">
        <f t="shared" si="8"/>
        <v>218800</v>
      </c>
    </row>
    <row r="579" spans="1:28" x14ac:dyDescent="0.25">
      <c r="A579" s="1150">
        <v>110544</v>
      </c>
      <c r="B579" s="1150" t="s">
        <v>1417</v>
      </c>
      <c r="C579" s="1150" t="s">
        <v>1419</v>
      </c>
      <c r="D579" s="1151">
        <v>43707</v>
      </c>
      <c r="E579" s="1152">
        <v>22400000</v>
      </c>
      <c r="F579" s="1150" t="s">
        <v>387</v>
      </c>
      <c r="G579" s="1153" t="s">
        <v>611</v>
      </c>
      <c r="H579" s="1154">
        <v>1591</v>
      </c>
      <c r="I579" s="1150" t="s">
        <v>612</v>
      </c>
      <c r="J579" s="1153" t="s">
        <v>14</v>
      </c>
      <c r="K579" s="1150" t="s">
        <v>18</v>
      </c>
      <c r="L579" s="1150" t="s">
        <v>1417</v>
      </c>
      <c r="M579" s="1153" t="s">
        <v>14</v>
      </c>
      <c r="N579" s="1153" t="s">
        <v>851</v>
      </c>
      <c r="O579" s="1155">
        <v>50</v>
      </c>
      <c r="P579" s="1156"/>
      <c r="Q579" s="1155">
        <v>5</v>
      </c>
      <c r="R579" s="1150" t="s">
        <v>842</v>
      </c>
      <c r="S579" s="1150" t="s">
        <v>625</v>
      </c>
      <c r="T579" s="1150" t="s">
        <v>763</v>
      </c>
      <c r="U579" s="1157">
        <v>109400</v>
      </c>
      <c r="V579" s="1150" t="s">
        <v>763</v>
      </c>
      <c r="W579" s="1157">
        <v>109400</v>
      </c>
      <c r="X579" s="1150" t="s">
        <v>618</v>
      </c>
      <c r="Y579" s="1158">
        <v>43707.63899305556</v>
      </c>
      <c r="Z579" s="1150" t="s">
        <v>618</v>
      </c>
      <c r="AA579" s="1158">
        <v>43898.05501157408</v>
      </c>
      <c r="AB579" s="1138">
        <f t="shared" ref="AB579:AB642" si="9">W579*2</f>
        <v>218800</v>
      </c>
    </row>
    <row r="580" spans="1:28" x14ac:dyDescent="0.25">
      <c r="A580" s="1159">
        <v>110540</v>
      </c>
      <c r="B580" s="1159" t="s">
        <v>1417</v>
      </c>
      <c r="C580" s="1159" t="s">
        <v>1420</v>
      </c>
      <c r="D580" s="1160">
        <v>43707</v>
      </c>
      <c r="E580" s="1161">
        <v>18670000</v>
      </c>
      <c r="F580" s="1159" t="s">
        <v>387</v>
      </c>
      <c r="G580" s="1162" t="s">
        <v>611</v>
      </c>
      <c r="H580" s="1163">
        <v>1591</v>
      </c>
      <c r="I580" s="1159" t="s">
        <v>612</v>
      </c>
      <c r="J580" s="1162" t="s">
        <v>14</v>
      </c>
      <c r="K580" s="1159" t="s">
        <v>18</v>
      </c>
      <c r="L580" s="1159" t="s">
        <v>1417</v>
      </c>
      <c r="M580" s="1162" t="s">
        <v>14</v>
      </c>
      <c r="N580" s="1162" t="s">
        <v>851</v>
      </c>
      <c r="O580" s="1164">
        <v>50</v>
      </c>
      <c r="P580" s="1165"/>
      <c r="Q580" s="1164">
        <v>5</v>
      </c>
      <c r="R580" s="1159" t="s">
        <v>842</v>
      </c>
      <c r="S580" s="1159" t="s">
        <v>625</v>
      </c>
      <c r="T580" s="1159" t="s">
        <v>763</v>
      </c>
      <c r="U580" s="1166">
        <v>109400</v>
      </c>
      <c r="V580" s="1159" t="s">
        <v>763</v>
      </c>
      <c r="W580" s="1166">
        <v>109400</v>
      </c>
      <c r="X580" s="1159" t="s">
        <v>618</v>
      </c>
      <c r="Y580" s="1167">
        <v>43707.05452546296</v>
      </c>
      <c r="Z580" s="1159" t="s">
        <v>618</v>
      </c>
      <c r="AA580" s="1167">
        <v>43898.05355324074</v>
      </c>
      <c r="AB580" s="1138">
        <f t="shared" si="9"/>
        <v>218800</v>
      </c>
    </row>
    <row r="581" spans="1:28" x14ac:dyDescent="0.25">
      <c r="A581" s="1150">
        <v>110543</v>
      </c>
      <c r="B581" s="1150" t="s">
        <v>1417</v>
      </c>
      <c r="C581" s="1150" t="s">
        <v>1421</v>
      </c>
      <c r="D581" s="1151">
        <v>43707</v>
      </c>
      <c r="E581" s="1152">
        <v>20570000</v>
      </c>
      <c r="F581" s="1150" t="s">
        <v>387</v>
      </c>
      <c r="G581" s="1153" t="s">
        <v>611</v>
      </c>
      <c r="H581" s="1154">
        <v>1591</v>
      </c>
      <c r="I581" s="1150" t="s">
        <v>612</v>
      </c>
      <c r="J581" s="1153" t="s">
        <v>14</v>
      </c>
      <c r="K581" s="1150" t="s">
        <v>18</v>
      </c>
      <c r="L581" s="1150" t="s">
        <v>1417</v>
      </c>
      <c r="M581" s="1153" t="s">
        <v>14</v>
      </c>
      <c r="N581" s="1153" t="s">
        <v>851</v>
      </c>
      <c r="O581" s="1155">
        <v>50</v>
      </c>
      <c r="P581" s="1156"/>
      <c r="Q581" s="1155">
        <v>5</v>
      </c>
      <c r="R581" s="1150" t="s">
        <v>842</v>
      </c>
      <c r="S581" s="1150" t="s">
        <v>625</v>
      </c>
      <c r="T581" s="1150" t="s">
        <v>763</v>
      </c>
      <c r="U581" s="1157">
        <v>109400</v>
      </c>
      <c r="V581" s="1150" t="s">
        <v>763</v>
      </c>
      <c r="W581" s="1157">
        <v>109400</v>
      </c>
      <c r="X581" s="1150" t="s">
        <v>618</v>
      </c>
      <c r="Y581" s="1158">
        <v>43707.63847222222</v>
      </c>
      <c r="Z581" s="1150" t="s">
        <v>618</v>
      </c>
      <c r="AA581" s="1158">
        <v>43898.05428240741</v>
      </c>
      <c r="AB581" s="1138">
        <f t="shared" si="9"/>
        <v>218800</v>
      </c>
    </row>
    <row r="582" spans="1:28" x14ac:dyDescent="0.25">
      <c r="A582" s="1159">
        <v>110542</v>
      </c>
      <c r="B582" s="1159" t="s">
        <v>1417</v>
      </c>
      <c r="C582" s="1159" t="s">
        <v>1422</v>
      </c>
      <c r="D582" s="1160">
        <v>43707</v>
      </c>
      <c r="E582" s="1161">
        <v>21900000</v>
      </c>
      <c r="F582" s="1159" t="s">
        <v>387</v>
      </c>
      <c r="G582" s="1162" t="s">
        <v>611</v>
      </c>
      <c r="H582" s="1163">
        <v>1591</v>
      </c>
      <c r="I582" s="1159" t="s">
        <v>612</v>
      </c>
      <c r="J582" s="1162" t="s">
        <v>14</v>
      </c>
      <c r="K582" s="1159" t="s">
        <v>18</v>
      </c>
      <c r="L582" s="1159" t="s">
        <v>1417</v>
      </c>
      <c r="M582" s="1162" t="s">
        <v>14</v>
      </c>
      <c r="N582" s="1162" t="s">
        <v>851</v>
      </c>
      <c r="O582" s="1164">
        <v>50</v>
      </c>
      <c r="P582" s="1165"/>
      <c r="Q582" s="1164">
        <v>5</v>
      </c>
      <c r="R582" s="1159" t="s">
        <v>842</v>
      </c>
      <c r="S582" s="1159" t="s">
        <v>625</v>
      </c>
      <c r="T582" s="1159" t="s">
        <v>667</v>
      </c>
      <c r="U582" s="1166">
        <v>131000</v>
      </c>
      <c r="V582" s="1159" t="s">
        <v>667</v>
      </c>
      <c r="W582" s="1166">
        <v>131000</v>
      </c>
      <c r="X582" s="1159" t="s">
        <v>618</v>
      </c>
      <c r="Y582" s="1167">
        <v>43707.56523148148</v>
      </c>
      <c r="Z582" s="1159" t="s">
        <v>618</v>
      </c>
      <c r="AA582" s="1167">
        <v>43898.055347222224</v>
      </c>
      <c r="AB582" s="1138">
        <f t="shared" si="9"/>
        <v>262000</v>
      </c>
    </row>
    <row r="583" spans="1:28" x14ac:dyDescent="0.25">
      <c r="A583" s="1150">
        <v>110545</v>
      </c>
      <c r="B583" s="1150" t="s">
        <v>1417</v>
      </c>
      <c r="C583" s="1150" t="s">
        <v>1423</v>
      </c>
      <c r="D583" s="1151">
        <v>43707</v>
      </c>
      <c r="E583" s="1152">
        <v>23800000</v>
      </c>
      <c r="F583" s="1150" t="s">
        <v>387</v>
      </c>
      <c r="G583" s="1153" t="s">
        <v>611</v>
      </c>
      <c r="H583" s="1154">
        <v>1591</v>
      </c>
      <c r="I583" s="1150" t="s">
        <v>612</v>
      </c>
      <c r="J583" s="1153" t="s">
        <v>14</v>
      </c>
      <c r="K583" s="1150" t="s">
        <v>18</v>
      </c>
      <c r="L583" s="1150" t="s">
        <v>1417</v>
      </c>
      <c r="M583" s="1153" t="s">
        <v>14</v>
      </c>
      <c r="N583" s="1153" t="s">
        <v>851</v>
      </c>
      <c r="O583" s="1155">
        <v>50</v>
      </c>
      <c r="P583" s="1156"/>
      <c r="Q583" s="1155">
        <v>5</v>
      </c>
      <c r="R583" s="1150" t="s">
        <v>842</v>
      </c>
      <c r="S583" s="1150" t="s">
        <v>625</v>
      </c>
      <c r="T583" s="1150" t="s">
        <v>667</v>
      </c>
      <c r="U583" s="1157">
        <v>131000</v>
      </c>
      <c r="V583" s="1150" t="s">
        <v>667</v>
      </c>
      <c r="W583" s="1157">
        <v>131000</v>
      </c>
      <c r="X583" s="1150" t="s">
        <v>618</v>
      </c>
      <c r="Y583" s="1158">
        <v>43707.6402662037</v>
      </c>
      <c r="Z583" s="1150" t="s">
        <v>618</v>
      </c>
      <c r="AA583" s="1158">
        <v>43898.05554398148</v>
      </c>
      <c r="AB583" s="1138">
        <f t="shared" si="9"/>
        <v>262000</v>
      </c>
    </row>
    <row r="584" spans="1:28" x14ac:dyDescent="0.25">
      <c r="A584" s="1159">
        <v>110551</v>
      </c>
      <c r="B584" s="1159" t="s">
        <v>1417</v>
      </c>
      <c r="C584" s="1159" t="s">
        <v>1424</v>
      </c>
      <c r="D584" s="1160">
        <v>43707</v>
      </c>
      <c r="E584" s="1161">
        <v>22450000</v>
      </c>
      <c r="F584" s="1159" t="s">
        <v>610</v>
      </c>
      <c r="G584" s="1162" t="s">
        <v>611</v>
      </c>
      <c r="H584" s="1163">
        <v>1598</v>
      </c>
      <c r="I584" s="1159" t="s">
        <v>612</v>
      </c>
      <c r="J584" s="1162" t="s">
        <v>14</v>
      </c>
      <c r="K584" s="1159" t="s">
        <v>18</v>
      </c>
      <c r="L584" s="1159" t="s">
        <v>1417</v>
      </c>
      <c r="M584" s="1162" t="s">
        <v>14</v>
      </c>
      <c r="N584" s="1162" t="s">
        <v>851</v>
      </c>
      <c r="O584" s="1164">
        <v>50</v>
      </c>
      <c r="P584" s="1165"/>
      <c r="Q584" s="1164">
        <v>5</v>
      </c>
      <c r="R584" s="1159" t="s">
        <v>690</v>
      </c>
      <c r="S584" s="1159" t="s">
        <v>625</v>
      </c>
      <c r="T584" s="1159" t="s">
        <v>763</v>
      </c>
      <c r="U584" s="1166">
        <v>109400</v>
      </c>
      <c r="V584" s="1159" t="s">
        <v>763</v>
      </c>
      <c r="W584" s="1166">
        <v>109400</v>
      </c>
      <c r="X584" s="1159" t="s">
        <v>618</v>
      </c>
      <c r="Y584" s="1167">
        <v>43707.99491898148</v>
      </c>
      <c r="Z584" s="1159" t="s">
        <v>618</v>
      </c>
      <c r="AA584" s="1167">
        <v>43898.0640162037</v>
      </c>
      <c r="AB584" s="1138">
        <f t="shared" si="9"/>
        <v>218800</v>
      </c>
    </row>
    <row r="585" spans="1:28" x14ac:dyDescent="0.25">
      <c r="A585" s="1150">
        <v>110552</v>
      </c>
      <c r="B585" s="1150" t="s">
        <v>1417</v>
      </c>
      <c r="C585" s="1150" t="s">
        <v>1425</v>
      </c>
      <c r="D585" s="1151">
        <v>43708</v>
      </c>
      <c r="E585" s="1152">
        <v>24350000</v>
      </c>
      <c r="F585" s="1150" t="s">
        <v>610</v>
      </c>
      <c r="G585" s="1153" t="s">
        <v>611</v>
      </c>
      <c r="H585" s="1154">
        <v>1598</v>
      </c>
      <c r="I585" s="1150" t="s">
        <v>612</v>
      </c>
      <c r="J585" s="1153" t="s">
        <v>14</v>
      </c>
      <c r="K585" s="1150" t="s">
        <v>18</v>
      </c>
      <c r="L585" s="1150" t="s">
        <v>1417</v>
      </c>
      <c r="M585" s="1153" t="s">
        <v>14</v>
      </c>
      <c r="N585" s="1153" t="s">
        <v>851</v>
      </c>
      <c r="O585" s="1155">
        <v>50</v>
      </c>
      <c r="P585" s="1156"/>
      <c r="Q585" s="1155">
        <v>5</v>
      </c>
      <c r="R585" s="1150" t="s">
        <v>690</v>
      </c>
      <c r="S585" s="1150" t="s">
        <v>625</v>
      </c>
      <c r="T585" s="1150" t="s">
        <v>763</v>
      </c>
      <c r="U585" s="1157">
        <v>109400</v>
      </c>
      <c r="V585" s="1150" t="s">
        <v>763</v>
      </c>
      <c r="W585" s="1157">
        <v>109400</v>
      </c>
      <c r="X585" s="1150" t="s">
        <v>618</v>
      </c>
      <c r="Y585" s="1158">
        <v>43708.310949074075</v>
      </c>
      <c r="Z585" s="1150" t="s">
        <v>618</v>
      </c>
      <c r="AA585" s="1158">
        <v>43898.06418981482</v>
      </c>
      <c r="AB585" s="1138">
        <f t="shared" si="9"/>
        <v>218800</v>
      </c>
    </row>
    <row r="586" spans="1:28" x14ac:dyDescent="0.25">
      <c r="A586" s="1159">
        <v>110549</v>
      </c>
      <c r="B586" s="1159" t="s">
        <v>1417</v>
      </c>
      <c r="C586" s="1159" t="s">
        <v>1426</v>
      </c>
      <c r="D586" s="1160">
        <v>43707</v>
      </c>
      <c r="E586" s="1161">
        <v>20620000</v>
      </c>
      <c r="F586" s="1159" t="s">
        <v>610</v>
      </c>
      <c r="G586" s="1162" t="s">
        <v>611</v>
      </c>
      <c r="H586" s="1163">
        <v>1598</v>
      </c>
      <c r="I586" s="1159" t="s">
        <v>612</v>
      </c>
      <c r="J586" s="1162" t="s">
        <v>14</v>
      </c>
      <c r="K586" s="1159" t="s">
        <v>18</v>
      </c>
      <c r="L586" s="1159" t="s">
        <v>1417</v>
      </c>
      <c r="M586" s="1162" t="s">
        <v>14</v>
      </c>
      <c r="N586" s="1162" t="s">
        <v>851</v>
      </c>
      <c r="O586" s="1164">
        <v>50</v>
      </c>
      <c r="P586" s="1165"/>
      <c r="Q586" s="1164">
        <v>5</v>
      </c>
      <c r="R586" s="1159" t="s">
        <v>690</v>
      </c>
      <c r="S586" s="1159" t="s">
        <v>625</v>
      </c>
      <c r="T586" s="1159" t="s">
        <v>763</v>
      </c>
      <c r="U586" s="1166">
        <v>109400</v>
      </c>
      <c r="V586" s="1159" t="s">
        <v>763</v>
      </c>
      <c r="W586" s="1166">
        <v>109400</v>
      </c>
      <c r="X586" s="1159" t="s">
        <v>618</v>
      </c>
      <c r="Y586" s="1167">
        <v>43707.95878472222</v>
      </c>
      <c r="Z586" s="1159" t="s">
        <v>618</v>
      </c>
      <c r="AA586" s="1167">
        <v>43898.061006944445</v>
      </c>
      <c r="AB586" s="1138">
        <f t="shared" si="9"/>
        <v>218800</v>
      </c>
    </row>
    <row r="587" spans="1:28" x14ac:dyDescent="0.25">
      <c r="A587" s="1150">
        <v>110550</v>
      </c>
      <c r="B587" s="1150" t="s">
        <v>1417</v>
      </c>
      <c r="C587" s="1150" t="s">
        <v>1427</v>
      </c>
      <c r="D587" s="1151">
        <v>43707</v>
      </c>
      <c r="E587" s="1152">
        <v>22520000</v>
      </c>
      <c r="F587" s="1150" t="s">
        <v>610</v>
      </c>
      <c r="G587" s="1153" t="s">
        <v>611</v>
      </c>
      <c r="H587" s="1154">
        <v>1598</v>
      </c>
      <c r="I587" s="1150" t="s">
        <v>612</v>
      </c>
      <c r="J587" s="1153" t="s">
        <v>14</v>
      </c>
      <c r="K587" s="1150" t="s">
        <v>18</v>
      </c>
      <c r="L587" s="1150" t="s">
        <v>1417</v>
      </c>
      <c r="M587" s="1153" t="s">
        <v>14</v>
      </c>
      <c r="N587" s="1153" t="s">
        <v>851</v>
      </c>
      <c r="O587" s="1155">
        <v>50</v>
      </c>
      <c r="P587" s="1156"/>
      <c r="Q587" s="1155">
        <v>5</v>
      </c>
      <c r="R587" s="1150" t="s">
        <v>690</v>
      </c>
      <c r="S587" s="1150" t="s">
        <v>625</v>
      </c>
      <c r="T587" s="1150" t="s">
        <v>763</v>
      </c>
      <c r="U587" s="1157">
        <v>109400</v>
      </c>
      <c r="V587" s="1150" t="s">
        <v>763</v>
      </c>
      <c r="W587" s="1157">
        <v>109400</v>
      </c>
      <c r="X587" s="1150" t="s">
        <v>618</v>
      </c>
      <c r="Y587" s="1158">
        <v>43707.96553240741</v>
      </c>
      <c r="Z587" s="1150" t="s">
        <v>618</v>
      </c>
      <c r="AA587" s="1158">
        <v>43898.061215277776</v>
      </c>
      <c r="AB587" s="1138">
        <f t="shared" si="9"/>
        <v>218800</v>
      </c>
    </row>
    <row r="588" spans="1:28" x14ac:dyDescent="0.25">
      <c r="A588" s="1159">
        <v>110553</v>
      </c>
      <c r="B588" s="1159" t="s">
        <v>1417</v>
      </c>
      <c r="C588" s="1159" t="s">
        <v>1428</v>
      </c>
      <c r="D588" s="1160">
        <v>43708</v>
      </c>
      <c r="E588" s="1161">
        <v>23850000</v>
      </c>
      <c r="F588" s="1159" t="s">
        <v>387</v>
      </c>
      <c r="G588" s="1162" t="s">
        <v>611</v>
      </c>
      <c r="H588" s="1163">
        <v>1598</v>
      </c>
      <c r="I588" s="1159" t="s">
        <v>612</v>
      </c>
      <c r="J588" s="1162" t="s">
        <v>14</v>
      </c>
      <c r="K588" s="1159" t="s">
        <v>18</v>
      </c>
      <c r="L588" s="1159" t="s">
        <v>1417</v>
      </c>
      <c r="M588" s="1162" t="s">
        <v>14</v>
      </c>
      <c r="N588" s="1162" t="s">
        <v>851</v>
      </c>
      <c r="O588" s="1164">
        <v>50</v>
      </c>
      <c r="P588" s="1165"/>
      <c r="Q588" s="1164">
        <v>5</v>
      </c>
      <c r="R588" s="1159" t="s">
        <v>842</v>
      </c>
      <c r="S588" s="1159" t="s">
        <v>625</v>
      </c>
      <c r="T588" s="1159" t="s">
        <v>667</v>
      </c>
      <c r="U588" s="1166">
        <v>131000</v>
      </c>
      <c r="V588" s="1159" t="s">
        <v>667</v>
      </c>
      <c r="W588" s="1166">
        <v>131000</v>
      </c>
      <c r="X588" s="1159" t="s">
        <v>618</v>
      </c>
      <c r="Y588" s="1167">
        <v>43708.31254629629</v>
      </c>
      <c r="Z588" s="1159" t="s">
        <v>618</v>
      </c>
      <c r="AA588" s="1167">
        <v>43898.065405092595</v>
      </c>
      <c r="AB588" s="1138">
        <f t="shared" si="9"/>
        <v>262000</v>
      </c>
    </row>
    <row r="589" spans="1:28" x14ac:dyDescent="0.25">
      <c r="A589" s="1150">
        <v>110554</v>
      </c>
      <c r="B589" s="1150" t="s">
        <v>1417</v>
      </c>
      <c r="C589" s="1150" t="s">
        <v>1429</v>
      </c>
      <c r="D589" s="1151">
        <v>43708</v>
      </c>
      <c r="E589" s="1152">
        <v>25750000</v>
      </c>
      <c r="F589" s="1150" t="s">
        <v>387</v>
      </c>
      <c r="G589" s="1153" t="s">
        <v>611</v>
      </c>
      <c r="H589" s="1154">
        <v>1598</v>
      </c>
      <c r="I589" s="1150" t="s">
        <v>612</v>
      </c>
      <c r="J589" s="1153" t="s">
        <v>14</v>
      </c>
      <c r="K589" s="1150" t="s">
        <v>18</v>
      </c>
      <c r="L589" s="1150" t="s">
        <v>1417</v>
      </c>
      <c r="M589" s="1153" t="s">
        <v>14</v>
      </c>
      <c r="N589" s="1153" t="s">
        <v>851</v>
      </c>
      <c r="O589" s="1155">
        <v>50</v>
      </c>
      <c r="P589" s="1156"/>
      <c r="Q589" s="1155">
        <v>5</v>
      </c>
      <c r="R589" s="1150" t="s">
        <v>842</v>
      </c>
      <c r="S589" s="1150" t="s">
        <v>625</v>
      </c>
      <c r="T589" s="1150" t="s">
        <v>667</v>
      </c>
      <c r="U589" s="1157">
        <v>131000</v>
      </c>
      <c r="V589" s="1150" t="s">
        <v>667</v>
      </c>
      <c r="W589" s="1157">
        <v>131000</v>
      </c>
      <c r="X589" s="1150" t="s">
        <v>618</v>
      </c>
      <c r="Y589" s="1158">
        <v>43708.31334490741</v>
      </c>
      <c r="Z589" s="1150" t="s">
        <v>618</v>
      </c>
      <c r="AA589" s="1158">
        <v>43898.0655787037</v>
      </c>
      <c r="AB589" s="1138">
        <f t="shared" si="9"/>
        <v>262000</v>
      </c>
    </row>
    <row r="590" spans="1:28" x14ac:dyDescent="0.25">
      <c r="A590" s="1159">
        <v>110592</v>
      </c>
      <c r="B590" s="1159" t="s">
        <v>1417</v>
      </c>
      <c r="C590" s="1159" t="s">
        <v>1430</v>
      </c>
      <c r="D590" s="1160">
        <v>43719</v>
      </c>
      <c r="E590" s="1161">
        <v>48518500</v>
      </c>
      <c r="F590" s="1159" t="s">
        <v>759</v>
      </c>
      <c r="G590" s="1162" t="s">
        <v>611</v>
      </c>
      <c r="H590" s="1162">
        <v>150</v>
      </c>
      <c r="I590" s="1159" t="s">
        <v>612</v>
      </c>
      <c r="J590" s="1162" t="s">
        <v>14</v>
      </c>
      <c r="K590" s="1159" t="s">
        <v>18</v>
      </c>
      <c r="L590" s="1159" t="s">
        <v>1417</v>
      </c>
      <c r="M590" s="1162" t="s">
        <v>14</v>
      </c>
      <c r="N590" s="1162" t="s">
        <v>703</v>
      </c>
      <c r="O590" s="1164">
        <v>64</v>
      </c>
      <c r="P590" s="1165"/>
      <c r="Q590" s="1164">
        <v>5</v>
      </c>
      <c r="R590" s="1159" t="s">
        <v>773</v>
      </c>
      <c r="S590" s="1159" t="s">
        <v>625</v>
      </c>
      <c r="T590" s="1159" t="s">
        <v>667</v>
      </c>
      <c r="U590" s="1166">
        <v>131000</v>
      </c>
      <c r="V590" s="1159" t="s">
        <v>667</v>
      </c>
      <c r="W590" s="1166">
        <v>131000</v>
      </c>
      <c r="X590" s="1159" t="s">
        <v>618</v>
      </c>
      <c r="Y590" s="1167">
        <v>43719.51773148148</v>
      </c>
      <c r="Z590" s="1159" t="s">
        <v>618</v>
      </c>
      <c r="AA590" s="1167">
        <v>43900.638437500005</v>
      </c>
      <c r="AB590" s="1138">
        <f t="shared" si="9"/>
        <v>262000</v>
      </c>
    </row>
    <row r="591" spans="1:28" x14ac:dyDescent="0.25">
      <c r="A591" s="1150">
        <v>110593</v>
      </c>
      <c r="B591" s="1150" t="s">
        <v>1417</v>
      </c>
      <c r="C591" s="1150" t="s">
        <v>1431</v>
      </c>
      <c r="D591" s="1151">
        <v>43719</v>
      </c>
      <c r="E591" s="1152">
        <v>50648500</v>
      </c>
      <c r="F591" s="1150" t="s">
        <v>759</v>
      </c>
      <c r="G591" s="1153" t="s">
        <v>611</v>
      </c>
      <c r="H591" s="1153">
        <v>150</v>
      </c>
      <c r="I591" s="1150" t="s">
        <v>612</v>
      </c>
      <c r="J591" s="1153" t="s">
        <v>14</v>
      </c>
      <c r="K591" s="1150" t="s">
        <v>18</v>
      </c>
      <c r="L591" s="1150" t="s">
        <v>1417</v>
      </c>
      <c r="M591" s="1153" t="s">
        <v>14</v>
      </c>
      <c r="N591" s="1153" t="s">
        <v>703</v>
      </c>
      <c r="O591" s="1155">
        <v>64</v>
      </c>
      <c r="P591" s="1156"/>
      <c r="Q591" s="1155">
        <v>5</v>
      </c>
      <c r="R591" s="1150" t="s">
        <v>773</v>
      </c>
      <c r="S591" s="1150" t="s">
        <v>625</v>
      </c>
      <c r="T591" s="1150" t="s">
        <v>667</v>
      </c>
      <c r="U591" s="1157">
        <v>131000</v>
      </c>
      <c r="V591" s="1150" t="s">
        <v>667</v>
      </c>
      <c r="W591" s="1157">
        <v>131000</v>
      </c>
      <c r="X591" s="1150" t="s">
        <v>618</v>
      </c>
      <c r="Y591" s="1158">
        <v>43719.541504629626</v>
      </c>
      <c r="Z591" s="1150" t="s">
        <v>618</v>
      </c>
      <c r="AA591" s="1158">
        <v>43900.63431712963</v>
      </c>
      <c r="AB591" s="1138">
        <f t="shared" si="9"/>
        <v>262000</v>
      </c>
    </row>
    <row r="592" ht="24" customHeight="1" spans="1:28" x14ac:dyDescent="0.25">
      <c r="A592" s="1159">
        <v>110559</v>
      </c>
      <c r="B592" s="1159" t="s">
        <v>1417</v>
      </c>
      <c r="C592" s="1159" t="s">
        <v>1432</v>
      </c>
      <c r="D592" s="1160">
        <v>43708</v>
      </c>
      <c r="E592" s="1161">
        <v>26090000</v>
      </c>
      <c r="F592" s="1159" t="s">
        <v>681</v>
      </c>
      <c r="G592" s="1162" t="s">
        <v>611</v>
      </c>
      <c r="H592" s="1163">
        <v>1591</v>
      </c>
      <c r="I592" s="1159" t="s">
        <v>612</v>
      </c>
      <c r="J592" s="1162" t="s">
        <v>14</v>
      </c>
      <c r="K592" s="1159" t="s">
        <v>18</v>
      </c>
      <c r="L592" s="1159" t="s">
        <v>1417</v>
      </c>
      <c r="M592" s="1162" t="s">
        <v>14</v>
      </c>
      <c r="N592" s="1162" t="s">
        <v>851</v>
      </c>
      <c r="O592" s="1164">
        <v>50</v>
      </c>
      <c r="P592" s="1165"/>
      <c r="Q592" s="1164">
        <v>5</v>
      </c>
      <c r="R592" s="1159" t="s">
        <v>662</v>
      </c>
      <c r="S592" s="1159" t="s">
        <v>625</v>
      </c>
      <c r="T592" s="1159" t="s">
        <v>763</v>
      </c>
      <c r="U592" s="1166">
        <v>109400</v>
      </c>
      <c r="V592" s="1159" t="s">
        <v>763</v>
      </c>
      <c r="W592" s="1166">
        <v>109400</v>
      </c>
      <c r="X592" s="1159" t="s">
        <v>618</v>
      </c>
      <c r="Y592" s="1167">
        <v>43708.34548611111</v>
      </c>
      <c r="Z592" s="1159" t="s">
        <v>1433</v>
      </c>
      <c r="AA592" s="1167">
        <v>43852.483831018515</v>
      </c>
      <c r="AB592" s="1138">
        <f t="shared" si="9"/>
        <v>218800</v>
      </c>
    </row>
    <row r="593" ht="24" customHeight="1" spans="1:28" x14ac:dyDescent="0.25">
      <c r="A593" s="1150">
        <v>110558</v>
      </c>
      <c r="B593" s="1150" t="s">
        <v>1417</v>
      </c>
      <c r="C593" s="1150" t="s">
        <v>1434</v>
      </c>
      <c r="D593" s="1151">
        <v>43708</v>
      </c>
      <c r="E593" s="1152">
        <v>24180000</v>
      </c>
      <c r="F593" s="1150" t="s">
        <v>681</v>
      </c>
      <c r="G593" s="1153" t="s">
        <v>611</v>
      </c>
      <c r="H593" s="1154">
        <v>1591</v>
      </c>
      <c r="I593" s="1150" t="s">
        <v>612</v>
      </c>
      <c r="J593" s="1153" t="s">
        <v>14</v>
      </c>
      <c r="K593" s="1150" t="s">
        <v>18</v>
      </c>
      <c r="L593" s="1150" t="s">
        <v>1417</v>
      </c>
      <c r="M593" s="1153" t="s">
        <v>14</v>
      </c>
      <c r="N593" s="1153" t="s">
        <v>851</v>
      </c>
      <c r="O593" s="1155">
        <v>50</v>
      </c>
      <c r="P593" s="1156"/>
      <c r="Q593" s="1155">
        <v>5</v>
      </c>
      <c r="R593" s="1150" t="s">
        <v>662</v>
      </c>
      <c r="S593" s="1150" t="s">
        <v>625</v>
      </c>
      <c r="T593" s="1150" t="s">
        <v>763</v>
      </c>
      <c r="U593" s="1157">
        <v>109400</v>
      </c>
      <c r="V593" s="1150" t="s">
        <v>763</v>
      </c>
      <c r="W593" s="1157">
        <v>109400</v>
      </c>
      <c r="X593" s="1150" t="s">
        <v>618</v>
      </c>
      <c r="Y593" s="1158">
        <v>43708.32409722223</v>
      </c>
      <c r="Z593" s="1150" t="s">
        <v>1433</v>
      </c>
      <c r="AA593" s="1158">
        <v>43852.48396990741</v>
      </c>
      <c r="AB593" s="1138">
        <f t="shared" si="9"/>
        <v>218800</v>
      </c>
    </row>
    <row r="594" ht="24" customHeight="1" spans="1:28" x14ac:dyDescent="0.25">
      <c r="A594" s="1159">
        <v>110560</v>
      </c>
      <c r="B594" s="1159" t="s">
        <v>1417</v>
      </c>
      <c r="C594" s="1159" t="s">
        <v>1435</v>
      </c>
      <c r="D594" s="1160">
        <v>43708</v>
      </c>
      <c r="E594" s="1161">
        <v>27810000</v>
      </c>
      <c r="F594" s="1159" t="s">
        <v>681</v>
      </c>
      <c r="G594" s="1162" t="s">
        <v>611</v>
      </c>
      <c r="H594" s="1163">
        <v>1591</v>
      </c>
      <c r="I594" s="1159" t="s">
        <v>612</v>
      </c>
      <c r="J594" s="1162" t="s">
        <v>14</v>
      </c>
      <c r="K594" s="1159" t="s">
        <v>18</v>
      </c>
      <c r="L594" s="1159" t="s">
        <v>1417</v>
      </c>
      <c r="M594" s="1162" t="s">
        <v>14</v>
      </c>
      <c r="N594" s="1162" t="s">
        <v>851</v>
      </c>
      <c r="O594" s="1164">
        <v>50</v>
      </c>
      <c r="P594" s="1165"/>
      <c r="Q594" s="1164">
        <v>5</v>
      </c>
      <c r="R594" s="1159" t="s">
        <v>662</v>
      </c>
      <c r="S594" s="1159" t="s">
        <v>625</v>
      </c>
      <c r="T594" s="1159" t="s">
        <v>667</v>
      </c>
      <c r="U594" s="1166">
        <v>131000</v>
      </c>
      <c r="V594" s="1159" t="s">
        <v>667</v>
      </c>
      <c r="W594" s="1166">
        <v>131000</v>
      </c>
      <c r="X594" s="1159" t="s">
        <v>618</v>
      </c>
      <c r="Y594" s="1167">
        <v>43708.34716435186</v>
      </c>
      <c r="Z594" s="1159" t="s">
        <v>1433</v>
      </c>
      <c r="AA594" s="1167">
        <v>43852.483715277776</v>
      </c>
      <c r="AB594" s="1138">
        <f t="shared" si="9"/>
        <v>262000</v>
      </c>
    </row>
    <row r="595" spans="1:28" x14ac:dyDescent="0.25">
      <c r="A595" s="1150">
        <v>111019</v>
      </c>
      <c r="B595" s="1150" t="s">
        <v>1436</v>
      </c>
      <c r="C595" s="1150" t="s">
        <v>1437</v>
      </c>
      <c r="D595" s="1151">
        <v>43831</v>
      </c>
      <c r="E595" s="1152">
        <v>22010000</v>
      </c>
      <c r="F595" s="1150" t="s">
        <v>387</v>
      </c>
      <c r="G595" s="1153" t="s">
        <v>611</v>
      </c>
      <c r="H595" s="1154">
        <v>1497</v>
      </c>
      <c r="I595" s="1150" t="s">
        <v>612</v>
      </c>
      <c r="J595" s="1153" t="s">
        <v>14</v>
      </c>
      <c r="K595" s="1150" t="s">
        <v>86</v>
      </c>
      <c r="L595" s="1150" t="s">
        <v>1436</v>
      </c>
      <c r="M595" s="1153" t="s">
        <v>14</v>
      </c>
      <c r="N595" s="1153" t="s">
        <v>837</v>
      </c>
      <c r="O595" s="1155">
        <v>47</v>
      </c>
      <c r="P595" s="1156"/>
      <c r="Q595" s="1155">
        <v>5</v>
      </c>
      <c r="R595" s="1150" t="s">
        <v>624</v>
      </c>
      <c r="S595" s="1150" t="s">
        <v>877</v>
      </c>
      <c r="T595" s="1150" t="s">
        <v>1062</v>
      </c>
      <c r="U595" s="1157">
        <v>151800</v>
      </c>
      <c r="V595" s="1150" t="s">
        <v>1062</v>
      </c>
      <c r="W595" s="1157">
        <v>151800</v>
      </c>
      <c r="X595" s="1150" t="s">
        <v>618</v>
      </c>
      <c r="Y595" s="1158">
        <v>43845.00996527778</v>
      </c>
      <c r="Z595" s="1150" t="s">
        <v>618</v>
      </c>
      <c r="AA595" s="1158">
        <v>43900.37049768519</v>
      </c>
      <c r="AB595" s="1138">
        <f t="shared" si="9"/>
        <v>303600</v>
      </c>
    </row>
    <row r="596" spans="1:28" x14ac:dyDescent="0.25">
      <c r="A596" s="1159">
        <v>111020</v>
      </c>
      <c r="B596" s="1159" t="s">
        <v>1436</v>
      </c>
      <c r="C596" s="1159" t="s">
        <v>1438</v>
      </c>
      <c r="D596" s="1160">
        <v>43831</v>
      </c>
      <c r="E596" s="1161">
        <v>22920000</v>
      </c>
      <c r="F596" s="1159" t="s">
        <v>387</v>
      </c>
      <c r="G596" s="1162" t="s">
        <v>611</v>
      </c>
      <c r="H596" s="1163">
        <v>1497</v>
      </c>
      <c r="I596" s="1159" t="s">
        <v>612</v>
      </c>
      <c r="J596" s="1162" t="s">
        <v>14</v>
      </c>
      <c r="K596" s="1159" t="s">
        <v>86</v>
      </c>
      <c r="L596" s="1159" t="s">
        <v>1436</v>
      </c>
      <c r="M596" s="1162" t="s">
        <v>14</v>
      </c>
      <c r="N596" s="1162" t="s">
        <v>837</v>
      </c>
      <c r="O596" s="1164">
        <v>47</v>
      </c>
      <c r="P596" s="1165"/>
      <c r="Q596" s="1164">
        <v>5</v>
      </c>
      <c r="R596" s="1159" t="s">
        <v>624</v>
      </c>
      <c r="S596" s="1159" t="s">
        <v>877</v>
      </c>
      <c r="T596" s="1159" t="s">
        <v>1062</v>
      </c>
      <c r="U596" s="1166">
        <v>151800</v>
      </c>
      <c r="V596" s="1159" t="s">
        <v>1062</v>
      </c>
      <c r="W596" s="1166">
        <v>151800</v>
      </c>
      <c r="X596" s="1159" t="s">
        <v>618</v>
      </c>
      <c r="Y596" s="1167">
        <v>43845.06208333334</v>
      </c>
      <c r="Z596" s="1159" t="s">
        <v>618</v>
      </c>
      <c r="AA596" s="1167">
        <v>43900.37075231482</v>
      </c>
      <c r="AB596" s="1138">
        <f t="shared" si="9"/>
        <v>303600</v>
      </c>
    </row>
    <row r="597" spans="1:28" x14ac:dyDescent="0.25">
      <c r="A597" s="1150">
        <v>111021</v>
      </c>
      <c r="B597" s="1150" t="s">
        <v>1436</v>
      </c>
      <c r="C597" s="1150" t="s">
        <v>1439</v>
      </c>
      <c r="D597" s="1151">
        <v>43831</v>
      </c>
      <c r="E597" s="1152">
        <v>25060000</v>
      </c>
      <c r="F597" s="1150" t="s">
        <v>387</v>
      </c>
      <c r="G597" s="1153" t="s">
        <v>611</v>
      </c>
      <c r="H597" s="1154">
        <v>1497</v>
      </c>
      <c r="I597" s="1150" t="s">
        <v>612</v>
      </c>
      <c r="J597" s="1153" t="s">
        <v>14</v>
      </c>
      <c r="K597" s="1150" t="s">
        <v>86</v>
      </c>
      <c r="L597" s="1150" t="s">
        <v>1436</v>
      </c>
      <c r="M597" s="1153" t="s">
        <v>14</v>
      </c>
      <c r="N597" s="1153" t="s">
        <v>837</v>
      </c>
      <c r="O597" s="1155">
        <v>47</v>
      </c>
      <c r="P597" s="1156"/>
      <c r="Q597" s="1155">
        <v>5</v>
      </c>
      <c r="R597" s="1150" t="s">
        <v>624</v>
      </c>
      <c r="S597" s="1150" t="s">
        <v>877</v>
      </c>
      <c r="T597" s="1150" t="s">
        <v>1062</v>
      </c>
      <c r="U597" s="1157">
        <v>151800</v>
      </c>
      <c r="V597" s="1150" t="s">
        <v>1062</v>
      </c>
      <c r="W597" s="1157">
        <v>151800</v>
      </c>
      <c r="X597" s="1150" t="s">
        <v>618</v>
      </c>
      <c r="Y597" s="1158">
        <v>43845.067141203705</v>
      </c>
      <c r="Z597" s="1150" t="s">
        <v>618</v>
      </c>
      <c r="AA597" s="1158">
        <v>43900.37116898148</v>
      </c>
      <c r="AB597" s="1138">
        <f t="shared" si="9"/>
        <v>303600</v>
      </c>
    </row>
    <row r="598" spans="1:28" x14ac:dyDescent="0.25">
      <c r="A598" s="1159">
        <v>111022</v>
      </c>
      <c r="B598" s="1159" t="s">
        <v>1436</v>
      </c>
      <c r="C598" s="1159" t="s">
        <v>1440</v>
      </c>
      <c r="D598" s="1160">
        <v>43831</v>
      </c>
      <c r="E598" s="1161">
        <v>23760000</v>
      </c>
      <c r="F598" s="1159" t="s">
        <v>387</v>
      </c>
      <c r="G598" s="1162" t="s">
        <v>611</v>
      </c>
      <c r="H598" s="1163">
        <v>1497</v>
      </c>
      <c r="I598" s="1159" t="s">
        <v>612</v>
      </c>
      <c r="J598" s="1162" t="s">
        <v>14</v>
      </c>
      <c r="K598" s="1159" t="s">
        <v>86</v>
      </c>
      <c r="L598" s="1159" t="s">
        <v>1436</v>
      </c>
      <c r="M598" s="1162" t="s">
        <v>14</v>
      </c>
      <c r="N598" s="1162" t="s">
        <v>837</v>
      </c>
      <c r="O598" s="1164">
        <v>47</v>
      </c>
      <c r="P598" s="1165"/>
      <c r="Q598" s="1164">
        <v>5</v>
      </c>
      <c r="R598" s="1159" t="s">
        <v>624</v>
      </c>
      <c r="S598" s="1159" t="s">
        <v>877</v>
      </c>
      <c r="T598" s="1159" t="s">
        <v>1415</v>
      </c>
      <c r="U598" s="1166">
        <v>165700</v>
      </c>
      <c r="V598" s="1159" t="s">
        <v>1415</v>
      </c>
      <c r="W598" s="1166">
        <v>165700</v>
      </c>
      <c r="X598" s="1159" t="s">
        <v>618</v>
      </c>
      <c r="Y598" s="1167">
        <v>43845.068125000005</v>
      </c>
      <c r="Z598" s="1159" t="s">
        <v>618</v>
      </c>
      <c r="AA598" s="1167">
        <v>43900.37133101852</v>
      </c>
      <c r="AB598" s="1138">
        <f t="shared" si="9"/>
        <v>331400</v>
      </c>
    </row>
    <row r="599" spans="1:28" x14ac:dyDescent="0.25">
      <c r="A599" s="1150">
        <v>111023</v>
      </c>
      <c r="B599" s="1150" t="s">
        <v>1436</v>
      </c>
      <c r="C599" s="1150" t="s">
        <v>1441</v>
      </c>
      <c r="D599" s="1151">
        <v>43831</v>
      </c>
      <c r="E599" s="1152">
        <v>25900000</v>
      </c>
      <c r="F599" s="1150" t="s">
        <v>387</v>
      </c>
      <c r="G599" s="1153" t="s">
        <v>611</v>
      </c>
      <c r="H599" s="1154">
        <v>1497</v>
      </c>
      <c r="I599" s="1150" t="s">
        <v>612</v>
      </c>
      <c r="J599" s="1153" t="s">
        <v>14</v>
      </c>
      <c r="K599" s="1150" t="s">
        <v>86</v>
      </c>
      <c r="L599" s="1150" t="s">
        <v>1436</v>
      </c>
      <c r="M599" s="1153" t="s">
        <v>14</v>
      </c>
      <c r="N599" s="1153" t="s">
        <v>837</v>
      </c>
      <c r="O599" s="1155">
        <v>47</v>
      </c>
      <c r="P599" s="1156"/>
      <c r="Q599" s="1155">
        <v>5</v>
      </c>
      <c r="R599" s="1150" t="s">
        <v>624</v>
      </c>
      <c r="S599" s="1150" t="s">
        <v>877</v>
      </c>
      <c r="T599" s="1150" t="s">
        <v>1415</v>
      </c>
      <c r="U599" s="1157">
        <v>165700</v>
      </c>
      <c r="V599" s="1150" t="s">
        <v>1415</v>
      </c>
      <c r="W599" s="1157">
        <v>165700</v>
      </c>
      <c r="X599" s="1150" t="s">
        <v>618</v>
      </c>
      <c r="Y599" s="1158">
        <v>43845.070497685185</v>
      </c>
      <c r="Z599" s="1150" t="s">
        <v>618</v>
      </c>
      <c r="AA599" s="1158">
        <v>43900.37148148148</v>
      </c>
      <c r="AB599" s="1138">
        <f t="shared" si="9"/>
        <v>331400</v>
      </c>
    </row>
    <row r="600" spans="1:28" x14ac:dyDescent="0.25">
      <c r="A600" s="1159">
        <v>111024</v>
      </c>
      <c r="B600" s="1159" t="s">
        <v>1436</v>
      </c>
      <c r="C600" s="1159" t="s">
        <v>1442</v>
      </c>
      <c r="D600" s="1160">
        <v>43831</v>
      </c>
      <c r="E600" s="1161">
        <v>26180000</v>
      </c>
      <c r="F600" s="1159" t="s">
        <v>387</v>
      </c>
      <c r="G600" s="1162" t="s">
        <v>611</v>
      </c>
      <c r="H600" s="1163">
        <v>1497</v>
      </c>
      <c r="I600" s="1159" t="s">
        <v>612</v>
      </c>
      <c r="J600" s="1162" t="s">
        <v>14</v>
      </c>
      <c r="K600" s="1159" t="s">
        <v>86</v>
      </c>
      <c r="L600" s="1159" t="s">
        <v>1436</v>
      </c>
      <c r="M600" s="1162" t="s">
        <v>14</v>
      </c>
      <c r="N600" s="1162" t="s">
        <v>837</v>
      </c>
      <c r="O600" s="1164">
        <v>47</v>
      </c>
      <c r="P600" s="1165"/>
      <c r="Q600" s="1164">
        <v>5</v>
      </c>
      <c r="R600" s="1159" t="s">
        <v>624</v>
      </c>
      <c r="S600" s="1159" t="s">
        <v>877</v>
      </c>
      <c r="T600" s="1159" t="s">
        <v>1415</v>
      </c>
      <c r="U600" s="1166">
        <v>165700</v>
      </c>
      <c r="V600" s="1159" t="s">
        <v>1415</v>
      </c>
      <c r="W600" s="1166">
        <v>165700</v>
      </c>
      <c r="X600" s="1159" t="s">
        <v>618</v>
      </c>
      <c r="Y600" s="1167">
        <v>43845.37868055556</v>
      </c>
      <c r="Z600" s="1159" t="s">
        <v>618</v>
      </c>
      <c r="AA600" s="1167">
        <v>43900.371932870374</v>
      </c>
      <c r="AB600" s="1138">
        <f t="shared" si="9"/>
        <v>331400</v>
      </c>
    </row>
    <row r="601" spans="1:28" x14ac:dyDescent="0.25">
      <c r="A601" s="1150">
        <v>111035</v>
      </c>
      <c r="B601" s="1150" t="s">
        <v>1436</v>
      </c>
      <c r="C601" s="1150" t="s">
        <v>1443</v>
      </c>
      <c r="D601" s="1151">
        <v>43831</v>
      </c>
      <c r="E601" s="1152">
        <v>27210000</v>
      </c>
      <c r="F601" s="1150" t="s">
        <v>387</v>
      </c>
      <c r="G601" s="1153" t="s">
        <v>611</v>
      </c>
      <c r="H601" s="1154">
        <v>1497</v>
      </c>
      <c r="I601" s="1150" t="s">
        <v>612</v>
      </c>
      <c r="J601" s="1153" t="s">
        <v>14</v>
      </c>
      <c r="K601" s="1150" t="s">
        <v>86</v>
      </c>
      <c r="L601" s="1150" t="s">
        <v>1436</v>
      </c>
      <c r="M601" s="1153" t="s">
        <v>14</v>
      </c>
      <c r="N601" s="1153" t="s">
        <v>837</v>
      </c>
      <c r="O601" s="1155">
        <v>47</v>
      </c>
      <c r="P601" s="1156"/>
      <c r="Q601" s="1155">
        <v>5</v>
      </c>
      <c r="R601" s="1150" t="s">
        <v>624</v>
      </c>
      <c r="S601" s="1150" t="s">
        <v>877</v>
      </c>
      <c r="T601" s="1150" t="s">
        <v>1415</v>
      </c>
      <c r="U601" s="1157">
        <v>165700</v>
      </c>
      <c r="V601" s="1150" t="s">
        <v>1415</v>
      </c>
      <c r="W601" s="1157">
        <v>165700</v>
      </c>
      <c r="X601" s="1150" t="s">
        <v>618</v>
      </c>
      <c r="Y601" s="1158">
        <v>43847.46165509259</v>
      </c>
      <c r="Z601" s="1150" t="s">
        <v>618</v>
      </c>
      <c r="AA601" s="1158">
        <v>43900.371932870374</v>
      </c>
      <c r="AB601" s="1138">
        <f t="shared" si="9"/>
        <v>331400</v>
      </c>
    </row>
    <row r="602" spans="1:28" x14ac:dyDescent="0.25">
      <c r="A602" s="1159">
        <v>111036</v>
      </c>
      <c r="B602" s="1159" t="s">
        <v>1436</v>
      </c>
      <c r="C602" s="1159" t="s">
        <v>1444</v>
      </c>
      <c r="D602" s="1160">
        <v>43831</v>
      </c>
      <c r="E602" s="1161">
        <v>26880000</v>
      </c>
      <c r="F602" s="1159" t="s">
        <v>387</v>
      </c>
      <c r="G602" s="1162" t="s">
        <v>611</v>
      </c>
      <c r="H602" s="1163">
        <v>1497</v>
      </c>
      <c r="I602" s="1159" t="s">
        <v>612</v>
      </c>
      <c r="J602" s="1162" t="s">
        <v>14</v>
      </c>
      <c r="K602" s="1159" t="s">
        <v>86</v>
      </c>
      <c r="L602" s="1159" t="s">
        <v>1436</v>
      </c>
      <c r="M602" s="1162" t="s">
        <v>14</v>
      </c>
      <c r="N602" s="1162" t="s">
        <v>837</v>
      </c>
      <c r="O602" s="1164">
        <v>47</v>
      </c>
      <c r="P602" s="1165"/>
      <c r="Q602" s="1164">
        <v>5</v>
      </c>
      <c r="R602" s="1159" t="s">
        <v>624</v>
      </c>
      <c r="S602" s="1159" t="s">
        <v>877</v>
      </c>
      <c r="T602" s="1159" t="s">
        <v>1415</v>
      </c>
      <c r="U602" s="1166">
        <v>165700</v>
      </c>
      <c r="V602" s="1159" t="s">
        <v>1415</v>
      </c>
      <c r="W602" s="1166">
        <v>165700</v>
      </c>
      <c r="X602" s="1159" t="s">
        <v>618</v>
      </c>
      <c r="Y602" s="1167">
        <v>43847.4627199074</v>
      </c>
      <c r="Z602" s="1159" t="s">
        <v>618</v>
      </c>
      <c r="AA602" s="1167">
        <v>43900.37216435185</v>
      </c>
      <c r="AB602" s="1138">
        <f t="shared" si="9"/>
        <v>331400</v>
      </c>
    </row>
    <row r="603" spans="1:28" x14ac:dyDescent="0.25">
      <c r="A603" s="1150">
        <v>111037</v>
      </c>
      <c r="B603" s="1150" t="s">
        <v>1436</v>
      </c>
      <c r="C603" s="1150" t="s">
        <v>1445</v>
      </c>
      <c r="D603" s="1151">
        <v>43831</v>
      </c>
      <c r="E603" s="1152">
        <v>29020000</v>
      </c>
      <c r="F603" s="1150" t="s">
        <v>387</v>
      </c>
      <c r="G603" s="1153" t="s">
        <v>611</v>
      </c>
      <c r="H603" s="1154">
        <v>1497</v>
      </c>
      <c r="I603" s="1150" t="s">
        <v>612</v>
      </c>
      <c r="J603" s="1153" t="s">
        <v>14</v>
      </c>
      <c r="K603" s="1150" t="s">
        <v>86</v>
      </c>
      <c r="L603" s="1150" t="s">
        <v>1436</v>
      </c>
      <c r="M603" s="1153" t="s">
        <v>14</v>
      </c>
      <c r="N603" s="1153" t="s">
        <v>837</v>
      </c>
      <c r="O603" s="1155">
        <v>47</v>
      </c>
      <c r="P603" s="1156"/>
      <c r="Q603" s="1155">
        <v>5</v>
      </c>
      <c r="R603" s="1150" t="s">
        <v>624</v>
      </c>
      <c r="S603" s="1150" t="s">
        <v>877</v>
      </c>
      <c r="T603" s="1150" t="s">
        <v>1415</v>
      </c>
      <c r="U603" s="1157">
        <v>165700</v>
      </c>
      <c r="V603" s="1150" t="s">
        <v>1415</v>
      </c>
      <c r="W603" s="1157">
        <v>165700</v>
      </c>
      <c r="X603" s="1150" t="s">
        <v>618</v>
      </c>
      <c r="Y603" s="1158">
        <v>43847.51868055556</v>
      </c>
      <c r="Z603" s="1150" t="s">
        <v>618</v>
      </c>
      <c r="AA603" s="1158">
        <v>43900.37229166667</v>
      </c>
      <c r="AB603" s="1138">
        <f t="shared" si="9"/>
        <v>331400</v>
      </c>
    </row>
    <row r="604" spans="1:28" x14ac:dyDescent="0.25">
      <c r="A604" s="1159">
        <v>111040</v>
      </c>
      <c r="B604" s="1159" t="s">
        <v>1436</v>
      </c>
      <c r="C604" s="1159" t="s">
        <v>1446</v>
      </c>
      <c r="D604" s="1160">
        <v>43831</v>
      </c>
      <c r="E604" s="1161">
        <v>21620000</v>
      </c>
      <c r="F604" s="1159" t="s">
        <v>610</v>
      </c>
      <c r="G604" s="1162" t="s">
        <v>611</v>
      </c>
      <c r="H604" s="1163">
        <v>1597</v>
      </c>
      <c r="I604" s="1159" t="s">
        <v>612</v>
      </c>
      <c r="J604" s="1162" t="s">
        <v>14</v>
      </c>
      <c r="K604" s="1159" t="s">
        <v>86</v>
      </c>
      <c r="L604" s="1159" t="s">
        <v>1436</v>
      </c>
      <c r="M604" s="1162" t="s">
        <v>14</v>
      </c>
      <c r="N604" s="1162" t="s">
        <v>837</v>
      </c>
      <c r="O604" s="1164">
        <v>0</v>
      </c>
      <c r="P604" s="1165"/>
      <c r="Q604" s="1164">
        <v>5</v>
      </c>
      <c r="R604" s="1159" t="s">
        <v>624</v>
      </c>
      <c r="S604" s="1159" t="s">
        <v>877</v>
      </c>
      <c r="T604" s="1159" t="s">
        <v>1062</v>
      </c>
      <c r="U604" s="1166">
        <v>151800</v>
      </c>
      <c r="V604" s="1159" t="s">
        <v>1062</v>
      </c>
      <c r="W604" s="1166">
        <v>151800</v>
      </c>
      <c r="X604" s="1159" t="s">
        <v>618</v>
      </c>
      <c r="Y604" s="1167">
        <v>43847.59400462963</v>
      </c>
      <c r="Z604" s="1159" t="s">
        <v>618</v>
      </c>
      <c r="AA604" s="1167">
        <v>43900.373078703706</v>
      </c>
      <c r="AB604" s="1138">
        <f t="shared" si="9"/>
        <v>303600</v>
      </c>
    </row>
    <row r="605" spans="1:28" x14ac:dyDescent="0.25">
      <c r="A605" s="1150">
        <v>111041</v>
      </c>
      <c r="B605" s="1150" t="s">
        <v>1436</v>
      </c>
      <c r="C605" s="1150" t="s">
        <v>1447</v>
      </c>
      <c r="D605" s="1151">
        <v>43831</v>
      </c>
      <c r="E605" s="1152">
        <v>24930000</v>
      </c>
      <c r="F605" s="1150" t="s">
        <v>610</v>
      </c>
      <c r="G605" s="1153" t="s">
        <v>611</v>
      </c>
      <c r="H605" s="1154">
        <v>1597</v>
      </c>
      <c r="I605" s="1150" t="s">
        <v>612</v>
      </c>
      <c r="J605" s="1153" t="s">
        <v>14</v>
      </c>
      <c r="K605" s="1150" t="s">
        <v>86</v>
      </c>
      <c r="L605" s="1150" t="s">
        <v>1436</v>
      </c>
      <c r="M605" s="1153" t="s">
        <v>14</v>
      </c>
      <c r="N605" s="1153" t="s">
        <v>837</v>
      </c>
      <c r="O605" s="1155">
        <v>0</v>
      </c>
      <c r="P605" s="1156"/>
      <c r="Q605" s="1155">
        <v>5</v>
      </c>
      <c r="R605" s="1150" t="s">
        <v>624</v>
      </c>
      <c r="S605" s="1150" t="s">
        <v>877</v>
      </c>
      <c r="T605" s="1150" t="s">
        <v>1415</v>
      </c>
      <c r="U605" s="1157">
        <v>165700</v>
      </c>
      <c r="V605" s="1150" t="s">
        <v>1415</v>
      </c>
      <c r="W605" s="1157">
        <v>165700</v>
      </c>
      <c r="X605" s="1150" t="s">
        <v>618</v>
      </c>
      <c r="Y605" s="1158">
        <v>43847.60744212963</v>
      </c>
      <c r="Z605" s="1150" t="s">
        <v>618</v>
      </c>
      <c r="AA605" s="1158">
        <v>43900.37658564815</v>
      </c>
      <c r="AB605" s="1138">
        <f t="shared" si="9"/>
        <v>331400</v>
      </c>
    </row>
    <row r="606" spans="1:28" x14ac:dyDescent="0.25">
      <c r="A606" s="1159">
        <v>111042</v>
      </c>
      <c r="B606" s="1159" t="s">
        <v>1436</v>
      </c>
      <c r="C606" s="1159" t="s">
        <v>1448</v>
      </c>
      <c r="D606" s="1160">
        <v>43831</v>
      </c>
      <c r="E606" s="1161">
        <v>27070000</v>
      </c>
      <c r="F606" s="1159" t="s">
        <v>610</v>
      </c>
      <c r="G606" s="1162" t="s">
        <v>611</v>
      </c>
      <c r="H606" s="1163">
        <v>1597</v>
      </c>
      <c r="I606" s="1159" t="s">
        <v>612</v>
      </c>
      <c r="J606" s="1162" t="s">
        <v>14</v>
      </c>
      <c r="K606" s="1159" t="s">
        <v>86</v>
      </c>
      <c r="L606" s="1159" t="s">
        <v>1436</v>
      </c>
      <c r="M606" s="1162" t="s">
        <v>14</v>
      </c>
      <c r="N606" s="1162" t="s">
        <v>837</v>
      </c>
      <c r="O606" s="1164">
        <v>0</v>
      </c>
      <c r="P606" s="1165"/>
      <c r="Q606" s="1164">
        <v>5</v>
      </c>
      <c r="R606" s="1159" t="s">
        <v>624</v>
      </c>
      <c r="S606" s="1159" t="s">
        <v>877</v>
      </c>
      <c r="T606" s="1159" t="s">
        <v>1415</v>
      </c>
      <c r="U606" s="1166">
        <v>165700</v>
      </c>
      <c r="V606" s="1159" t="s">
        <v>1415</v>
      </c>
      <c r="W606" s="1166">
        <v>165700</v>
      </c>
      <c r="X606" s="1159" t="s">
        <v>618</v>
      </c>
      <c r="Y606" s="1167">
        <v>43847.61042824074</v>
      </c>
      <c r="Z606" s="1159" t="s">
        <v>618</v>
      </c>
      <c r="AA606" s="1167">
        <v>43900.376655092594</v>
      </c>
      <c r="AB606" s="1138">
        <f t="shared" si="9"/>
        <v>331400</v>
      </c>
    </row>
    <row r="607" spans="1:28" x14ac:dyDescent="0.25">
      <c r="A607" s="1150">
        <v>111043</v>
      </c>
      <c r="B607" s="1150" t="s">
        <v>1436</v>
      </c>
      <c r="C607" s="1150" t="s">
        <v>1449</v>
      </c>
      <c r="D607" s="1151">
        <v>43831</v>
      </c>
      <c r="E607" s="1152">
        <v>25850000</v>
      </c>
      <c r="F607" s="1150" t="s">
        <v>610</v>
      </c>
      <c r="G607" s="1153" t="s">
        <v>611</v>
      </c>
      <c r="H607" s="1154">
        <v>1597</v>
      </c>
      <c r="I607" s="1150" t="s">
        <v>612</v>
      </c>
      <c r="J607" s="1153" t="s">
        <v>14</v>
      </c>
      <c r="K607" s="1150" t="s">
        <v>86</v>
      </c>
      <c r="L607" s="1150" t="s">
        <v>1436</v>
      </c>
      <c r="M607" s="1153" t="s">
        <v>14</v>
      </c>
      <c r="N607" s="1153" t="s">
        <v>837</v>
      </c>
      <c r="O607" s="1155">
        <v>0</v>
      </c>
      <c r="P607" s="1156"/>
      <c r="Q607" s="1155">
        <v>5</v>
      </c>
      <c r="R607" s="1150" t="s">
        <v>624</v>
      </c>
      <c r="S607" s="1150" t="s">
        <v>877</v>
      </c>
      <c r="T607" s="1150" t="s">
        <v>1415</v>
      </c>
      <c r="U607" s="1157">
        <v>165700</v>
      </c>
      <c r="V607" s="1150" t="s">
        <v>1415</v>
      </c>
      <c r="W607" s="1157">
        <v>165700</v>
      </c>
      <c r="X607" s="1150" t="s">
        <v>618</v>
      </c>
      <c r="Y607" s="1158">
        <v>43847.61194444445</v>
      </c>
      <c r="Z607" s="1150" t="s">
        <v>618</v>
      </c>
      <c r="AA607" s="1158">
        <v>43900.3768287037</v>
      </c>
      <c r="AB607" s="1138">
        <f t="shared" si="9"/>
        <v>331400</v>
      </c>
    </row>
    <row r="608" spans="1:28" x14ac:dyDescent="0.25">
      <c r="A608" s="1159">
        <v>111044</v>
      </c>
      <c r="B608" s="1159" t="s">
        <v>1436</v>
      </c>
      <c r="C608" s="1159" t="s">
        <v>1450</v>
      </c>
      <c r="D608" s="1160">
        <v>43831</v>
      </c>
      <c r="E608" s="1161">
        <v>27990000</v>
      </c>
      <c r="F608" s="1159" t="s">
        <v>610</v>
      </c>
      <c r="G608" s="1162" t="s">
        <v>611</v>
      </c>
      <c r="H608" s="1163">
        <v>1597</v>
      </c>
      <c r="I608" s="1159" t="s">
        <v>612</v>
      </c>
      <c r="J608" s="1162" t="s">
        <v>14</v>
      </c>
      <c r="K608" s="1159" t="s">
        <v>86</v>
      </c>
      <c r="L608" s="1159" t="s">
        <v>1436</v>
      </c>
      <c r="M608" s="1162" t="s">
        <v>14</v>
      </c>
      <c r="N608" s="1162" t="s">
        <v>837</v>
      </c>
      <c r="O608" s="1164">
        <v>0</v>
      </c>
      <c r="P608" s="1165"/>
      <c r="Q608" s="1164">
        <v>5</v>
      </c>
      <c r="R608" s="1159" t="s">
        <v>624</v>
      </c>
      <c r="S608" s="1159" t="s">
        <v>877</v>
      </c>
      <c r="T608" s="1159" t="s">
        <v>1415</v>
      </c>
      <c r="U608" s="1166">
        <v>165700</v>
      </c>
      <c r="V608" s="1159" t="s">
        <v>1415</v>
      </c>
      <c r="W608" s="1166">
        <v>165700</v>
      </c>
      <c r="X608" s="1159" t="s">
        <v>618</v>
      </c>
      <c r="Y608" s="1167">
        <v>43847.61284722222</v>
      </c>
      <c r="Z608" s="1159" t="s">
        <v>618</v>
      </c>
      <c r="AA608" s="1167">
        <v>43900.37699074074</v>
      </c>
      <c r="AB608" s="1138">
        <f t="shared" si="9"/>
        <v>331400</v>
      </c>
    </row>
    <row r="609" spans="1:28" x14ac:dyDescent="0.25">
      <c r="A609" s="1150">
        <v>111045</v>
      </c>
      <c r="B609" s="1150" t="s">
        <v>1436</v>
      </c>
      <c r="C609" s="1150" t="s">
        <v>1451</v>
      </c>
      <c r="D609" s="1151">
        <v>43831</v>
      </c>
      <c r="E609" s="1152">
        <v>27650000</v>
      </c>
      <c r="F609" s="1150" t="s">
        <v>610</v>
      </c>
      <c r="G609" s="1153" t="s">
        <v>611</v>
      </c>
      <c r="H609" s="1154">
        <v>1597</v>
      </c>
      <c r="I609" s="1150" t="s">
        <v>612</v>
      </c>
      <c r="J609" s="1153" t="s">
        <v>14</v>
      </c>
      <c r="K609" s="1150" t="s">
        <v>86</v>
      </c>
      <c r="L609" s="1150" t="s">
        <v>1436</v>
      </c>
      <c r="M609" s="1153" t="s">
        <v>14</v>
      </c>
      <c r="N609" s="1153" t="s">
        <v>837</v>
      </c>
      <c r="O609" s="1155">
        <v>0</v>
      </c>
      <c r="P609" s="1156"/>
      <c r="Q609" s="1155">
        <v>5</v>
      </c>
      <c r="R609" s="1150" t="s">
        <v>624</v>
      </c>
      <c r="S609" s="1150" t="s">
        <v>877</v>
      </c>
      <c r="T609" s="1150" t="s">
        <v>1415</v>
      </c>
      <c r="U609" s="1157">
        <v>165700</v>
      </c>
      <c r="V609" s="1150" t="s">
        <v>1415</v>
      </c>
      <c r="W609" s="1157">
        <v>165700</v>
      </c>
      <c r="X609" s="1150" t="s">
        <v>618</v>
      </c>
      <c r="Y609" s="1158">
        <v>43847.6147800926</v>
      </c>
      <c r="Z609" s="1150" t="s">
        <v>618</v>
      </c>
      <c r="AA609" s="1158">
        <v>43900.377164351856</v>
      </c>
      <c r="AB609" s="1138">
        <f t="shared" si="9"/>
        <v>331400</v>
      </c>
    </row>
    <row r="610" spans="1:28" x14ac:dyDescent="0.25">
      <c r="A610" s="1159">
        <v>111046</v>
      </c>
      <c r="B610" s="1159" t="s">
        <v>1436</v>
      </c>
      <c r="C610" s="1159" t="s">
        <v>1452</v>
      </c>
      <c r="D610" s="1160">
        <v>43831</v>
      </c>
      <c r="E610" s="1161">
        <v>29790000</v>
      </c>
      <c r="F610" s="1159" t="s">
        <v>610</v>
      </c>
      <c r="G610" s="1162" t="s">
        <v>611</v>
      </c>
      <c r="H610" s="1163">
        <v>1597</v>
      </c>
      <c r="I610" s="1159" t="s">
        <v>612</v>
      </c>
      <c r="J610" s="1162" t="s">
        <v>14</v>
      </c>
      <c r="K610" s="1159" t="s">
        <v>86</v>
      </c>
      <c r="L610" s="1159" t="s">
        <v>1436</v>
      </c>
      <c r="M610" s="1162" t="s">
        <v>14</v>
      </c>
      <c r="N610" s="1162" t="s">
        <v>837</v>
      </c>
      <c r="O610" s="1164">
        <v>0</v>
      </c>
      <c r="P610" s="1165"/>
      <c r="Q610" s="1164">
        <v>5</v>
      </c>
      <c r="R610" s="1159" t="s">
        <v>624</v>
      </c>
      <c r="S610" s="1159" t="s">
        <v>877</v>
      </c>
      <c r="T610" s="1159" t="s">
        <v>1415</v>
      </c>
      <c r="U610" s="1166">
        <v>165700</v>
      </c>
      <c r="V610" s="1159" t="s">
        <v>1415</v>
      </c>
      <c r="W610" s="1166">
        <v>165700</v>
      </c>
      <c r="X610" s="1159" t="s">
        <v>618</v>
      </c>
      <c r="Y610" s="1167">
        <v>43847.615625</v>
      </c>
      <c r="Z610" s="1159" t="s">
        <v>618</v>
      </c>
      <c r="AA610" s="1167">
        <v>43900.37736111111</v>
      </c>
      <c r="AB610" s="1138">
        <f t="shared" si="9"/>
        <v>331400</v>
      </c>
    </row>
    <row r="611" spans="1:28" x14ac:dyDescent="0.25">
      <c r="A611" s="1150">
        <v>108374</v>
      </c>
      <c r="B611" s="1150" t="s">
        <v>1453</v>
      </c>
      <c r="C611" s="1150" t="s">
        <v>1454</v>
      </c>
      <c r="D611" s="1151">
        <v>42774</v>
      </c>
      <c r="E611" s="1152">
        <v>16900000</v>
      </c>
      <c r="F611" s="1150" t="s">
        <v>387</v>
      </c>
      <c r="G611" s="1153" t="s">
        <v>611</v>
      </c>
      <c r="H611" s="1154">
        <v>1399</v>
      </c>
      <c r="I611" s="1150" t="s">
        <v>629</v>
      </c>
      <c r="J611" s="1153" t="s">
        <v>14</v>
      </c>
      <c r="K611" s="1150" t="s">
        <v>849</v>
      </c>
      <c r="L611" s="1150" t="s">
        <v>1453</v>
      </c>
      <c r="M611" s="1153" t="s">
        <v>14</v>
      </c>
      <c r="N611" s="1153" t="s">
        <v>410</v>
      </c>
      <c r="O611" s="1155">
        <v>60</v>
      </c>
      <c r="P611" s="1156"/>
      <c r="Q611" s="1155">
        <v>5</v>
      </c>
      <c r="R611" s="1150" t="s">
        <v>710</v>
      </c>
      <c r="S611" s="1150" t="s">
        <v>1231</v>
      </c>
      <c r="T611" s="1150" t="s">
        <v>763</v>
      </c>
      <c r="U611" s="1157">
        <v>109400</v>
      </c>
      <c r="V611" s="1150" t="s">
        <v>763</v>
      </c>
      <c r="W611" s="1157">
        <v>109400</v>
      </c>
      <c r="X611" s="1150" t="s">
        <v>635</v>
      </c>
      <c r="Y611" s="1158">
        <v>42774.36413194444</v>
      </c>
      <c r="Z611" s="1150" t="s">
        <v>618</v>
      </c>
      <c r="AA611" s="1158">
        <v>43115.697546296295</v>
      </c>
      <c r="AB611" s="1138">
        <f t="shared" si="9"/>
        <v>218800</v>
      </c>
    </row>
    <row r="612" spans="1:28" x14ac:dyDescent="0.25">
      <c r="A612" s="1159">
        <v>108375</v>
      </c>
      <c r="B612" s="1159" t="s">
        <v>1453</v>
      </c>
      <c r="C612" s="1159" t="s">
        <v>1455</v>
      </c>
      <c r="D612" s="1160">
        <v>42774</v>
      </c>
      <c r="E612" s="1161">
        <v>19990000</v>
      </c>
      <c r="F612" s="1159" t="s">
        <v>387</v>
      </c>
      <c r="G612" s="1162" t="s">
        <v>611</v>
      </c>
      <c r="H612" s="1163">
        <v>1399</v>
      </c>
      <c r="I612" s="1159" t="s">
        <v>629</v>
      </c>
      <c r="J612" s="1162" t="s">
        <v>14</v>
      </c>
      <c r="K612" s="1159" t="s">
        <v>849</v>
      </c>
      <c r="L612" s="1159" t="s">
        <v>1453</v>
      </c>
      <c r="M612" s="1162" t="s">
        <v>14</v>
      </c>
      <c r="N612" s="1162" t="s">
        <v>410</v>
      </c>
      <c r="O612" s="1164">
        <v>60</v>
      </c>
      <c r="P612" s="1165"/>
      <c r="Q612" s="1164">
        <v>5</v>
      </c>
      <c r="R612" s="1159" t="s">
        <v>710</v>
      </c>
      <c r="S612" s="1159" t="s">
        <v>1231</v>
      </c>
      <c r="T612" s="1159" t="s">
        <v>763</v>
      </c>
      <c r="U612" s="1166">
        <v>109400</v>
      </c>
      <c r="V612" s="1159" t="s">
        <v>763</v>
      </c>
      <c r="W612" s="1166">
        <v>109400</v>
      </c>
      <c r="X612" s="1159" t="s">
        <v>635</v>
      </c>
      <c r="Y612" s="1167">
        <v>42774.36604166667</v>
      </c>
      <c r="Z612" s="1159" t="s">
        <v>618</v>
      </c>
      <c r="AA612" s="1167">
        <v>43115.69782407407</v>
      </c>
      <c r="AB612" s="1138">
        <f t="shared" si="9"/>
        <v>218800</v>
      </c>
    </row>
    <row r="613" spans="1:28" x14ac:dyDescent="0.25">
      <c r="A613" s="1150">
        <v>108376</v>
      </c>
      <c r="B613" s="1150" t="s">
        <v>1453</v>
      </c>
      <c r="C613" s="1150" t="s">
        <v>1456</v>
      </c>
      <c r="D613" s="1151">
        <v>42774</v>
      </c>
      <c r="E613" s="1152">
        <v>21510000</v>
      </c>
      <c r="F613" s="1150" t="s">
        <v>387</v>
      </c>
      <c r="G613" s="1153" t="s">
        <v>611</v>
      </c>
      <c r="H613" s="1154">
        <v>1399</v>
      </c>
      <c r="I613" s="1150" t="s">
        <v>629</v>
      </c>
      <c r="J613" s="1153" t="s">
        <v>14</v>
      </c>
      <c r="K613" s="1150" t="s">
        <v>849</v>
      </c>
      <c r="L613" s="1150" t="s">
        <v>1453</v>
      </c>
      <c r="M613" s="1153" t="s">
        <v>14</v>
      </c>
      <c r="N613" s="1153" t="s">
        <v>410</v>
      </c>
      <c r="O613" s="1155">
        <v>60</v>
      </c>
      <c r="P613" s="1156"/>
      <c r="Q613" s="1155">
        <v>5</v>
      </c>
      <c r="R613" s="1150" t="s">
        <v>710</v>
      </c>
      <c r="S613" s="1150" t="s">
        <v>1231</v>
      </c>
      <c r="T613" s="1150" t="s">
        <v>763</v>
      </c>
      <c r="U613" s="1157">
        <v>109400</v>
      </c>
      <c r="V613" s="1150" t="s">
        <v>763</v>
      </c>
      <c r="W613" s="1157">
        <v>109400</v>
      </c>
      <c r="X613" s="1150" t="s">
        <v>635</v>
      </c>
      <c r="Y613" s="1158">
        <v>42774.36646990741</v>
      </c>
      <c r="Z613" s="1150" t="s">
        <v>618</v>
      </c>
      <c r="AA613" s="1158">
        <v>43115.69876157407</v>
      </c>
      <c r="AB613" s="1138">
        <f t="shared" si="9"/>
        <v>218800</v>
      </c>
    </row>
    <row r="614" spans="1:28" x14ac:dyDescent="0.25">
      <c r="A614" s="1159">
        <v>108377</v>
      </c>
      <c r="B614" s="1159" t="s">
        <v>1453</v>
      </c>
      <c r="C614" s="1159" t="s">
        <v>1457</v>
      </c>
      <c r="D614" s="1160">
        <v>42774</v>
      </c>
      <c r="E614" s="1161">
        <v>23080000</v>
      </c>
      <c r="F614" s="1159" t="s">
        <v>387</v>
      </c>
      <c r="G614" s="1162" t="s">
        <v>611</v>
      </c>
      <c r="H614" s="1163">
        <v>1399</v>
      </c>
      <c r="I614" s="1159" t="s">
        <v>629</v>
      </c>
      <c r="J614" s="1162" t="s">
        <v>14</v>
      </c>
      <c r="K614" s="1159" t="s">
        <v>849</v>
      </c>
      <c r="L614" s="1159" t="s">
        <v>1453</v>
      </c>
      <c r="M614" s="1162" t="s">
        <v>14</v>
      </c>
      <c r="N614" s="1162" t="s">
        <v>410</v>
      </c>
      <c r="O614" s="1164">
        <v>60</v>
      </c>
      <c r="P614" s="1165"/>
      <c r="Q614" s="1164">
        <v>5</v>
      </c>
      <c r="R614" s="1159" t="s">
        <v>710</v>
      </c>
      <c r="S614" s="1159" t="s">
        <v>1231</v>
      </c>
      <c r="T614" s="1159" t="s">
        <v>763</v>
      </c>
      <c r="U614" s="1166">
        <v>109400</v>
      </c>
      <c r="V614" s="1159" t="s">
        <v>763</v>
      </c>
      <c r="W614" s="1166">
        <v>109400</v>
      </c>
      <c r="X614" s="1159" t="s">
        <v>635</v>
      </c>
      <c r="Y614" s="1167">
        <v>42774.36666666667</v>
      </c>
      <c r="Z614" s="1159" t="s">
        <v>618</v>
      </c>
      <c r="AA614" s="1167">
        <v>43115.699467592596</v>
      </c>
      <c r="AB614" s="1138">
        <f t="shared" si="9"/>
        <v>218800</v>
      </c>
    </row>
    <row r="615" spans="1:28" x14ac:dyDescent="0.25">
      <c r="A615" s="1150">
        <v>108378</v>
      </c>
      <c r="B615" s="1150" t="s">
        <v>1453</v>
      </c>
      <c r="C615" s="1150" t="s">
        <v>1458</v>
      </c>
      <c r="D615" s="1151">
        <v>42774</v>
      </c>
      <c r="E615" s="1152">
        <v>23490000</v>
      </c>
      <c r="F615" s="1150" t="s">
        <v>387</v>
      </c>
      <c r="G615" s="1153" t="s">
        <v>611</v>
      </c>
      <c r="H615" s="1154">
        <v>1399</v>
      </c>
      <c r="I615" s="1150" t="s">
        <v>629</v>
      </c>
      <c r="J615" s="1153" t="s">
        <v>14</v>
      </c>
      <c r="K615" s="1150" t="s">
        <v>849</v>
      </c>
      <c r="L615" s="1150" t="s">
        <v>1453</v>
      </c>
      <c r="M615" s="1153" t="s">
        <v>14</v>
      </c>
      <c r="N615" s="1153" t="s">
        <v>410</v>
      </c>
      <c r="O615" s="1155">
        <v>60</v>
      </c>
      <c r="P615" s="1156"/>
      <c r="Q615" s="1155">
        <v>5</v>
      </c>
      <c r="R615" s="1150" t="s">
        <v>710</v>
      </c>
      <c r="S615" s="1150" t="s">
        <v>1231</v>
      </c>
      <c r="T615" s="1150" t="s">
        <v>763</v>
      </c>
      <c r="U615" s="1157">
        <v>109400</v>
      </c>
      <c r="V615" s="1150" t="s">
        <v>763</v>
      </c>
      <c r="W615" s="1157">
        <v>109400</v>
      </c>
      <c r="X615" s="1150" t="s">
        <v>635</v>
      </c>
      <c r="Y615" s="1158">
        <v>42774.36714120371</v>
      </c>
      <c r="Z615" s="1150" t="s">
        <v>618</v>
      </c>
      <c r="AA615" s="1158">
        <v>43115.69965277778</v>
      </c>
      <c r="AB615" s="1138">
        <f t="shared" si="9"/>
        <v>218800</v>
      </c>
    </row>
    <row r="616" spans="1:28" x14ac:dyDescent="0.25">
      <c r="A616" s="1159">
        <v>109027</v>
      </c>
      <c r="B616" s="1159" t="s">
        <v>1453</v>
      </c>
      <c r="C616" s="1159" t="s">
        <v>1459</v>
      </c>
      <c r="D616" s="1160">
        <v>43073</v>
      </c>
      <c r="E616" s="1161">
        <v>22490000</v>
      </c>
      <c r="F616" s="1159" t="s">
        <v>610</v>
      </c>
      <c r="G616" s="1162" t="s">
        <v>611</v>
      </c>
      <c r="H616" s="1163">
        <v>1598</v>
      </c>
      <c r="I616" s="1159" t="s">
        <v>612</v>
      </c>
      <c r="J616" s="1162" t="s">
        <v>14</v>
      </c>
      <c r="K616" s="1159" t="s">
        <v>849</v>
      </c>
      <c r="L616" s="1159" t="s">
        <v>1453</v>
      </c>
      <c r="M616" s="1162" t="s">
        <v>14</v>
      </c>
      <c r="N616" s="1162" t="s">
        <v>410</v>
      </c>
      <c r="O616" s="1164">
        <v>60</v>
      </c>
      <c r="P616" s="1165"/>
      <c r="Q616" s="1164">
        <v>5</v>
      </c>
      <c r="R616" s="1159" t="s">
        <v>624</v>
      </c>
      <c r="S616" s="1159" t="s">
        <v>1231</v>
      </c>
      <c r="T616" s="1159" t="s">
        <v>649</v>
      </c>
      <c r="U616" s="1166">
        <v>100800</v>
      </c>
      <c r="V616" s="1159" t="s">
        <v>649</v>
      </c>
      <c r="W616" s="1166">
        <v>100800</v>
      </c>
      <c r="X616" s="1159" t="s">
        <v>721</v>
      </c>
      <c r="Y616" s="1167">
        <v>43073.77825231482</v>
      </c>
      <c r="Z616" s="1159" t="s">
        <v>618</v>
      </c>
      <c r="AA616" s="1167">
        <v>43115.70228009259</v>
      </c>
      <c r="AB616" s="1138">
        <f t="shared" si="9"/>
        <v>201600</v>
      </c>
    </row>
    <row r="617" spans="1:28" x14ac:dyDescent="0.25">
      <c r="A617" s="1150">
        <v>109028</v>
      </c>
      <c r="B617" s="1150" t="s">
        <v>1453</v>
      </c>
      <c r="C617" s="1150" t="s">
        <v>1460</v>
      </c>
      <c r="D617" s="1151">
        <v>43073</v>
      </c>
      <c r="E617" s="1152">
        <v>23760000</v>
      </c>
      <c r="F617" s="1150" t="s">
        <v>610</v>
      </c>
      <c r="G617" s="1153" t="s">
        <v>611</v>
      </c>
      <c r="H617" s="1154">
        <v>1598</v>
      </c>
      <c r="I617" s="1150" t="s">
        <v>612</v>
      </c>
      <c r="J617" s="1153" t="s">
        <v>14</v>
      </c>
      <c r="K617" s="1150" t="s">
        <v>849</v>
      </c>
      <c r="L617" s="1150" t="s">
        <v>1453</v>
      </c>
      <c r="M617" s="1153" t="s">
        <v>14</v>
      </c>
      <c r="N617" s="1153" t="s">
        <v>410</v>
      </c>
      <c r="O617" s="1155">
        <v>60</v>
      </c>
      <c r="P617" s="1156"/>
      <c r="Q617" s="1155">
        <v>5</v>
      </c>
      <c r="R617" s="1150" t="s">
        <v>624</v>
      </c>
      <c r="S617" s="1150" t="s">
        <v>1231</v>
      </c>
      <c r="T617" s="1150" t="s">
        <v>649</v>
      </c>
      <c r="U617" s="1157">
        <v>100800</v>
      </c>
      <c r="V617" s="1150" t="s">
        <v>649</v>
      </c>
      <c r="W617" s="1157">
        <v>100800</v>
      </c>
      <c r="X617" s="1150" t="s">
        <v>721</v>
      </c>
      <c r="Y617" s="1158">
        <v>43073.78129629629</v>
      </c>
      <c r="Z617" s="1150" t="s">
        <v>618</v>
      </c>
      <c r="AA617" s="1158">
        <v>43115.70245370371</v>
      </c>
      <c r="AB617" s="1138">
        <f t="shared" si="9"/>
        <v>201600</v>
      </c>
    </row>
    <row r="618" spans="1:28" x14ac:dyDescent="0.25">
      <c r="A618" s="1159">
        <v>109029</v>
      </c>
      <c r="B618" s="1159" t="s">
        <v>1453</v>
      </c>
      <c r="C618" s="1159" t="s">
        <v>1461</v>
      </c>
      <c r="D618" s="1160">
        <v>43073</v>
      </c>
      <c r="E618" s="1161">
        <v>25580000</v>
      </c>
      <c r="F618" s="1159" t="s">
        <v>610</v>
      </c>
      <c r="G618" s="1162" t="s">
        <v>611</v>
      </c>
      <c r="H618" s="1163">
        <v>1598</v>
      </c>
      <c r="I618" s="1159" t="s">
        <v>612</v>
      </c>
      <c r="J618" s="1162" t="s">
        <v>14</v>
      </c>
      <c r="K618" s="1159" t="s">
        <v>849</v>
      </c>
      <c r="L618" s="1159" t="s">
        <v>1453</v>
      </c>
      <c r="M618" s="1162" t="s">
        <v>14</v>
      </c>
      <c r="N618" s="1162" t="s">
        <v>410</v>
      </c>
      <c r="O618" s="1164">
        <v>60</v>
      </c>
      <c r="P618" s="1165"/>
      <c r="Q618" s="1164">
        <v>5</v>
      </c>
      <c r="R618" s="1159" t="s">
        <v>624</v>
      </c>
      <c r="S618" s="1159" t="s">
        <v>1231</v>
      </c>
      <c r="T618" s="1159" t="s">
        <v>1386</v>
      </c>
      <c r="U618" s="1166">
        <v>152000</v>
      </c>
      <c r="V618" s="1159" t="s">
        <v>1386</v>
      </c>
      <c r="W618" s="1166">
        <v>152000</v>
      </c>
      <c r="X618" s="1159" t="s">
        <v>721</v>
      </c>
      <c r="Y618" s="1167">
        <v>43073.78177083333</v>
      </c>
      <c r="Z618" s="1159" t="s">
        <v>618</v>
      </c>
      <c r="AA618" s="1167">
        <v>43115.70261574074</v>
      </c>
      <c r="AB618" s="1138">
        <f t="shared" si="9"/>
        <v>304000</v>
      </c>
    </row>
    <row r="619" spans="1:28" x14ac:dyDescent="0.25">
      <c r="A619" s="1150">
        <v>110636</v>
      </c>
      <c r="B619" s="1150" t="s">
        <v>1462</v>
      </c>
      <c r="C619" s="1150" t="s">
        <v>1463</v>
      </c>
      <c r="D619" s="1151">
        <v>43753</v>
      </c>
      <c r="E619" s="1152">
        <v>23310000</v>
      </c>
      <c r="F619" s="1150" t="s">
        <v>387</v>
      </c>
      <c r="G619" s="1153" t="s">
        <v>611</v>
      </c>
      <c r="H619" s="1154">
        <v>1591</v>
      </c>
      <c r="I619" s="1150" t="s">
        <v>612</v>
      </c>
      <c r="J619" s="1153" t="s">
        <v>14</v>
      </c>
      <c r="K619" s="1150" t="s">
        <v>18</v>
      </c>
      <c r="L619" s="1150" t="s">
        <v>1464</v>
      </c>
      <c r="M619" s="1153" t="s">
        <v>14</v>
      </c>
      <c r="N619" s="1153" t="s">
        <v>837</v>
      </c>
      <c r="O619" s="1155">
        <v>62</v>
      </c>
      <c r="P619" s="1155">
        <v>0</v>
      </c>
      <c r="Q619" s="1155">
        <v>5</v>
      </c>
      <c r="R619" s="1150" t="s">
        <v>662</v>
      </c>
      <c r="S619" s="1150" t="s">
        <v>625</v>
      </c>
      <c r="T619" s="1150" t="s">
        <v>1062</v>
      </c>
      <c r="U619" s="1157">
        <v>151800</v>
      </c>
      <c r="V619" s="1150" t="s">
        <v>1062</v>
      </c>
      <c r="W619" s="1157">
        <v>151800</v>
      </c>
      <c r="X619" s="1150" t="s">
        <v>618</v>
      </c>
      <c r="Y619" s="1158">
        <v>43753.93056712963</v>
      </c>
      <c r="Z619" s="1150" t="s">
        <v>618</v>
      </c>
      <c r="AA619" s="1158">
        <v>43894.70694444445</v>
      </c>
      <c r="AB619" s="1138">
        <f t="shared" si="9"/>
        <v>303600</v>
      </c>
    </row>
    <row r="620" ht="24" customHeight="1" spans="1:28" x14ac:dyDescent="0.25">
      <c r="A620" s="1159">
        <v>110637</v>
      </c>
      <c r="B620" s="1159" t="s">
        <v>1462</v>
      </c>
      <c r="C620" s="1159" t="s">
        <v>1465</v>
      </c>
      <c r="D620" s="1160">
        <v>43753</v>
      </c>
      <c r="E620" s="1161">
        <v>25030000</v>
      </c>
      <c r="F620" s="1159" t="s">
        <v>387</v>
      </c>
      <c r="G620" s="1162" t="s">
        <v>611</v>
      </c>
      <c r="H620" s="1163">
        <v>1591</v>
      </c>
      <c r="I620" s="1159" t="s">
        <v>612</v>
      </c>
      <c r="J620" s="1162" t="s">
        <v>14</v>
      </c>
      <c r="K620" s="1159" t="s">
        <v>18</v>
      </c>
      <c r="L620" s="1159" t="s">
        <v>1464</v>
      </c>
      <c r="M620" s="1162" t="s">
        <v>14</v>
      </c>
      <c r="N620" s="1162" t="s">
        <v>837</v>
      </c>
      <c r="O620" s="1164">
        <v>62</v>
      </c>
      <c r="P620" s="1164">
        <v>0</v>
      </c>
      <c r="Q620" s="1164">
        <v>5</v>
      </c>
      <c r="R620" s="1159" t="s">
        <v>662</v>
      </c>
      <c r="S620" s="1159" t="s">
        <v>625</v>
      </c>
      <c r="T620" s="1159" t="s">
        <v>1062</v>
      </c>
      <c r="U620" s="1166">
        <v>151800</v>
      </c>
      <c r="V620" s="1159" t="s">
        <v>1062</v>
      </c>
      <c r="W620" s="1166">
        <v>151800</v>
      </c>
      <c r="X620" s="1159" t="s">
        <v>618</v>
      </c>
      <c r="Y620" s="1167">
        <v>43753.94268518519</v>
      </c>
      <c r="Z620" s="1159" t="s">
        <v>618</v>
      </c>
      <c r="AA620" s="1167">
        <v>43894.70885416667</v>
      </c>
      <c r="AB620" s="1138">
        <f t="shared" si="9"/>
        <v>303600</v>
      </c>
    </row>
    <row r="621" spans="1:28" x14ac:dyDescent="0.25">
      <c r="A621" s="1150">
        <v>110634</v>
      </c>
      <c r="B621" s="1150" t="s">
        <v>1462</v>
      </c>
      <c r="C621" s="1150" t="s">
        <v>1466</v>
      </c>
      <c r="D621" s="1151">
        <v>43753</v>
      </c>
      <c r="E621" s="1152">
        <v>21990000</v>
      </c>
      <c r="F621" s="1150" t="s">
        <v>387</v>
      </c>
      <c r="G621" s="1153" t="s">
        <v>611</v>
      </c>
      <c r="H621" s="1154">
        <v>1591</v>
      </c>
      <c r="I621" s="1150" t="s">
        <v>612</v>
      </c>
      <c r="J621" s="1153" t="s">
        <v>14</v>
      </c>
      <c r="K621" s="1150" t="s">
        <v>18</v>
      </c>
      <c r="L621" s="1150" t="s">
        <v>1464</v>
      </c>
      <c r="M621" s="1153" t="s">
        <v>14</v>
      </c>
      <c r="N621" s="1153" t="s">
        <v>837</v>
      </c>
      <c r="O621" s="1155">
        <v>62</v>
      </c>
      <c r="P621" s="1155">
        <v>0</v>
      </c>
      <c r="Q621" s="1155">
        <v>5</v>
      </c>
      <c r="R621" s="1150" t="s">
        <v>662</v>
      </c>
      <c r="S621" s="1150" t="s">
        <v>625</v>
      </c>
      <c r="T621" s="1150" t="s">
        <v>1062</v>
      </c>
      <c r="U621" s="1157">
        <v>151800</v>
      </c>
      <c r="V621" s="1150" t="s">
        <v>1062</v>
      </c>
      <c r="W621" s="1157">
        <v>151800</v>
      </c>
      <c r="X621" s="1150" t="s">
        <v>618</v>
      </c>
      <c r="Y621" s="1158">
        <v>43753.527233796296</v>
      </c>
      <c r="Z621" s="1150" t="s">
        <v>618</v>
      </c>
      <c r="AA621" s="1158">
        <v>43894.70217592592</v>
      </c>
      <c r="AB621" s="1138">
        <f t="shared" si="9"/>
        <v>303600</v>
      </c>
    </row>
    <row r="622" ht="24" customHeight="1" spans="1:28" x14ac:dyDescent="0.25">
      <c r="A622" s="1159">
        <v>110635</v>
      </c>
      <c r="B622" s="1159" t="s">
        <v>1462</v>
      </c>
      <c r="C622" s="1159" t="s">
        <v>1467</v>
      </c>
      <c r="D622" s="1160">
        <v>43753</v>
      </c>
      <c r="E622" s="1161">
        <v>22760000</v>
      </c>
      <c r="F622" s="1159" t="s">
        <v>387</v>
      </c>
      <c r="G622" s="1162" t="s">
        <v>611</v>
      </c>
      <c r="H622" s="1163">
        <v>1591</v>
      </c>
      <c r="I622" s="1159" t="s">
        <v>612</v>
      </c>
      <c r="J622" s="1162" t="s">
        <v>14</v>
      </c>
      <c r="K622" s="1159" t="s">
        <v>18</v>
      </c>
      <c r="L622" s="1159" t="s">
        <v>1464</v>
      </c>
      <c r="M622" s="1162" t="s">
        <v>14</v>
      </c>
      <c r="N622" s="1162" t="s">
        <v>837</v>
      </c>
      <c r="O622" s="1164">
        <v>62</v>
      </c>
      <c r="P622" s="1164">
        <v>0</v>
      </c>
      <c r="Q622" s="1164">
        <v>5</v>
      </c>
      <c r="R622" s="1159" t="s">
        <v>662</v>
      </c>
      <c r="S622" s="1159" t="s">
        <v>625</v>
      </c>
      <c r="T622" s="1159" t="s">
        <v>1062</v>
      </c>
      <c r="U622" s="1166">
        <v>151800</v>
      </c>
      <c r="V622" s="1159" t="s">
        <v>1062</v>
      </c>
      <c r="W622" s="1166">
        <v>151800</v>
      </c>
      <c r="X622" s="1159" t="s">
        <v>618</v>
      </c>
      <c r="Y622" s="1167">
        <v>43753.92446759259</v>
      </c>
      <c r="Z622" s="1159" t="s">
        <v>618</v>
      </c>
      <c r="AA622" s="1167">
        <v>43894.70335648148</v>
      </c>
      <c r="AB622" s="1138">
        <f t="shared" si="9"/>
        <v>303600</v>
      </c>
    </row>
    <row r="623" ht="24" customHeight="1" spans="1:28" x14ac:dyDescent="0.25">
      <c r="A623" s="1150">
        <v>110638</v>
      </c>
      <c r="B623" s="1150" t="s">
        <v>1462</v>
      </c>
      <c r="C623" s="1150" t="s">
        <v>1468</v>
      </c>
      <c r="D623" s="1151">
        <v>43753</v>
      </c>
      <c r="E623" s="1152">
        <v>28260000</v>
      </c>
      <c r="F623" s="1150" t="s">
        <v>387</v>
      </c>
      <c r="G623" s="1153" t="s">
        <v>611</v>
      </c>
      <c r="H623" s="1154">
        <v>1591</v>
      </c>
      <c r="I623" s="1150" t="s">
        <v>612</v>
      </c>
      <c r="J623" s="1153" t="s">
        <v>14</v>
      </c>
      <c r="K623" s="1150" t="s">
        <v>18</v>
      </c>
      <c r="L623" s="1150" t="s">
        <v>1464</v>
      </c>
      <c r="M623" s="1153" t="s">
        <v>14</v>
      </c>
      <c r="N623" s="1153" t="s">
        <v>837</v>
      </c>
      <c r="O623" s="1155">
        <v>62</v>
      </c>
      <c r="P623" s="1155">
        <v>0</v>
      </c>
      <c r="Q623" s="1155">
        <v>5</v>
      </c>
      <c r="R623" s="1150" t="s">
        <v>662</v>
      </c>
      <c r="S623" s="1150" t="s">
        <v>625</v>
      </c>
      <c r="T623" s="1150" t="s">
        <v>1062</v>
      </c>
      <c r="U623" s="1157">
        <v>151800</v>
      </c>
      <c r="V623" s="1150" t="s">
        <v>1062</v>
      </c>
      <c r="W623" s="1157">
        <v>151800</v>
      </c>
      <c r="X623" s="1150" t="s">
        <v>618</v>
      </c>
      <c r="Y623" s="1158">
        <v>43753.94380787037</v>
      </c>
      <c r="Z623" s="1150" t="s">
        <v>618</v>
      </c>
      <c r="AA623" s="1158">
        <v>43894.71188657408</v>
      </c>
      <c r="AB623" s="1138">
        <f t="shared" si="9"/>
        <v>303600</v>
      </c>
    </row>
    <row r="624" spans="1:28" x14ac:dyDescent="0.25">
      <c r="A624" s="1159">
        <v>110641</v>
      </c>
      <c r="B624" s="1159" t="s">
        <v>1462</v>
      </c>
      <c r="C624" s="1159" t="s">
        <v>1469</v>
      </c>
      <c r="D624" s="1160">
        <v>43753</v>
      </c>
      <c r="E624" s="1161">
        <v>25310000</v>
      </c>
      <c r="F624" s="1159" t="s">
        <v>387</v>
      </c>
      <c r="G624" s="1162" t="s">
        <v>611</v>
      </c>
      <c r="H624" s="1163">
        <v>1591</v>
      </c>
      <c r="I624" s="1159" t="s">
        <v>612</v>
      </c>
      <c r="J624" s="1162" t="s">
        <v>14</v>
      </c>
      <c r="K624" s="1159" t="s">
        <v>18</v>
      </c>
      <c r="L624" s="1159" t="s">
        <v>1464</v>
      </c>
      <c r="M624" s="1162" t="s">
        <v>14</v>
      </c>
      <c r="N624" s="1162" t="s">
        <v>837</v>
      </c>
      <c r="O624" s="1164">
        <v>62</v>
      </c>
      <c r="P624" s="1164">
        <v>0</v>
      </c>
      <c r="Q624" s="1164">
        <v>5</v>
      </c>
      <c r="R624" s="1159" t="s">
        <v>662</v>
      </c>
      <c r="S624" s="1159" t="s">
        <v>625</v>
      </c>
      <c r="T624" s="1159" t="s">
        <v>1062</v>
      </c>
      <c r="U624" s="1166">
        <v>151800</v>
      </c>
      <c r="V624" s="1159" t="s">
        <v>1062</v>
      </c>
      <c r="W624" s="1166">
        <v>151800</v>
      </c>
      <c r="X624" s="1159" t="s">
        <v>618</v>
      </c>
      <c r="Y624" s="1167">
        <v>43753.965370370366</v>
      </c>
      <c r="Z624" s="1159" t="s">
        <v>618</v>
      </c>
      <c r="AA624" s="1167">
        <v>43894.70680555556</v>
      </c>
      <c r="AB624" s="1138">
        <f t="shared" si="9"/>
        <v>303600</v>
      </c>
    </row>
    <row r="625" ht="24" customHeight="1" spans="1:28" x14ac:dyDescent="0.25">
      <c r="A625" s="1150">
        <v>110642</v>
      </c>
      <c r="B625" s="1150" t="s">
        <v>1462</v>
      </c>
      <c r="C625" s="1150" t="s">
        <v>1470</v>
      </c>
      <c r="D625" s="1151">
        <v>43753</v>
      </c>
      <c r="E625" s="1152">
        <v>27030000</v>
      </c>
      <c r="F625" s="1150" t="s">
        <v>387</v>
      </c>
      <c r="G625" s="1153" t="s">
        <v>611</v>
      </c>
      <c r="H625" s="1154">
        <v>1591</v>
      </c>
      <c r="I625" s="1150" t="s">
        <v>612</v>
      </c>
      <c r="J625" s="1153" t="s">
        <v>14</v>
      </c>
      <c r="K625" s="1150" t="s">
        <v>18</v>
      </c>
      <c r="L625" s="1150" t="s">
        <v>1464</v>
      </c>
      <c r="M625" s="1153" t="s">
        <v>14</v>
      </c>
      <c r="N625" s="1153" t="s">
        <v>837</v>
      </c>
      <c r="O625" s="1155">
        <v>62</v>
      </c>
      <c r="P625" s="1155">
        <v>0</v>
      </c>
      <c r="Q625" s="1155">
        <v>5</v>
      </c>
      <c r="R625" s="1150" t="s">
        <v>662</v>
      </c>
      <c r="S625" s="1150" t="s">
        <v>625</v>
      </c>
      <c r="T625" s="1150" t="s">
        <v>1062</v>
      </c>
      <c r="U625" s="1157">
        <v>151800</v>
      </c>
      <c r="V625" s="1150" t="s">
        <v>1062</v>
      </c>
      <c r="W625" s="1157">
        <v>151800</v>
      </c>
      <c r="X625" s="1150" t="s">
        <v>618</v>
      </c>
      <c r="Y625" s="1158">
        <v>43753.96659722222</v>
      </c>
      <c r="Z625" s="1150" t="s">
        <v>618</v>
      </c>
      <c r="AA625" s="1158">
        <v>43894.708703703705</v>
      </c>
      <c r="AB625" s="1138">
        <f t="shared" si="9"/>
        <v>303600</v>
      </c>
    </row>
    <row r="626" ht="24" customHeight="1" spans="1:28" x14ac:dyDescent="0.25">
      <c r="A626" s="1159">
        <v>110639</v>
      </c>
      <c r="B626" s="1159" t="s">
        <v>1462</v>
      </c>
      <c r="C626" s="1159" t="s">
        <v>1471</v>
      </c>
      <c r="D626" s="1160">
        <v>43753</v>
      </c>
      <c r="E626" s="1161">
        <v>23990000</v>
      </c>
      <c r="F626" s="1159" t="s">
        <v>387</v>
      </c>
      <c r="G626" s="1162" t="s">
        <v>611</v>
      </c>
      <c r="H626" s="1163">
        <v>1591</v>
      </c>
      <c r="I626" s="1159" t="s">
        <v>612</v>
      </c>
      <c r="J626" s="1162" t="s">
        <v>14</v>
      </c>
      <c r="K626" s="1159" t="s">
        <v>18</v>
      </c>
      <c r="L626" s="1159" t="s">
        <v>1464</v>
      </c>
      <c r="M626" s="1162" t="s">
        <v>14</v>
      </c>
      <c r="N626" s="1162" t="s">
        <v>837</v>
      </c>
      <c r="O626" s="1164">
        <v>62</v>
      </c>
      <c r="P626" s="1164">
        <v>0</v>
      </c>
      <c r="Q626" s="1164">
        <v>5</v>
      </c>
      <c r="R626" s="1159" t="s">
        <v>662</v>
      </c>
      <c r="S626" s="1159" t="s">
        <v>625</v>
      </c>
      <c r="T626" s="1159" t="s">
        <v>1062</v>
      </c>
      <c r="U626" s="1166">
        <v>151800</v>
      </c>
      <c r="V626" s="1159" t="s">
        <v>1062</v>
      </c>
      <c r="W626" s="1166">
        <v>151800</v>
      </c>
      <c r="X626" s="1159" t="s">
        <v>618</v>
      </c>
      <c r="Y626" s="1167">
        <v>43753.96162037037</v>
      </c>
      <c r="Z626" s="1159" t="s">
        <v>618</v>
      </c>
      <c r="AA626" s="1167">
        <v>43894.70196759259</v>
      </c>
      <c r="AB626" s="1138">
        <f t="shared" si="9"/>
        <v>303600</v>
      </c>
    </row>
    <row r="627" ht="24" customHeight="1" spans="1:28" x14ac:dyDescent="0.25">
      <c r="A627" s="1150">
        <v>110640</v>
      </c>
      <c r="B627" s="1150" t="s">
        <v>1462</v>
      </c>
      <c r="C627" s="1150" t="s">
        <v>1472</v>
      </c>
      <c r="D627" s="1151">
        <v>43753</v>
      </c>
      <c r="E627" s="1152">
        <v>24760000</v>
      </c>
      <c r="F627" s="1150" t="s">
        <v>387</v>
      </c>
      <c r="G627" s="1153" t="s">
        <v>611</v>
      </c>
      <c r="H627" s="1154">
        <v>1591</v>
      </c>
      <c r="I627" s="1150" t="s">
        <v>612</v>
      </c>
      <c r="J627" s="1153" t="s">
        <v>14</v>
      </c>
      <c r="K627" s="1150" t="s">
        <v>18</v>
      </c>
      <c r="L627" s="1150" t="s">
        <v>1464</v>
      </c>
      <c r="M627" s="1153" t="s">
        <v>14</v>
      </c>
      <c r="N627" s="1153" t="s">
        <v>837</v>
      </c>
      <c r="O627" s="1155">
        <v>62</v>
      </c>
      <c r="P627" s="1155">
        <v>0</v>
      </c>
      <c r="Q627" s="1155">
        <v>5</v>
      </c>
      <c r="R627" s="1150" t="s">
        <v>662</v>
      </c>
      <c r="S627" s="1150" t="s">
        <v>625</v>
      </c>
      <c r="T627" s="1150" t="s">
        <v>1062</v>
      </c>
      <c r="U627" s="1157">
        <v>151800</v>
      </c>
      <c r="V627" s="1150" t="s">
        <v>1062</v>
      </c>
      <c r="W627" s="1157">
        <v>151800</v>
      </c>
      <c r="X627" s="1150" t="s">
        <v>618</v>
      </c>
      <c r="Y627" s="1158">
        <v>43753.96457175926</v>
      </c>
      <c r="Z627" s="1150" t="s">
        <v>618</v>
      </c>
      <c r="AA627" s="1158">
        <v>43894.70353009259</v>
      </c>
      <c r="AB627" s="1138">
        <f t="shared" si="9"/>
        <v>303600</v>
      </c>
    </row>
    <row r="628" ht="24" customHeight="1" spans="1:28" x14ac:dyDescent="0.25">
      <c r="A628" s="1159">
        <v>110643</v>
      </c>
      <c r="B628" s="1159" t="s">
        <v>1462</v>
      </c>
      <c r="C628" s="1159" t="s">
        <v>1473</v>
      </c>
      <c r="D628" s="1160">
        <v>43753</v>
      </c>
      <c r="E628" s="1161">
        <v>30260000</v>
      </c>
      <c r="F628" s="1159" t="s">
        <v>387</v>
      </c>
      <c r="G628" s="1162" t="s">
        <v>611</v>
      </c>
      <c r="H628" s="1163">
        <v>1591</v>
      </c>
      <c r="I628" s="1159" t="s">
        <v>612</v>
      </c>
      <c r="J628" s="1162" t="s">
        <v>14</v>
      </c>
      <c r="K628" s="1159" t="s">
        <v>18</v>
      </c>
      <c r="L628" s="1159" t="s">
        <v>1464</v>
      </c>
      <c r="M628" s="1162" t="s">
        <v>14</v>
      </c>
      <c r="N628" s="1162" t="s">
        <v>837</v>
      </c>
      <c r="O628" s="1164">
        <v>62</v>
      </c>
      <c r="P628" s="1164">
        <v>0</v>
      </c>
      <c r="Q628" s="1164">
        <v>5</v>
      </c>
      <c r="R628" s="1159" t="s">
        <v>662</v>
      </c>
      <c r="S628" s="1159" t="s">
        <v>625</v>
      </c>
      <c r="T628" s="1159" t="s">
        <v>1062</v>
      </c>
      <c r="U628" s="1166">
        <v>151800</v>
      </c>
      <c r="V628" s="1159" t="s">
        <v>1062</v>
      </c>
      <c r="W628" s="1166">
        <v>151800</v>
      </c>
      <c r="X628" s="1159" t="s">
        <v>618</v>
      </c>
      <c r="Y628" s="1167">
        <v>43753.9684837963</v>
      </c>
      <c r="Z628" s="1159" t="s">
        <v>618</v>
      </c>
      <c r="AA628" s="1167">
        <v>43894.71170138889</v>
      </c>
      <c r="AB628" s="1138">
        <f t="shared" si="9"/>
        <v>303600</v>
      </c>
    </row>
    <row r="629" spans="1:28" x14ac:dyDescent="0.25">
      <c r="A629" s="1150">
        <v>110667</v>
      </c>
      <c r="B629" s="1150" t="s">
        <v>1462</v>
      </c>
      <c r="C629" s="1150" t="s">
        <v>1474</v>
      </c>
      <c r="D629" s="1151">
        <v>43754</v>
      </c>
      <c r="E629" s="1152">
        <v>25340000</v>
      </c>
      <c r="F629" s="1150" t="s">
        <v>610</v>
      </c>
      <c r="G629" s="1153" t="s">
        <v>611</v>
      </c>
      <c r="H629" s="1154">
        <v>1995</v>
      </c>
      <c r="I629" s="1150" t="s">
        <v>612</v>
      </c>
      <c r="J629" s="1153" t="s">
        <v>14</v>
      </c>
      <c r="K629" s="1150" t="s">
        <v>18</v>
      </c>
      <c r="L629" s="1150" t="s">
        <v>1464</v>
      </c>
      <c r="M629" s="1153" t="s">
        <v>14</v>
      </c>
      <c r="N629" s="1153" t="s">
        <v>837</v>
      </c>
      <c r="O629" s="1155">
        <v>62</v>
      </c>
      <c r="P629" s="1155">
        <v>0</v>
      </c>
      <c r="Q629" s="1155">
        <v>5</v>
      </c>
      <c r="R629" s="1150" t="s">
        <v>690</v>
      </c>
      <c r="S629" s="1150" t="s">
        <v>625</v>
      </c>
      <c r="T629" s="1150" t="s">
        <v>1062</v>
      </c>
      <c r="U629" s="1157">
        <v>151800</v>
      </c>
      <c r="V629" s="1150" t="s">
        <v>1062</v>
      </c>
      <c r="W629" s="1157">
        <v>151800</v>
      </c>
      <c r="X629" s="1150" t="s">
        <v>618</v>
      </c>
      <c r="Y629" s="1158">
        <v>43754.02422453703</v>
      </c>
      <c r="Z629" s="1150" t="s">
        <v>618</v>
      </c>
      <c r="AA629" s="1158">
        <v>43894.70663194444</v>
      </c>
      <c r="AB629" s="1138">
        <f t="shared" si="9"/>
        <v>303600</v>
      </c>
    </row>
    <row r="630" ht="24" customHeight="1" spans="1:28" x14ac:dyDescent="0.25">
      <c r="A630" s="1159">
        <v>110666</v>
      </c>
      <c r="B630" s="1159" t="s">
        <v>1462</v>
      </c>
      <c r="C630" s="1159" t="s">
        <v>1475</v>
      </c>
      <c r="D630" s="1160">
        <v>43754</v>
      </c>
      <c r="E630" s="1161">
        <v>27060000</v>
      </c>
      <c r="F630" s="1159" t="s">
        <v>610</v>
      </c>
      <c r="G630" s="1162" t="s">
        <v>611</v>
      </c>
      <c r="H630" s="1163">
        <v>1995</v>
      </c>
      <c r="I630" s="1159" t="s">
        <v>612</v>
      </c>
      <c r="J630" s="1162" t="s">
        <v>14</v>
      </c>
      <c r="K630" s="1159" t="s">
        <v>18</v>
      </c>
      <c r="L630" s="1159" t="s">
        <v>1464</v>
      </c>
      <c r="M630" s="1162" t="s">
        <v>14</v>
      </c>
      <c r="N630" s="1162" t="s">
        <v>837</v>
      </c>
      <c r="O630" s="1164">
        <v>62</v>
      </c>
      <c r="P630" s="1164">
        <v>0</v>
      </c>
      <c r="Q630" s="1164">
        <v>5</v>
      </c>
      <c r="R630" s="1159" t="s">
        <v>690</v>
      </c>
      <c r="S630" s="1159" t="s">
        <v>625</v>
      </c>
      <c r="T630" s="1159" t="s">
        <v>1062</v>
      </c>
      <c r="U630" s="1166">
        <v>151800</v>
      </c>
      <c r="V630" s="1159" t="s">
        <v>1062</v>
      </c>
      <c r="W630" s="1166">
        <v>151800</v>
      </c>
      <c r="X630" s="1159" t="s">
        <v>618</v>
      </c>
      <c r="Y630" s="1167">
        <v>43754.0237962963</v>
      </c>
      <c r="Z630" s="1159" t="s">
        <v>618</v>
      </c>
      <c r="AA630" s="1167">
        <v>43894.70847222222</v>
      </c>
      <c r="AB630" s="1138">
        <f t="shared" si="9"/>
        <v>303600</v>
      </c>
    </row>
    <row r="631" spans="1:28" x14ac:dyDescent="0.25">
      <c r="A631" s="1150">
        <v>110664</v>
      </c>
      <c r="B631" s="1150" t="s">
        <v>1462</v>
      </c>
      <c r="C631" s="1150" t="s">
        <v>1476</v>
      </c>
      <c r="D631" s="1151">
        <v>43754</v>
      </c>
      <c r="E631" s="1152">
        <v>24020000</v>
      </c>
      <c r="F631" s="1150" t="s">
        <v>610</v>
      </c>
      <c r="G631" s="1153" t="s">
        <v>611</v>
      </c>
      <c r="H631" s="1154">
        <v>1995</v>
      </c>
      <c r="I631" s="1150" t="s">
        <v>612</v>
      </c>
      <c r="J631" s="1153" t="s">
        <v>14</v>
      </c>
      <c r="K631" s="1150" t="s">
        <v>18</v>
      </c>
      <c r="L631" s="1150" t="s">
        <v>1464</v>
      </c>
      <c r="M631" s="1153" t="s">
        <v>14</v>
      </c>
      <c r="N631" s="1153" t="s">
        <v>837</v>
      </c>
      <c r="O631" s="1155">
        <v>62</v>
      </c>
      <c r="P631" s="1155">
        <v>0</v>
      </c>
      <c r="Q631" s="1155">
        <v>5</v>
      </c>
      <c r="R631" s="1150" t="s">
        <v>690</v>
      </c>
      <c r="S631" s="1150" t="s">
        <v>625</v>
      </c>
      <c r="T631" s="1150" t="s">
        <v>1062</v>
      </c>
      <c r="U631" s="1157">
        <v>151800</v>
      </c>
      <c r="V631" s="1150" t="s">
        <v>1062</v>
      </c>
      <c r="W631" s="1157">
        <v>151800</v>
      </c>
      <c r="X631" s="1150" t="s">
        <v>618</v>
      </c>
      <c r="Y631" s="1158">
        <v>43754.02259259259</v>
      </c>
      <c r="Z631" s="1150" t="s">
        <v>618</v>
      </c>
      <c r="AA631" s="1158">
        <v>43894.70174768519</v>
      </c>
      <c r="AB631" s="1138">
        <f t="shared" si="9"/>
        <v>303600</v>
      </c>
    </row>
    <row r="632" ht="24" customHeight="1" spans="1:28" x14ac:dyDescent="0.25">
      <c r="A632" s="1159">
        <v>110668</v>
      </c>
      <c r="B632" s="1159" t="s">
        <v>1462</v>
      </c>
      <c r="C632" s="1159" t="s">
        <v>1477</v>
      </c>
      <c r="D632" s="1160">
        <v>43754</v>
      </c>
      <c r="E632" s="1161">
        <v>24790000</v>
      </c>
      <c r="F632" s="1159" t="s">
        <v>610</v>
      </c>
      <c r="G632" s="1162" t="s">
        <v>611</v>
      </c>
      <c r="H632" s="1163">
        <v>1995</v>
      </c>
      <c r="I632" s="1159" t="s">
        <v>612</v>
      </c>
      <c r="J632" s="1162" t="s">
        <v>14</v>
      </c>
      <c r="K632" s="1159" t="s">
        <v>18</v>
      </c>
      <c r="L632" s="1159" t="s">
        <v>1464</v>
      </c>
      <c r="M632" s="1162" t="s">
        <v>14</v>
      </c>
      <c r="N632" s="1162" t="s">
        <v>837</v>
      </c>
      <c r="O632" s="1164">
        <v>62</v>
      </c>
      <c r="P632" s="1164">
        <v>0</v>
      </c>
      <c r="Q632" s="1164">
        <v>5</v>
      </c>
      <c r="R632" s="1159" t="s">
        <v>690</v>
      </c>
      <c r="S632" s="1159" t="s">
        <v>625</v>
      </c>
      <c r="T632" s="1159" t="s">
        <v>1062</v>
      </c>
      <c r="U632" s="1166">
        <v>151800</v>
      </c>
      <c r="V632" s="1159" t="s">
        <v>1062</v>
      </c>
      <c r="W632" s="1166">
        <v>151800</v>
      </c>
      <c r="X632" s="1159" t="s">
        <v>618</v>
      </c>
      <c r="Y632" s="1167">
        <v>43754.02505787037</v>
      </c>
      <c r="Z632" s="1159" t="s">
        <v>618</v>
      </c>
      <c r="AA632" s="1167">
        <v>43894.70369212963</v>
      </c>
      <c r="AB632" s="1138">
        <f t="shared" si="9"/>
        <v>303600</v>
      </c>
    </row>
    <row r="633" spans="1:28" x14ac:dyDescent="0.25">
      <c r="A633" s="1150">
        <v>110665</v>
      </c>
      <c r="B633" s="1150" t="s">
        <v>1462</v>
      </c>
      <c r="C633" s="1150" t="s">
        <v>1478</v>
      </c>
      <c r="D633" s="1151">
        <v>43754</v>
      </c>
      <c r="E633" s="1152">
        <v>30290000</v>
      </c>
      <c r="F633" s="1150" t="s">
        <v>610</v>
      </c>
      <c r="G633" s="1153" t="s">
        <v>611</v>
      </c>
      <c r="H633" s="1154">
        <v>1995</v>
      </c>
      <c r="I633" s="1150" t="s">
        <v>612</v>
      </c>
      <c r="J633" s="1153" t="s">
        <v>14</v>
      </c>
      <c r="K633" s="1150" t="s">
        <v>18</v>
      </c>
      <c r="L633" s="1150" t="s">
        <v>1464</v>
      </c>
      <c r="M633" s="1153" t="s">
        <v>14</v>
      </c>
      <c r="N633" s="1153" t="s">
        <v>837</v>
      </c>
      <c r="O633" s="1155">
        <v>62</v>
      </c>
      <c r="P633" s="1155">
        <v>0</v>
      </c>
      <c r="Q633" s="1155">
        <v>5</v>
      </c>
      <c r="R633" s="1150" t="s">
        <v>690</v>
      </c>
      <c r="S633" s="1150" t="s">
        <v>625</v>
      </c>
      <c r="T633" s="1150" t="s">
        <v>1062</v>
      </c>
      <c r="U633" s="1157">
        <v>151800</v>
      </c>
      <c r="V633" s="1150" t="s">
        <v>1062</v>
      </c>
      <c r="W633" s="1157">
        <v>151800</v>
      </c>
      <c r="X633" s="1150" t="s">
        <v>618</v>
      </c>
      <c r="Y633" s="1158">
        <v>43754.02329861111</v>
      </c>
      <c r="Z633" s="1150" t="s">
        <v>618</v>
      </c>
      <c r="AA633" s="1158">
        <v>43894.711481481485</v>
      </c>
      <c r="AB633" s="1138">
        <f t="shared" si="9"/>
        <v>303600</v>
      </c>
    </row>
    <row r="634" spans="1:28" x14ac:dyDescent="0.25">
      <c r="A634" s="1159">
        <v>110671</v>
      </c>
      <c r="B634" s="1159" t="s">
        <v>1462</v>
      </c>
      <c r="C634" s="1159" t="s">
        <v>1479</v>
      </c>
      <c r="D634" s="1160">
        <v>43754</v>
      </c>
      <c r="E634" s="1161">
        <v>27340000</v>
      </c>
      <c r="F634" s="1159" t="s">
        <v>610</v>
      </c>
      <c r="G634" s="1162" t="s">
        <v>611</v>
      </c>
      <c r="H634" s="1163">
        <v>1995</v>
      </c>
      <c r="I634" s="1159" t="s">
        <v>612</v>
      </c>
      <c r="J634" s="1162" t="s">
        <v>14</v>
      </c>
      <c r="K634" s="1159" t="s">
        <v>18</v>
      </c>
      <c r="L634" s="1159" t="s">
        <v>1464</v>
      </c>
      <c r="M634" s="1162" t="s">
        <v>14</v>
      </c>
      <c r="N634" s="1162" t="s">
        <v>837</v>
      </c>
      <c r="O634" s="1164">
        <v>62</v>
      </c>
      <c r="P634" s="1164">
        <v>0</v>
      </c>
      <c r="Q634" s="1164">
        <v>5</v>
      </c>
      <c r="R634" s="1159" t="s">
        <v>662</v>
      </c>
      <c r="S634" s="1159" t="s">
        <v>625</v>
      </c>
      <c r="T634" s="1159" t="s">
        <v>1062</v>
      </c>
      <c r="U634" s="1166">
        <v>151800</v>
      </c>
      <c r="V634" s="1159" t="s">
        <v>1062</v>
      </c>
      <c r="W634" s="1166">
        <v>151800</v>
      </c>
      <c r="X634" s="1159" t="s">
        <v>618</v>
      </c>
      <c r="Y634" s="1167">
        <v>43754.02929398148</v>
      </c>
      <c r="Z634" s="1159" t="s">
        <v>618</v>
      </c>
      <c r="AA634" s="1167">
        <v>43894.70648148148</v>
      </c>
      <c r="AB634" s="1138">
        <f t="shared" si="9"/>
        <v>303600</v>
      </c>
    </row>
    <row r="635" ht="24" customHeight="1" spans="1:28" x14ac:dyDescent="0.25">
      <c r="A635" s="1150">
        <v>110672</v>
      </c>
      <c r="B635" s="1150" t="s">
        <v>1462</v>
      </c>
      <c r="C635" s="1150" t="s">
        <v>1480</v>
      </c>
      <c r="D635" s="1151">
        <v>43754</v>
      </c>
      <c r="E635" s="1152">
        <v>29060000</v>
      </c>
      <c r="F635" s="1150" t="s">
        <v>610</v>
      </c>
      <c r="G635" s="1153" t="s">
        <v>611</v>
      </c>
      <c r="H635" s="1154">
        <v>1995</v>
      </c>
      <c r="I635" s="1150" t="s">
        <v>612</v>
      </c>
      <c r="J635" s="1153" t="s">
        <v>14</v>
      </c>
      <c r="K635" s="1150" t="s">
        <v>18</v>
      </c>
      <c r="L635" s="1150" t="s">
        <v>1464</v>
      </c>
      <c r="M635" s="1153" t="s">
        <v>14</v>
      </c>
      <c r="N635" s="1153" t="s">
        <v>837</v>
      </c>
      <c r="O635" s="1155">
        <v>62</v>
      </c>
      <c r="P635" s="1155">
        <v>0</v>
      </c>
      <c r="Q635" s="1155">
        <v>5</v>
      </c>
      <c r="R635" s="1150" t="s">
        <v>662</v>
      </c>
      <c r="S635" s="1150" t="s">
        <v>625</v>
      </c>
      <c r="T635" s="1150" t="s">
        <v>1062</v>
      </c>
      <c r="U635" s="1157">
        <v>151800</v>
      </c>
      <c r="V635" s="1150" t="s">
        <v>1062</v>
      </c>
      <c r="W635" s="1157">
        <v>151800</v>
      </c>
      <c r="X635" s="1150" t="s">
        <v>618</v>
      </c>
      <c r="Y635" s="1158">
        <v>43754.02978009259</v>
      </c>
      <c r="Z635" s="1150" t="s">
        <v>618</v>
      </c>
      <c r="AA635" s="1158">
        <v>43894.708287037036</v>
      </c>
      <c r="AB635" s="1138">
        <f t="shared" si="9"/>
        <v>303600</v>
      </c>
    </row>
    <row r="636" spans="1:28" x14ac:dyDescent="0.25">
      <c r="A636" s="1159">
        <v>110669</v>
      </c>
      <c r="B636" s="1159" t="s">
        <v>1462</v>
      </c>
      <c r="C636" s="1159" t="s">
        <v>1481</v>
      </c>
      <c r="D636" s="1160">
        <v>43754</v>
      </c>
      <c r="E636" s="1161">
        <v>26020000</v>
      </c>
      <c r="F636" s="1159" t="s">
        <v>610</v>
      </c>
      <c r="G636" s="1162" t="s">
        <v>611</v>
      </c>
      <c r="H636" s="1163">
        <v>1995</v>
      </c>
      <c r="I636" s="1159" t="s">
        <v>612</v>
      </c>
      <c r="J636" s="1162" t="s">
        <v>14</v>
      </c>
      <c r="K636" s="1159" t="s">
        <v>18</v>
      </c>
      <c r="L636" s="1159" t="s">
        <v>1464</v>
      </c>
      <c r="M636" s="1162" t="s">
        <v>14</v>
      </c>
      <c r="N636" s="1162" t="s">
        <v>837</v>
      </c>
      <c r="O636" s="1164">
        <v>62</v>
      </c>
      <c r="P636" s="1164">
        <v>0</v>
      </c>
      <c r="Q636" s="1164">
        <v>5</v>
      </c>
      <c r="R636" s="1159" t="s">
        <v>662</v>
      </c>
      <c r="S636" s="1159" t="s">
        <v>625</v>
      </c>
      <c r="T636" s="1159" t="s">
        <v>1062</v>
      </c>
      <c r="U636" s="1166">
        <v>151800</v>
      </c>
      <c r="V636" s="1159" t="s">
        <v>1062</v>
      </c>
      <c r="W636" s="1166">
        <v>151800</v>
      </c>
      <c r="X636" s="1159" t="s">
        <v>618</v>
      </c>
      <c r="Y636" s="1167">
        <v>43754.02842592592</v>
      </c>
      <c r="Z636" s="1159" t="s">
        <v>618</v>
      </c>
      <c r="AA636" s="1167">
        <v>43894.70159722222</v>
      </c>
      <c r="AB636" s="1138">
        <f t="shared" si="9"/>
        <v>303600</v>
      </c>
    </row>
    <row r="637" ht="24" customHeight="1" spans="1:28" x14ac:dyDescent="0.25">
      <c r="A637" s="1150">
        <v>110670</v>
      </c>
      <c r="B637" s="1150" t="s">
        <v>1462</v>
      </c>
      <c r="C637" s="1150" t="s">
        <v>1482</v>
      </c>
      <c r="D637" s="1151">
        <v>43754</v>
      </c>
      <c r="E637" s="1152">
        <v>26790000</v>
      </c>
      <c r="F637" s="1150" t="s">
        <v>610</v>
      </c>
      <c r="G637" s="1153" t="s">
        <v>611</v>
      </c>
      <c r="H637" s="1154">
        <v>1995</v>
      </c>
      <c r="I637" s="1150" t="s">
        <v>612</v>
      </c>
      <c r="J637" s="1153" t="s">
        <v>14</v>
      </c>
      <c r="K637" s="1150" t="s">
        <v>18</v>
      </c>
      <c r="L637" s="1150" t="s">
        <v>1464</v>
      </c>
      <c r="M637" s="1153" t="s">
        <v>14</v>
      </c>
      <c r="N637" s="1153" t="s">
        <v>837</v>
      </c>
      <c r="O637" s="1155">
        <v>62</v>
      </c>
      <c r="P637" s="1155">
        <v>0</v>
      </c>
      <c r="Q637" s="1155">
        <v>5</v>
      </c>
      <c r="R637" s="1150" t="s">
        <v>662</v>
      </c>
      <c r="S637" s="1150" t="s">
        <v>625</v>
      </c>
      <c r="T637" s="1150" t="s">
        <v>1062</v>
      </c>
      <c r="U637" s="1157">
        <v>151800</v>
      </c>
      <c r="V637" s="1150" t="s">
        <v>1062</v>
      </c>
      <c r="W637" s="1157">
        <v>151800</v>
      </c>
      <c r="X637" s="1150" t="s">
        <v>618</v>
      </c>
      <c r="Y637" s="1158">
        <v>43754.02885416667</v>
      </c>
      <c r="Z637" s="1150" t="s">
        <v>618</v>
      </c>
      <c r="AA637" s="1158">
        <v>43894.70390046296</v>
      </c>
      <c r="AB637" s="1138">
        <f t="shared" si="9"/>
        <v>303600</v>
      </c>
    </row>
    <row r="638" ht="24" customHeight="1" spans="1:28" x14ac:dyDescent="0.25">
      <c r="A638" s="1159">
        <v>110673</v>
      </c>
      <c r="B638" s="1159" t="s">
        <v>1462</v>
      </c>
      <c r="C638" s="1159" t="s">
        <v>1483</v>
      </c>
      <c r="D638" s="1160">
        <v>43754</v>
      </c>
      <c r="E638" s="1161">
        <v>32290000</v>
      </c>
      <c r="F638" s="1159" t="s">
        <v>610</v>
      </c>
      <c r="G638" s="1162" t="s">
        <v>611</v>
      </c>
      <c r="H638" s="1163">
        <v>1995</v>
      </c>
      <c r="I638" s="1159" t="s">
        <v>612</v>
      </c>
      <c r="J638" s="1162" t="s">
        <v>14</v>
      </c>
      <c r="K638" s="1159" t="s">
        <v>18</v>
      </c>
      <c r="L638" s="1159" t="s">
        <v>1464</v>
      </c>
      <c r="M638" s="1162" t="s">
        <v>14</v>
      </c>
      <c r="N638" s="1162" t="s">
        <v>837</v>
      </c>
      <c r="O638" s="1164">
        <v>62</v>
      </c>
      <c r="P638" s="1164">
        <v>0</v>
      </c>
      <c r="Q638" s="1164">
        <v>5</v>
      </c>
      <c r="R638" s="1159" t="s">
        <v>662</v>
      </c>
      <c r="S638" s="1159" t="s">
        <v>625</v>
      </c>
      <c r="T638" s="1159" t="s">
        <v>1062</v>
      </c>
      <c r="U638" s="1166">
        <v>151800</v>
      </c>
      <c r="V638" s="1159" t="s">
        <v>1062</v>
      </c>
      <c r="W638" s="1166">
        <v>151800</v>
      </c>
      <c r="X638" s="1159" t="s">
        <v>618</v>
      </c>
      <c r="Y638" s="1167">
        <v>43754.03025462963</v>
      </c>
      <c r="Z638" s="1159" t="s">
        <v>618</v>
      </c>
      <c r="AA638" s="1167">
        <v>43894.71127314815</v>
      </c>
      <c r="AB638" s="1138">
        <f t="shared" si="9"/>
        <v>303600</v>
      </c>
    </row>
    <row r="639" ht="24" customHeight="1" spans="1:28" x14ac:dyDescent="0.25">
      <c r="A639" s="1150">
        <v>110648</v>
      </c>
      <c r="B639" s="1150" t="s">
        <v>1462</v>
      </c>
      <c r="C639" s="1150" t="s">
        <v>1484</v>
      </c>
      <c r="D639" s="1151">
        <v>43753</v>
      </c>
      <c r="E639" s="1152">
        <v>24840000</v>
      </c>
      <c r="F639" s="1150" t="s">
        <v>610</v>
      </c>
      <c r="G639" s="1153" t="s">
        <v>611</v>
      </c>
      <c r="H639" s="1154">
        <v>1598</v>
      </c>
      <c r="I639" s="1150" t="s">
        <v>612</v>
      </c>
      <c r="J639" s="1153" t="s">
        <v>14</v>
      </c>
      <c r="K639" s="1150" t="s">
        <v>18</v>
      </c>
      <c r="L639" s="1150" t="s">
        <v>1464</v>
      </c>
      <c r="M639" s="1153" t="s">
        <v>14</v>
      </c>
      <c r="N639" s="1153" t="s">
        <v>837</v>
      </c>
      <c r="O639" s="1155">
        <v>62</v>
      </c>
      <c r="P639" s="1155">
        <v>0</v>
      </c>
      <c r="Q639" s="1155">
        <v>5</v>
      </c>
      <c r="R639" s="1150" t="s">
        <v>842</v>
      </c>
      <c r="S639" s="1150" t="s">
        <v>625</v>
      </c>
      <c r="T639" s="1150" t="s">
        <v>1062</v>
      </c>
      <c r="U639" s="1157">
        <v>151800</v>
      </c>
      <c r="V639" s="1150" t="s">
        <v>1062</v>
      </c>
      <c r="W639" s="1157">
        <v>151800</v>
      </c>
      <c r="X639" s="1150" t="s">
        <v>618</v>
      </c>
      <c r="Y639" s="1158">
        <v>43753.976435185185</v>
      </c>
      <c r="Z639" s="1150" t="s">
        <v>618</v>
      </c>
      <c r="AA639" s="1158">
        <v>43894.70631944445</v>
      </c>
      <c r="AB639" s="1138">
        <f t="shared" si="9"/>
        <v>303600</v>
      </c>
    </row>
    <row r="640" ht="24" customHeight="1" spans="1:28" x14ac:dyDescent="0.25">
      <c r="A640" s="1159">
        <v>110649</v>
      </c>
      <c r="B640" s="1159" t="s">
        <v>1462</v>
      </c>
      <c r="C640" s="1159" t="s">
        <v>1485</v>
      </c>
      <c r="D640" s="1160">
        <v>43753</v>
      </c>
      <c r="E640" s="1161">
        <v>26560000</v>
      </c>
      <c r="F640" s="1159" t="s">
        <v>610</v>
      </c>
      <c r="G640" s="1162" t="s">
        <v>611</v>
      </c>
      <c r="H640" s="1163">
        <v>1598</v>
      </c>
      <c r="I640" s="1159" t="s">
        <v>612</v>
      </c>
      <c r="J640" s="1162" t="s">
        <v>14</v>
      </c>
      <c r="K640" s="1159" t="s">
        <v>18</v>
      </c>
      <c r="L640" s="1159" t="s">
        <v>1464</v>
      </c>
      <c r="M640" s="1162" t="s">
        <v>14</v>
      </c>
      <c r="N640" s="1162" t="s">
        <v>837</v>
      </c>
      <c r="O640" s="1164">
        <v>62</v>
      </c>
      <c r="P640" s="1164">
        <v>0</v>
      </c>
      <c r="Q640" s="1164">
        <v>5</v>
      </c>
      <c r="R640" s="1159" t="s">
        <v>842</v>
      </c>
      <c r="S640" s="1159" t="s">
        <v>625</v>
      </c>
      <c r="T640" s="1159" t="s">
        <v>1062</v>
      </c>
      <c r="U640" s="1166">
        <v>151800</v>
      </c>
      <c r="V640" s="1159" t="s">
        <v>1062</v>
      </c>
      <c r="W640" s="1166">
        <v>151800</v>
      </c>
      <c r="X640" s="1159" t="s">
        <v>618</v>
      </c>
      <c r="Y640" s="1167">
        <v>43753.977118055554</v>
      </c>
      <c r="Z640" s="1159" t="s">
        <v>618</v>
      </c>
      <c r="AA640" s="1167">
        <v>43894.70811342592</v>
      </c>
      <c r="AB640" s="1138">
        <f t="shared" si="9"/>
        <v>303600</v>
      </c>
    </row>
    <row r="641" ht="24" customHeight="1" spans="1:28" x14ac:dyDescent="0.25">
      <c r="A641" s="1150">
        <v>110646</v>
      </c>
      <c r="B641" s="1150" t="s">
        <v>1462</v>
      </c>
      <c r="C641" s="1150" t="s">
        <v>1486</v>
      </c>
      <c r="D641" s="1151">
        <v>43753</v>
      </c>
      <c r="E641" s="1152">
        <v>23520000</v>
      </c>
      <c r="F641" s="1150" t="s">
        <v>610</v>
      </c>
      <c r="G641" s="1153" t="s">
        <v>611</v>
      </c>
      <c r="H641" s="1154">
        <v>1598</v>
      </c>
      <c r="I641" s="1150" t="s">
        <v>612</v>
      </c>
      <c r="J641" s="1153" t="s">
        <v>14</v>
      </c>
      <c r="K641" s="1150" t="s">
        <v>18</v>
      </c>
      <c r="L641" s="1150" t="s">
        <v>1464</v>
      </c>
      <c r="M641" s="1153" t="s">
        <v>14</v>
      </c>
      <c r="N641" s="1153" t="s">
        <v>837</v>
      </c>
      <c r="O641" s="1155">
        <v>62</v>
      </c>
      <c r="P641" s="1155">
        <v>0</v>
      </c>
      <c r="Q641" s="1155">
        <v>5</v>
      </c>
      <c r="R641" s="1150" t="s">
        <v>842</v>
      </c>
      <c r="S641" s="1150" t="s">
        <v>625</v>
      </c>
      <c r="T641" s="1150" t="s">
        <v>1062</v>
      </c>
      <c r="U641" s="1157">
        <v>151800</v>
      </c>
      <c r="V641" s="1150" t="s">
        <v>1062</v>
      </c>
      <c r="W641" s="1157">
        <v>151800</v>
      </c>
      <c r="X641" s="1150" t="s">
        <v>618</v>
      </c>
      <c r="Y641" s="1158">
        <v>43753.975370370375</v>
      </c>
      <c r="Z641" s="1150" t="s">
        <v>618</v>
      </c>
      <c r="AA641" s="1158">
        <v>43894.70138888889</v>
      </c>
      <c r="AB641" s="1138">
        <f t="shared" si="9"/>
        <v>303600</v>
      </c>
    </row>
    <row r="642" ht="24" customHeight="1" spans="1:28" x14ac:dyDescent="0.25">
      <c r="A642" s="1159">
        <v>110647</v>
      </c>
      <c r="B642" s="1159" t="s">
        <v>1462</v>
      </c>
      <c r="C642" s="1159" t="s">
        <v>1487</v>
      </c>
      <c r="D642" s="1160">
        <v>43753</v>
      </c>
      <c r="E642" s="1161">
        <v>24290000</v>
      </c>
      <c r="F642" s="1159" t="s">
        <v>610</v>
      </c>
      <c r="G642" s="1162" t="s">
        <v>611</v>
      </c>
      <c r="H642" s="1163">
        <v>1598</v>
      </c>
      <c r="I642" s="1159" t="s">
        <v>612</v>
      </c>
      <c r="J642" s="1162" t="s">
        <v>14</v>
      </c>
      <c r="K642" s="1159" t="s">
        <v>18</v>
      </c>
      <c r="L642" s="1159" t="s">
        <v>1464</v>
      </c>
      <c r="M642" s="1162" t="s">
        <v>14</v>
      </c>
      <c r="N642" s="1162" t="s">
        <v>837</v>
      </c>
      <c r="O642" s="1164">
        <v>62</v>
      </c>
      <c r="P642" s="1164">
        <v>0</v>
      </c>
      <c r="Q642" s="1164">
        <v>5</v>
      </c>
      <c r="R642" s="1159" t="s">
        <v>842</v>
      </c>
      <c r="S642" s="1159" t="s">
        <v>625</v>
      </c>
      <c r="T642" s="1159" t="s">
        <v>1062</v>
      </c>
      <c r="U642" s="1166">
        <v>151800</v>
      </c>
      <c r="V642" s="1159" t="s">
        <v>1062</v>
      </c>
      <c r="W642" s="1166">
        <v>151800</v>
      </c>
      <c r="X642" s="1159" t="s">
        <v>618</v>
      </c>
      <c r="Y642" s="1167">
        <v>43753.975902777776</v>
      </c>
      <c r="Z642" s="1159" t="s">
        <v>618</v>
      </c>
      <c r="AA642" s="1167">
        <v>43894.70454861112</v>
      </c>
      <c r="AB642" s="1138">
        <f t="shared" si="9"/>
        <v>303600</v>
      </c>
    </row>
    <row r="643" ht="24" customHeight="1" spans="1:28" x14ac:dyDescent="0.25">
      <c r="A643" s="1150">
        <v>110650</v>
      </c>
      <c r="B643" s="1150" t="s">
        <v>1462</v>
      </c>
      <c r="C643" s="1150" t="s">
        <v>1488</v>
      </c>
      <c r="D643" s="1151">
        <v>43753</v>
      </c>
      <c r="E643" s="1152">
        <v>29790000</v>
      </c>
      <c r="F643" s="1150" t="s">
        <v>610</v>
      </c>
      <c r="G643" s="1153" t="s">
        <v>611</v>
      </c>
      <c r="H643" s="1154">
        <v>1598</v>
      </c>
      <c r="I643" s="1150" t="s">
        <v>612</v>
      </c>
      <c r="J643" s="1153" t="s">
        <v>14</v>
      </c>
      <c r="K643" s="1150" t="s">
        <v>18</v>
      </c>
      <c r="L643" s="1150" t="s">
        <v>1464</v>
      </c>
      <c r="M643" s="1153" t="s">
        <v>14</v>
      </c>
      <c r="N643" s="1153" t="s">
        <v>837</v>
      </c>
      <c r="O643" s="1155">
        <v>62</v>
      </c>
      <c r="P643" s="1155">
        <v>0</v>
      </c>
      <c r="Q643" s="1155">
        <v>5</v>
      </c>
      <c r="R643" s="1150" t="s">
        <v>842</v>
      </c>
      <c r="S643" s="1150" t="s">
        <v>625</v>
      </c>
      <c r="T643" s="1150" t="s">
        <v>1062</v>
      </c>
      <c r="U643" s="1157">
        <v>151800</v>
      </c>
      <c r="V643" s="1150" t="s">
        <v>1062</v>
      </c>
      <c r="W643" s="1157">
        <v>151800</v>
      </c>
      <c r="X643" s="1150" t="s">
        <v>618</v>
      </c>
      <c r="Y643" s="1158">
        <v>43753.97752314815</v>
      </c>
      <c r="Z643" s="1150" t="s">
        <v>618</v>
      </c>
      <c r="AA643" s="1158">
        <v>43894.711064814815</v>
      </c>
      <c r="AB643" s="1138">
        <f t="shared" ref="AB643:AB694" si="10">W643*2</f>
        <v>303600</v>
      </c>
    </row>
    <row r="644" ht="24" customHeight="1" spans="1:28" x14ac:dyDescent="0.25">
      <c r="A644" s="1159">
        <v>110653</v>
      </c>
      <c r="B644" s="1159" t="s">
        <v>1462</v>
      </c>
      <c r="C644" s="1159" t="s">
        <v>1489</v>
      </c>
      <c r="D644" s="1160">
        <v>43753</v>
      </c>
      <c r="E644" s="1161">
        <v>26840000</v>
      </c>
      <c r="F644" s="1159" t="s">
        <v>610</v>
      </c>
      <c r="G644" s="1162" t="s">
        <v>611</v>
      </c>
      <c r="H644" s="1163">
        <v>1598</v>
      </c>
      <c r="I644" s="1159" t="s">
        <v>612</v>
      </c>
      <c r="J644" s="1162" t="s">
        <v>14</v>
      </c>
      <c r="K644" s="1159" t="s">
        <v>18</v>
      </c>
      <c r="L644" s="1159" t="s">
        <v>1464</v>
      </c>
      <c r="M644" s="1162" t="s">
        <v>14</v>
      </c>
      <c r="N644" s="1162" t="s">
        <v>837</v>
      </c>
      <c r="O644" s="1164">
        <v>62</v>
      </c>
      <c r="P644" s="1164">
        <v>0</v>
      </c>
      <c r="Q644" s="1164">
        <v>5</v>
      </c>
      <c r="R644" s="1159" t="s">
        <v>690</v>
      </c>
      <c r="S644" s="1159" t="s">
        <v>625</v>
      </c>
      <c r="T644" s="1159" t="s">
        <v>1062</v>
      </c>
      <c r="U644" s="1166">
        <v>151800</v>
      </c>
      <c r="V644" s="1159" t="s">
        <v>1062</v>
      </c>
      <c r="W644" s="1166">
        <v>151800</v>
      </c>
      <c r="X644" s="1159" t="s">
        <v>618</v>
      </c>
      <c r="Y644" s="1167">
        <v>43753.983356481476</v>
      </c>
      <c r="Z644" s="1159" t="s">
        <v>618</v>
      </c>
      <c r="AA644" s="1167">
        <v>43894.706134259264</v>
      </c>
      <c r="AB644" s="1138">
        <f t="shared" si="10"/>
        <v>303600</v>
      </c>
    </row>
    <row r="645" ht="24" customHeight="1" spans="1:28" x14ac:dyDescent="0.25">
      <c r="A645" s="1150">
        <v>110652</v>
      </c>
      <c r="B645" s="1150" t="s">
        <v>1462</v>
      </c>
      <c r="C645" s="1150" t="s">
        <v>1490</v>
      </c>
      <c r="D645" s="1151">
        <v>43753</v>
      </c>
      <c r="E645" s="1152">
        <v>28560000</v>
      </c>
      <c r="F645" s="1150" t="s">
        <v>610</v>
      </c>
      <c r="G645" s="1153" t="s">
        <v>611</v>
      </c>
      <c r="H645" s="1154">
        <v>1598</v>
      </c>
      <c r="I645" s="1150" t="s">
        <v>612</v>
      </c>
      <c r="J645" s="1153" t="s">
        <v>14</v>
      </c>
      <c r="K645" s="1150" t="s">
        <v>18</v>
      </c>
      <c r="L645" s="1150" t="s">
        <v>1464</v>
      </c>
      <c r="M645" s="1153" t="s">
        <v>14</v>
      </c>
      <c r="N645" s="1153" t="s">
        <v>837</v>
      </c>
      <c r="O645" s="1155">
        <v>62</v>
      </c>
      <c r="P645" s="1155">
        <v>0</v>
      </c>
      <c r="Q645" s="1155">
        <v>5</v>
      </c>
      <c r="R645" s="1150" t="s">
        <v>690</v>
      </c>
      <c r="S645" s="1150" t="s">
        <v>625</v>
      </c>
      <c r="T645" s="1150" t="s">
        <v>1062</v>
      </c>
      <c r="U645" s="1157">
        <v>151800</v>
      </c>
      <c r="V645" s="1150" t="s">
        <v>1062</v>
      </c>
      <c r="W645" s="1157">
        <v>151800</v>
      </c>
      <c r="X645" s="1150" t="s">
        <v>618</v>
      </c>
      <c r="Y645" s="1158">
        <v>43753.982361111106</v>
      </c>
      <c r="Z645" s="1150" t="s">
        <v>618</v>
      </c>
      <c r="AA645" s="1158">
        <v>43894.707824074074</v>
      </c>
      <c r="AB645" s="1138">
        <f t="shared" si="10"/>
        <v>303600</v>
      </c>
    </row>
    <row r="646" ht="24" customHeight="1" spans="1:28" x14ac:dyDescent="0.25">
      <c r="A646" s="1159">
        <v>110655</v>
      </c>
      <c r="B646" s="1159" t="s">
        <v>1462</v>
      </c>
      <c r="C646" s="1159" t="s">
        <v>1491</v>
      </c>
      <c r="D646" s="1160">
        <v>43753</v>
      </c>
      <c r="E646" s="1161">
        <v>25520000</v>
      </c>
      <c r="F646" s="1159" t="s">
        <v>610</v>
      </c>
      <c r="G646" s="1162" t="s">
        <v>611</v>
      </c>
      <c r="H646" s="1163">
        <v>1598</v>
      </c>
      <c r="I646" s="1159" t="s">
        <v>612</v>
      </c>
      <c r="J646" s="1162" t="s">
        <v>14</v>
      </c>
      <c r="K646" s="1159" t="s">
        <v>18</v>
      </c>
      <c r="L646" s="1159" t="s">
        <v>1464</v>
      </c>
      <c r="M646" s="1162" t="s">
        <v>14</v>
      </c>
      <c r="N646" s="1162" t="s">
        <v>837</v>
      </c>
      <c r="O646" s="1164">
        <v>62</v>
      </c>
      <c r="P646" s="1164">
        <v>0</v>
      </c>
      <c r="Q646" s="1164">
        <v>5</v>
      </c>
      <c r="R646" s="1159" t="s">
        <v>690</v>
      </c>
      <c r="S646" s="1159" t="s">
        <v>625</v>
      </c>
      <c r="T646" s="1159" t="s">
        <v>1062</v>
      </c>
      <c r="U646" s="1166">
        <v>151800</v>
      </c>
      <c r="V646" s="1159" t="s">
        <v>1062</v>
      </c>
      <c r="W646" s="1166">
        <v>151800</v>
      </c>
      <c r="X646" s="1159" t="s">
        <v>618</v>
      </c>
      <c r="Y646" s="1167">
        <v>43753.9840162037</v>
      </c>
      <c r="Z646" s="1159" t="s">
        <v>618</v>
      </c>
      <c r="AA646" s="1167">
        <v>43894.70119212963</v>
      </c>
      <c r="AB646" s="1138">
        <f t="shared" si="10"/>
        <v>303600</v>
      </c>
    </row>
    <row r="647" ht="24" customHeight="1" spans="1:28" x14ac:dyDescent="0.25">
      <c r="A647" s="1150">
        <v>110654</v>
      </c>
      <c r="B647" s="1150" t="s">
        <v>1462</v>
      </c>
      <c r="C647" s="1150" t="s">
        <v>1492</v>
      </c>
      <c r="D647" s="1151">
        <v>43753</v>
      </c>
      <c r="E647" s="1152">
        <v>26290000</v>
      </c>
      <c r="F647" s="1150" t="s">
        <v>610</v>
      </c>
      <c r="G647" s="1153" t="s">
        <v>611</v>
      </c>
      <c r="H647" s="1154">
        <v>1598</v>
      </c>
      <c r="I647" s="1150" t="s">
        <v>612</v>
      </c>
      <c r="J647" s="1153" t="s">
        <v>14</v>
      </c>
      <c r="K647" s="1150" t="s">
        <v>18</v>
      </c>
      <c r="L647" s="1150" t="s">
        <v>1464</v>
      </c>
      <c r="M647" s="1153" t="s">
        <v>14</v>
      </c>
      <c r="N647" s="1153" t="s">
        <v>837</v>
      </c>
      <c r="O647" s="1155">
        <v>62</v>
      </c>
      <c r="P647" s="1155">
        <v>0</v>
      </c>
      <c r="Q647" s="1155">
        <v>5</v>
      </c>
      <c r="R647" s="1150" t="s">
        <v>690</v>
      </c>
      <c r="S647" s="1150" t="s">
        <v>625</v>
      </c>
      <c r="T647" s="1150" t="s">
        <v>1062</v>
      </c>
      <c r="U647" s="1157">
        <v>151800</v>
      </c>
      <c r="V647" s="1150" t="s">
        <v>1062</v>
      </c>
      <c r="W647" s="1157">
        <v>151800</v>
      </c>
      <c r="X647" s="1150" t="s">
        <v>618</v>
      </c>
      <c r="Y647" s="1158">
        <v>43753.98365740741</v>
      </c>
      <c r="Z647" s="1150" t="s">
        <v>618</v>
      </c>
      <c r="AA647" s="1158">
        <v>43894.70476851852</v>
      </c>
      <c r="AB647" s="1138">
        <f t="shared" si="10"/>
        <v>303600</v>
      </c>
    </row>
    <row r="648" ht="24" customHeight="1" spans="1:28" x14ac:dyDescent="0.25">
      <c r="A648" s="1159">
        <v>110651</v>
      </c>
      <c r="B648" s="1159" t="s">
        <v>1462</v>
      </c>
      <c r="C648" s="1159" t="s">
        <v>1493</v>
      </c>
      <c r="D648" s="1160">
        <v>43753</v>
      </c>
      <c r="E648" s="1161">
        <v>31790000</v>
      </c>
      <c r="F648" s="1159" t="s">
        <v>610</v>
      </c>
      <c r="G648" s="1162" t="s">
        <v>611</v>
      </c>
      <c r="H648" s="1163">
        <v>1598</v>
      </c>
      <c r="I648" s="1159" t="s">
        <v>612</v>
      </c>
      <c r="J648" s="1162" t="s">
        <v>14</v>
      </c>
      <c r="K648" s="1159" t="s">
        <v>18</v>
      </c>
      <c r="L648" s="1159" t="s">
        <v>1464</v>
      </c>
      <c r="M648" s="1162" t="s">
        <v>14</v>
      </c>
      <c r="N648" s="1162" t="s">
        <v>837</v>
      </c>
      <c r="O648" s="1164">
        <v>62</v>
      </c>
      <c r="P648" s="1164">
        <v>0</v>
      </c>
      <c r="Q648" s="1164">
        <v>5</v>
      </c>
      <c r="R648" s="1159" t="s">
        <v>690</v>
      </c>
      <c r="S648" s="1159" t="s">
        <v>625</v>
      </c>
      <c r="T648" s="1159" t="s">
        <v>1062</v>
      </c>
      <c r="U648" s="1166">
        <v>151800</v>
      </c>
      <c r="V648" s="1159" t="s">
        <v>1062</v>
      </c>
      <c r="W648" s="1166">
        <v>151800</v>
      </c>
      <c r="X648" s="1159" t="s">
        <v>618</v>
      </c>
      <c r="Y648" s="1167">
        <v>43753.98200231481</v>
      </c>
      <c r="Z648" s="1159" t="s">
        <v>618</v>
      </c>
      <c r="AA648" s="1167">
        <v>43894.71084490741</v>
      </c>
      <c r="AB648" s="1138">
        <f t="shared" si="10"/>
        <v>303600</v>
      </c>
    </row>
    <row r="649" spans="1:28" x14ac:dyDescent="0.25">
      <c r="A649" s="1150">
        <v>110030</v>
      </c>
      <c r="B649" s="1150" t="s">
        <v>1494</v>
      </c>
      <c r="C649" s="1150" t="s">
        <v>1495</v>
      </c>
      <c r="D649" s="1151">
        <v>43503</v>
      </c>
      <c r="E649" s="1152">
        <v>18250000</v>
      </c>
      <c r="F649" s="1150" t="s">
        <v>387</v>
      </c>
      <c r="G649" s="1153" t="s">
        <v>611</v>
      </c>
      <c r="H649" s="1154">
        <v>1362</v>
      </c>
      <c r="I649" s="1150" t="s">
        <v>612</v>
      </c>
      <c r="J649" s="1153" t="s">
        <v>14</v>
      </c>
      <c r="K649" s="1150" t="s">
        <v>849</v>
      </c>
      <c r="L649" s="1150" t="s">
        <v>1496</v>
      </c>
      <c r="M649" s="1153" t="s">
        <v>14</v>
      </c>
      <c r="N649" s="1153" t="s">
        <v>851</v>
      </c>
      <c r="O649" s="1155">
        <v>53</v>
      </c>
      <c r="P649" s="1155">
        <v>0</v>
      </c>
      <c r="Q649" s="1155">
        <v>5</v>
      </c>
      <c r="R649" s="1150" t="s">
        <v>710</v>
      </c>
      <c r="S649" s="1150" t="s">
        <v>910</v>
      </c>
      <c r="T649" s="1150" t="s">
        <v>1497</v>
      </c>
      <c r="U649" s="1157">
        <v>115000</v>
      </c>
      <c r="V649" s="1150" t="s">
        <v>1497</v>
      </c>
      <c r="W649" s="1157">
        <v>115000</v>
      </c>
      <c r="X649" s="1150" t="s">
        <v>664</v>
      </c>
      <c r="Y649" s="1158">
        <v>43503.85685185185</v>
      </c>
      <c r="Z649" s="1150" t="s">
        <v>618</v>
      </c>
      <c r="AA649" s="1158">
        <v>43849.86587962963</v>
      </c>
      <c r="AB649" s="1138">
        <f t="shared" si="10"/>
        <v>230000</v>
      </c>
    </row>
    <row r="650" spans="1:28" x14ac:dyDescent="0.25">
      <c r="A650" s="1159">
        <v>110031</v>
      </c>
      <c r="B650" s="1159" t="s">
        <v>1494</v>
      </c>
      <c r="C650" s="1159" t="s">
        <v>1498</v>
      </c>
      <c r="D650" s="1160">
        <v>43503</v>
      </c>
      <c r="E650" s="1161">
        <v>18850000</v>
      </c>
      <c r="F650" s="1159" t="s">
        <v>387</v>
      </c>
      <c r="G650" s="1162" t="s">
        <v>611</v>
      </c>
      <c r="H650" s="1163">
        <v>1362</v>
      </c>
      <c r="I650" s="1159" t="s">
        <v>612</v>
      </c>
      <c r="J650" s="1162" t="s">
        <v>14</v>
      </c>
      <c r="K650" s="1159" t="s">
        <v>849</v>
      </c>
      <c r="L650" s="1159" t="s">
        <v>1496</v>
      </c>
      <c r="M650" s="1162" t="s">
        <v>14</v>
      </c>
      <c r="N650" s="1162" t="s">
        <v>851</v>
      </c>
      <c r="O650" s="1164">
        <v>53</v>
      </c>
      <c r="P650" s="1164">
        <v>0</v>
      </c>
      <c r="Q650" s="1164">
        <v>5</v>
      </c>
      <c r="R650" s="1159" t="s">
        <v>710</v>
      </c>
      <c r="S650" s="1159" t="s">
        <v>910</v>
      </c>
      <c r="T650" s="1159" t="s">
        <v>1497</v>
      </c>
      <c r="U650" s="1166">
        <v>115000</v>
      </c>
      <c r="V650" s="1159" t="s">
        <v>1497</v>
      </c>
      <c r="W650" s="1166">
        <v>115000</v>
      </c>
      <c r="X650" s="1159" t="s">
        <v>664</v>
      </c>
      <c r="Y650" s="1167">
        <v>43503.8575925926</v>
      </c>
      <c r="Z650" s="1159" t="s">
        <v>618</v>
      </c>
      <c r="AA650" s="1167">
        <v>43849.86587962963</v>
      </c>
      <c r="AB650" s="1138">
        <f t="shared" si="10"/>
        <v>230000</v>
      </c>
    </row>
    <row r="651" spans="1:28" x14ac:dyDescent="0.25">
      <c r="A651" s="1150">
        <v>110032</v>
      </c>
      <c r="B651" s="1150" t="s">
        <v>1494</v>
      </c>
      <c r="C651" s="1150" t="s">
        <v>1499</v>
      </c>
      <c r="D651" s="1151">
        <v>43503</v>
      </c>
      <c r="E651" s="1152">
        <v>20650000</v>
      </c>
      <c r="F651" s="1150" t="s">
        <v>387</v>
      </c>
      <c r="G651" s="1153" t="s">
        <v>611</v>
      </c>
      <c r="H651" s="1154">
        <v>1362</v>
      </c>
      <c r="I651" s="1150" t="s">
        <v>612</v>
      </c>
      <c r="J651" s="1153" t="s">
        <v>14</v>
      </c>
      <c r="K651" s="1150" t="s">
        <v>849</v>
      </c>
      <c r="L651" s="1150" t="s">
        <v>1496</v>
      </c>
      <c r="M651" s="1153" t="s">
        <v>14</v>
      </c>
      <c r="N651" s="1153" t="s">
        <v>851</v>
      </c>
      <c r="O651" s="1155">
        <v>53</v>
      </c>
      <c r="P651" s="1155">
        <v>0</v>
      </c>
      <c r="Q651" s="1155">
        <v>5</v>
      </c>
      <c r="R651" s="1150" t="s">
        <v>710</v>
      </c>
      <c r="S651" s="1150" t="s">
        <v>910</v>
      </c>
      <c r="T651" s="1150" t="s">
        <v>1497</v>
      </c>
      <c r="U651" s="1157">
        <v>115000</v>
      </c>
      <c r="V651" s="1150" t="s">
        <v>1497</v>
      </c>
      <c r="W651" s="1157">
        <v>115000</v>
      </c>
      <c r="X651" s="1150" t="s">
        <v>664</v>
      </c>
      <c r="Y651" s="1158">
        <v>43503.85826388889</v>
      </c>
      <c r="Z651" s="1150" t="s">
        <v>618</v>
      </c>
      <c r="AA651" s="1158">
        <v>43849.86587962963</v>
      </c>
      <c r="AB651" s="1138">
        <f t="shared" si="10"/>
        <v>230000</v>
      </c>
    </row>
    <row r="652" spans="1:28" x14ac:dyDescent="0.25">
      <c r="A652" s="1159">
        <v>110033</v>
      </c>
      <c r="B652" s="1159" t="s">
        <v>1494</v>
      </c>
      <c r="C652" s="1159" t="s">
        <v>1500</v>
      </c>
      <c r="D652" s="1160">
        <v>43503</v>
      </c>
      <c r="E652" s="1161">
        <v>21350000</v>
      </c>
      <c r="F652" s="1159" t="s">
        <v>387</v>
      </c>
      <c r="G652" s="1162" t="s">
        <v>611</v>
      </c>
      <c r="H652" s="1163">
        <v>1362</v>
      </c>
      <c r="I652" s="1159" t="s">
        <v>612</v>
      </c>
      <c r="J652" s="1162" t="s">
        <v>14</v>
      </c>
      <c r="K652" s="1159" t="s">
        <v>849</v>
      </c>
      <c r="L652" s="1159" t="s">
        <v>1496</v>
      </c>
      <c r="M652" s="1162" t="s">
        <v>14</v>
      </c>
      <c r="N652" s="1162" t="s">
        <v>851</v>
      </c>
      <c r="O652" s="1164">
        <v>53</v>
      </c>
      <c r="P652" s="1164">
        <v>0</v>
      </c>
      <c r="Q652" s="1164">
        <v>5</v>
      </c>
      <c r="R652" s="1159" t="s">
        <v>710</v>
      </c>
      <c r="S652" s="1159" t="s">
        <v>910</v>
      </c>
      <c r="T652" s="1159" t="s">
        <v>813</v>
      </c>
      <c r="U652" s="1166">
        <v>140000</v>
      </c>
      <c r="V652" s="1159" t="s">
        <v>813</v>
      </c>
      <c r="W652" s="1166">
        <v>140000</v>
      </c>
      <c r="X652" s="1159" t="s">
        <v>664</v>
      </c>
      <c r="Y652" s="1167">
        <v>43503.858831018515</v>
      </c>
      <c r="Z652" s="1159" t="s">
        <v>618</v>
      </c>
      <c r="AA652" s="1167">
        <v>43849.86587962963</v>
      </c>
      <c r="AB652" s="1138">
        <f t="shared" si="10"/>
        <v>280000</v>
      </c>
    </row>
    <row r="653" spans="1:28" x14ac:dyDescent="0.25">
      <c r="A653" s="1150">
        <v>110034</v>
      </c>
      <c r="B653" s="1150" t="s">
        <v>1494</v>
      </c>
      <c r="C653" s="1150" t="s">
        <v>1501</v>
      </c>
      <c r="D653" s="1151">
        <v>43503</v>
      </c>
      <c r="E653" s="1152">
        <v>23000000</v>
      </c>
      <c r="F653" s="1150" t="s">
        <v>387</v>
      </c>
      <c r="G653" s="1153" t="s">
        <v>611</v>
      </c>
      <c r="H653" s="1154">
        <v>1362</v>
      </c>
      <c r="I653" s="1150" t="s">
        <v>612</v>
      </c>
      <c r="J653" s="1153" t="s">
        <v>14</v>
      </c>
      <c r="K653" s="1150" t="s">
        <v>849</v>
      </c>
      <c r="L653" s="1150" t="s">
        <v>1496</v>
      </c>
      <c r="M653" s="1153" t="s">
        <v>14</v>
      </c>
      <c r="N653" s="1153" t="s">
        <v>851</v>
      </c>
      <c r="O653" s="1155">
        <v>53</v>
      </c>
      <c r="P653" s="1155">
        <v>0</v>
      </c>
      <c r="Q653" s="1155">
        <v>5</v>
      </c>
      <c r="R653" s="1150" t="s">
        <v>710</v>
      </c>
      <c r="S653" s="1150" t="s">
        <v>910</v>
      </c>
      <c r="T653" s="1150" t="s">
        <v>813</v>
      </c>
      <c r="U653" s="1157">
        <v>140000</v>
      </c>
      <c r="V653" s="1150" t="s">
        <v>813</v>
      </c>
      <c r="W653" s="1157">
        <v>140000</v>
      </c>
      <c r="X653" s="1150" t="s">
        <v>664</v>
      </c>
      <c r="Y653" s="1158">
        <v>43503.859293981484</v>
      </c>
      <c r="Z653" s="1150" t="s">
        <v>618</v>
      </c>
      <c r="AA653" s="1158">
        <v>43849.8693287037</v>
      </c>
      <c r="AB653" s="1138">
        <f t="shared" si="10"/>
        <v>280000</v>
      </c>
    </row>
    <row r="654" ht="24" customHeight="1" spans="1:28" x14ac:dyDescent="0.25">
      <c r="A654" s="1159">
        <v>110036</v>
      </c>
      <c r="B654" s="1159" t="s">
        <v>1494</v>
      </c>
      <c r="C654" s="1159" t="s">
        <v>1502</v>
      </c>
      <c r="D654" s="1160">
        <v>43503</v>
      </c>
      <c r="E654" s="1161">
        <v>21700000</v>
      </c>
      <c r="F654" s="1159" t="s">
        <v>387</v>
      </c>
      <c r="G654" s="1162" t="s">
        <v>611</v>
      </c>
      <c r="H654" s="1163">
        <v>1362</v>
      </c>
      <c r="I654" s="1159" t="s">
        <v>612</v>
      </c>
      <c r="J654" s="1162" t="s">
        <v>14</v>
      </c>
      <c r="K654" s="1159" t="s">
        <v>849</v>
      </c>
      <c r="L654" s="1159" t="s">
        <v>1496</v>
      </c>
      <c r="M654" s="1162" t="s">
        <v>14</v>
      </c>
      <c r="N654" s="1162" t="s">
        <v>851</v>
      </c>
      <c r="O654" s="1164">
        <v>53</v>
      </c>
      <c r="P654" s="1164">
        <v>0</v>
      </c>
      <c r="Q654" s="1164">
        <v>5</v>
      </c>
      <c r="R654" s="1159" t="s">
        <v>710</v>
      </c>
      <c r="S654" s="1159" t="s">
        <v>910</v>
      </c>
      <c r="T654" s="1159" t="s">
        <v>813</v>
      </c>
      <c r="U654" s="1166">
        <v>140000</v>
      </c>
      <c r="V654" s="1159" t="s">
        <v>813</v>
      </c>
      <c r="W654" s="1166">
        <v>140000</v>
      </c>
      <c r="X654" s="1159" t="s">
        <v>664</v>
      </c>
      <c r="Y654" s="1167">
        <v>43503.860914351855</v>
      </c>
      <c r="Z654" s="1159" t="s">
        <v>618</v>
      </c>
      <c r="AA654" s="1167">
        <v>43849.86876157408</v>
      </c>
      <c r="AB654" s="1138">
        <f t="shared" si="10"/>
        <v>280000</v>
      </c>
    </row>
    <row r="655" ht="24" customHeight="1" spans="1:28" x14ac:dyDescent="0.25">
      <c r="A655" s="1150">
        <v>110037</v>
      </c>
      <c r="B655" s="1150" t="s">
        <v>1494</v>
      </c>
      <c r="C655" s="1150" t="s">
        <v>1503</v>
      </c>
      <c r="D655" s="1151">
        <v>43503</v>
      </c>
      <c r="E655" s="1152">
        <v>23350000</v>
      </c>
      <c r="F655" s="1150" t="s">
        <v>387</v>
      </c>
      <c r="G655" s="1153" t="s">
        <v>611</v>
      </c>
      <c r="H655" s="1154">
        <v>1362</v>
      </c>
      <c r="I655" s="1150" t="s">
        <v>612</v>
      </c>
      <c r="J655" s="1153" t="s">
        <v>14</v>
      </c>
      <c r="K655" s="1150" t="s">
        <v>849</v>
      </c>
      <c r="L655" s="1150" t="s">
        <v>1496</v>
      </c>
      <c r="M655" s="1153" t="s">
        <v>14</v>
      </c>
      <c r="N655" s="1153" t="s">
        <v>851</v>
      </c>
      <c r="O655" s="1155">
        <v>53</v>
      </c>
      <c r="P655" s="1155">
        <v>0</v>
      </c>
      <c r="Q655" s="1155">
        <v>5</v>
      </c>
      <c r="R655" s="1150" t="s">
        <v>710</v>
      </c>
      <c r="S655" s="1150" t="s">
        <v>910</v>
      </c>
      <c r="T655" s="1150" t="s">
        <v>813</v>
      </c>
      <c r="U655" s="1157">
        <v>140000</v>
      </c>
      <c r="V655" s="1150" t="s">
        <v>813</v>
      </c>
      <c r="W655" s="1157">
        <v>140000</v>
      </c>
      <c r="X655" s="1150" t="s">
        <v>664</v>
      </c>
      <c r="Y655" s="1158">
        <v>43503.86141203703</v>
      </c>
      <c r="Z655" s="1150" t="s">
        <v>618</v>
      </c>
      <c r="AA655" s="1158">
        <v>43849.869155092594</v>
      </c>
      <c r="AB655" s="1138">
        <f t="shared" si="10"/>
        <v>280000</v>
      </c>
    </row>
    <row r="656" spans="1:28" x14ac:dyDescent="0.25">
      <c r="A656" s="1159">
        <v>110035</v>
      </c>
      <c r="B656" s="1159" t="s">
        <v>1494</v>
      </c>
      <c r="C656" s="1159" t="s">
        <v>1504</v>
      </c>
      <c r="D656" s="1160">
        <v>43503</v>
      </c>
      <c r="E656" s="1161">
        <v>23250000</v>
      </c>
      <c r="F656" s="1159" t="s">
        <v>387</v>
      </c>
      <c r="G656" s="1162" t="s">
        <v>611</v>
      </c>
      <c r="H656" s="1163">
        <v>1362</v>
      </c>
      <c r="I656" s="1159" t="s">
        <v>612</v>
      </c>
      <c r="J656" s="1162" t="s">
        <v>14</v>
      </c>
      <c r="K656" s="1159" t="s">
        <v>849</v>
      </c>
      <c r="L656" s="1159" t="s">
        <v>1496</v>
      </c>
      <c r="M656" s="1162" t="s">
        <v>14</v>
      </c>
      <c r="N656" s="1162" t="s">
        <v>851</v>
      </c>
      <c r="O656" s="1164">
        <v>53</v>
      </c>
      <c r="P656" s="1164">
        <v>0</v>
      </c>
      <c r="Q656" s="1164">
        <v>5</v>
      </c>
      <c r="R656" s="1159" t="s">
        <v>710</v>
      </c>
      <c r="S656" s="1159" t="s">
        <v>910</v>
      </c>
      <c r="T656" s="1159" t="s">
        <v>813</v>
      </c>
      <c r="U656" s="1166">
        <v>140000</v>
      </c>
      <c r="V656" s="1159" t="s">
        <v>813</v>
      </c>
      <c r="W656" s="1166">
        <v>140000</v>
      </c>
      <c r="X656" s="1159" t="s">
        <v>664</v>
      </c>
      <c r="Y656" s="1167">
        <v>43503.860081018516</v>
      </c>
      <c r="Z656" s="1159" t="s">
        <v>618</v>
      </c>
      <c r="AA656" s="1167">
        <v>43849.878807870366</v>
      </c>
      <c r="AB656" s="1138">
        <f t="shared" si="10"/>
        <v>280000</v>
      </c>
    </row>
    <row r="657" spans="1:28" x14ac:dyDescent="0.25">
      <c r="A657" s="1150">
        <v>110021</v>
      </c>
      <c r="B657" s="1150" t="s">
        <v>1494</v>
      </c>
      <c r="C657" s="1150" t="s">
        <v>1505</v>
      </c>
      <c r="D657" s="1151">
        <v>43503</v>
      </c>
      <c r="E657" s="1152">
        <v>20650000</v>
      </c>
      <c r="F657" s="1150" t="s">
        <v>610</v>
      </c>
      <c r="G657" s="1153" t="s">
        <v>611</v>
      </c>
      <c r="H657" s="1154">
        <v>1598</v>
      </c>
      <c r="I657" s="1150" t="s">
        <v>612</v>
      </c>
      <c r="J657" s="1153" t="s">
        <v>14</v>
      </c>
      <c r="K657" s="1150" t="s">
        <v>849</v>
      </c>
      <c r="L657" s="1150" t="s">
        <v>1496</v>
      </c>
      <c r="M657" s="1153" t="s">
        <v>14</v>
      </c>
      <c r="N657" s="1153" t="s">
        <v>851</v>
      </c>
      <c r="O657" s="1155">
        <v>52</v>
      </c>
      <c r="P657" s="1155">
        <v>0</v>
      </c>
      <c r="Q657" s="1155">
        <v>5</v>
      </c>
      <c r="R657" s="1150" t="s">
        <v>710</v>
      </c>
      <c r="S657" s="1150" t="s">
        <v>910</v>
      </c>
      <c r="T657" s="1150" t="s">
        <v>1497</v>
      </c>
      <c r="U657" s="1157">
        <v>115000</v>
      </c>
      <c r="V657" s="1150" t="s">
        <v>1497</v>
      </c>
      <c r="W657" s="1157">
        <v>115000</v>
      </c>
      <c r="X657" s="1150" t="s">
        <v>618</v>
      </c>
      <c r="Y657" s="1158">
        <v>43503.738900462966</v>
      </c>
      <c r="Z657" s="1150" t="s">
        <v>618</v>
      </c>
      <c r="AA657" s="1158">
        <v>43849.87590277778</v>
      </c>
      <c r="AB657" s="1138">
        <f t="shared" si="10"/>
        <v>230000</v>
      </c>
    </row>
    <row r="658" spans="1:28" x14ac:dyDescent="0.25">
      <c r="A658" s="1159">
        <v>110022</v>
      </c>
      <c r="B658" s="1159" t="s">
        <v>1494</v>
      </c>
      <c r="C658" s="1159" t="s">
        <v>1506</v>
      </c>
      <c r="D658" s="1160">
        <v>43503</v>
      </c>
      <c r="E658" s="1161">
        <v>21250000</v>
      </c>
      <c r="F658" s="1159" t="s">
        <v>610</v>
      </c>
      <c r="G658" s="1162" t="s">
        <v>611</v>
      </c>
      <c r="H658" s="1163">
        <v>1598</v>
      </c>
      <c r="I658" s="1159" t="s">
        <v>612</v>
      </c>
      <c r="J658" s="1162" t="s">
        <v>14</v>
      </c>
      <c r="K658" s="1159" t="s">
        <v>849</v>
      </c>
      <c r="L658" s="1159" t="s">
        <v>1496</v>
      </c>
      <c r="M658" s="1162" t="s">
        <v>14</v>
      </c>
      <c r="N658" s="1162" t="s">
        <v>851</v>
      </c>
      <c r="O658" s="1164">
        <v>52</v>
      </c>
      <c r="P658" s="1164">
        <v>0</v>
      </c>
      <c r="Q658" s="1164">
        <v>5</v>
      </c>
      <c r="R658" s="1159" t="s">
        <v>710</v>
      </c>
      <c r="S658" s="1159" t="s">
        <v>910</v>
      </c>
      <c r="T658" s="1159" t="s">
        <v>1497</v>
      </c>
      <c r="U658" s="1166">
        <v>115000</v>
      </c>
      <c r="V658" s="1159" t="s">
        <v>1497</v>
      </c>
      <c r="W658" s="1166">
        <v>115000</v>
      </c>
      <c r="X658" s="1159" t="s">
        <v>664</v>
      </c>
      <c r="Y658" s="1167">
        <v>43503.760601851856</v>
      </c>
      <c r="Z658" s="1159" t="s">
        <v>618</v>
      </c>
      <c r="AA658" s="1167">
        <v>43849.87614583333</v>
      </c>
      <c r="AB658" s="1138">
        <f t="shared" si="10"/>
        <v>230000</v>
      </c>
    </row>
    <row r="659" spans="1:28" x14ac:dyDescent="0.25">
      <c r="A659" s="1150">
        <v>110023</v>
      </c>
      <c r="B659" s="1150" t="s">
        <v>1494</v>
      </c>
      <c r="C659" s="1150" t="s">
        <v>1507</v>
      </c>
      <c r="D659" s="1151">
        <v>43503</v>
      </c>
      <c r="E659" s="1152">
        <v>23150000</v>
      </c>
      <c r="F659" s="1150" t="s">
        <v>610</v>
      </c>
      <c r="G659" s="1153" t="s">
        <v>611</v>
      </c>
      <c r="H659" s="1154">
        <v>1598</v>
      </c>
      <c r="I659" s="1150" t="s">
        <v>612</v>
      </c>
      <c r="J659" s="1153" t="s">
        <v>14</v>
      </c>
      <c r="K659" s="1150" t="s">
        <v>849</v>
      </c>
      <c r="L659" s="1150" t="s">
        <v>1496</v>
      </c>
      <c r="M659" s="1153" t="s">
        <v>14</v>
      </c>
      <c r="N659" s="1153" t="s">
        <v>851</v>
      </c>
      <c r="O659" s="1155">
        <v>52</v>
      </c>
      <c r="P659" s="1155">
        <v>0</v>
      </c>
      <c r="Q659" s="1155">
        <v>5</v>
      </c>
      <c r="R659" s="1150" t="s">
        <v>710</v>
      </c>
      <c r="S659" s="1150" t="s">
        <v>910</v>
      </c>
      <c r="T659" s="1150" t="s">
        <v>1497</v>
      </c>
      <c r="U659" s="1157">
        <v>115000</v>
      </c>
      <c r="V659" s="1150" t="s">
        <v>1497</v>
      </c>
      <c r="W659" s="1157">
        <v>115000</v>
      </c>
      <c r="X659" s="1150" t="s">
        <v>664</v>
      </c>
      <c r="Y659" s="1158">
        <v>43503.761087962965</v>
      </c>
      <c r="Z659" s="1150" t="s">
        <v>618</v>
      </c>
      <c r="AA659" s="1158">
        <v>43849.8765162037</v>
      </c>
      <c r="AB659" s="1138">
        <f t="shared" si="10"/>
        <v>230000</v>
      </c>
    </row>
    <row r="660" spans="1:28" x14ac:dyDescent="0.25">
      <c r="A660" s="1159">
        <v>110024</v>
      </c>
      <c r="B660" s="1159" t="s">
        <v>1494</v>
      </c>
      <c r="C660" s="1159" t="s">
        <v>1508</v>
      </c>
      <c r="D660" s="1160">
        <v>43503</v>
      </c>
      <c r="E660" s="1161">
        <v>23850000</v>
      </c>
      <c r="F660" s="1159" t="s">
        <v>610</v>
      </c>
      <c r="G660" s="1162" t="s">
        <v>611</v>
      </c>
      <c r="H660" s="1163">
        <v>1598</v>
      </c>
      <c r="I660" s="1159" t="s">
        <v>612</v>
      </c>
      <c r="J660" s="1162" t="s">
        <v>14</v>
      </c>
      <c r="K660" s="1159" t="s">
        <v>849</v>
      </c>
      <c r="L660" s="1159" t="s">
        <v>1496</v>
      </c>
      <c r="M660" s="1162" t="s">
        <v>14</v>
      </c>
      <c r="N660" s="1162" t="s">
        <v>851</v>
      </c>
      <c r="O660" s="1164">
        <v>52</v>
      </c>
      <c r="P660" s="1164">
        <v>0</v>
      </c>
      <c r="Q660" s="1164">
        <v>5</v>
      </c>
      <c r="R660" s="1159" t="s">
        <v>710</v>
      </c>
      <c r="S660" s="1159" t="s">
        <v>910</v>
      </c>
      <c r="T660" s="1159" t="s">
        <v>813</v>
      </c>
      <c r="U660" s="1166">
        <v>140000</v>
      </c>
      <c r="V660" s="1159" t="s">
        <v>813</v>
      </c>
      <c r="W660" s="1166">
        <v>140000</v>
      </c>
      <c r="X660" s="1159" t="s">
        <v>664</v>
      </c>
      <c r="Y660" s="1167">
        <v>43503.76315972222</v>
      </c>
      <c r="Z660" s="1159" t="s">
        <v>618</v>
      </c>
      <c r="AA660" s="1167">
        <v>43849.876909722225</v>
      </c>
      <c r="AB660" s="1138">
        <f t="shared" si="10"/>
        <v>280000</v>
      </c>
    </row>
    <row r="661" spans="1:28" x14ac:dyDescent="0.25">
      <c r="A661" s="1150">
        <v>110025</v>
      </c>
      <c r="B661" s="1150" t="s">
        <v>1494</v>
      </c>
      <c r="C661" s="1150" t="s">
        <v>1509</v>
      </c>
      <c r="D661" s="1151">
        <v>43503</v>
      </c>
      <c r="E661" s="1152">
        <v>24900000</v>
      </c>
      <c r="F661" s="1150" t="s">
        <v>610</v>
      </c>
      <c r="G661" s="1153" t="s">
        <v>611</v>
      </c>
      <c r="H661" s="1154">
        <v>1598</v>
      </c>
      <c r="I661" s="1150" t="s">
        <v>612</v>
      </c>
      <c r="J661" s="1153" t="s">
        <v>14</v>
      </c>
      <c r="K661" s="1150" t="s">
        <v>849</v>
      </c>
      <c r="L661" s="1150" t="s">
        <v>1496</v>
      </c>
      <c r="M661" s="1153" t="s">
        <v>14</v>
      </c>
      <c r="N661" s="1153" t="s">
        <v>851</v>
      </c>
      <c r="O661" s="1155">
        <v>52</v>
      </c>
      <c r="P661" s="1155">
        <v>0</v>
      </c>
      <c r="Q661" s="1155">
        <v>5</v>
      </c>
      <c r="R661" s="1150" t="s">
        <v>710</v>
      </c>
      <c r="S661" s="1150" t="s">
        <v>910</v>
      </c>
      <c r="T661" s="1150" t="s">
        <v>813</v>
      </c>
      <c r="U661" s="1157">
        <v>140000</v>
      </c>
      <c r="V661" s="1150" t="s">
        <v>813</v>
      </c>
      <c r="W661" s="1157">
        <v>140000</v>
      </c>
      <c r="X661" s="1150" t="s">
        <v>664</v>
      </c>
      <c r="Y661" s="1158">
        <v>43503.763715277775</v>
      </c>
      <c r="Z661" s="1150" t="s">
        <v>618</v>
      </c>
      <c r="AA661" s="1158">
        <v>43849.8771412037</v>
      </c>
      <c r="AB661" s="1138">
        <f t="shared" si="10"/>
        <v>280000</v>
      </c>
    </row>
    <row r="662" spans="1:28" x14ac:dyDescent="0.25">
      <c r="A662" s="1159">
        <v>110027</v>
      </c>
      <c r="B662" s="1159" t="s">
        <v>1494</v>
      </c>
      <c r="C662" s="1159" t="s">
        <v>1510</v>
      </c>
      <c r="D662" s="1160">
        <v>43503</v>
      </c>
      <c r="E662" s="1161">
        <v>24200000</v>
      </c>
      <c r="F662" s="1159" t="s">
        <v>610</v>
      </c>
      <c r="G662" s="1162" t="s">
        <v>611</v>
      </c>
      <c r="H662" s="1163">
        <v>1598</v>
      </c>
      <c r="I662" s="1159" t="s">
        <v>612</v>
      </c>
      <c r="J662" s="1162" t="s">
        <v>14</v>
      </c>
      <c r="K662" s="1159" t="s">
        <v>849</v>
      </c>
      <c r="L662" s="1159" t="s">
        <v>1496</v>
      </c>
      <c r="M662" s="1162" t="s">
        <v>14</v>
      </c>
      <c r="N662" s="1162" t="s">
        <v>851</v>
      </c>
      <c r="O662" s="1164">
        <v>52</v>
      </c>
      <c r="P662" s="1164">
        <v>0</v>
      </c>
      <c r="Q662" s="1164">
        <v>5</v>
      </c>
      <c r="R662" s="1159" t="s">
        <v>710</v>
      </c>
      <c r="S662" s="1159" t="s">
        <v>910</v>
      </c>
      <c r="T662" s="1159" t="s">
        <v>813</v>
      </c>
      <c r="U662" s="1166">
        <v>140000</v>
      </c>
      <c r="V662" s="1159" t="s">
        <v>813</v>
      </c>
      <c r="W662" s="1166">
        <v>140000</v>
      </c>
      <c r="X662" s="1159" t="s">
        <v>664</v>
      </c>
      <c r="Y662" s="1167">
        <v>43503.77599537037</v>
      </c>
      <c r="Z662" s="1159" t="s">
        <v>618</v>
      </c>
      <c r="AA662" s="1167">
        <v>43849.87787037037</v>
      </c>
      <c r="AB662" s="1138">
        <f t="shared" si="10"/>
        <v>280000</v>
      </c>
    </row>
    <row r="663" spans="1:28" x14ac:dyDescent="0.25">
      <c r="A663" s="1150">
        <v>110028</v>
      </c>
      <c r="B663" s="1150" t="s">
        <v>1494</v>
      </c>
      <c r="C663" s="1150" t="s">
        <v>1511</v>
      </c>
      <c r="D663" s="1151">
        <v>43503</v>
      </c>
      <c r="E663" s="1152">
        <v>25250000</v>
      </c>
      <c r="F663" s="1150" t="s">
        <v>610</v>
      </c>
      <c r="G663" s="1153" t="s">
        <v>611</v>
      </c>
      <c r="H663" s="1154">
        <v>1598</v>
      </c>
      <c r="I663" s="1150" t="s">
        <v>612</v>
      </c>
      <c r="J663" s="1153" t="s">
        <v>14</v>
      </c>
      <c r="K663" s="1150" t="s">
        <v>849</v>
      </c>
      <c r="L663" s="1150" t="s">
        <v>1496</v>
      </c>
      <c r="M663" s="1153" t="s">
        <v>14</v>
      </c>
      <c r="N663" s="1153" t="s">
        <v>851</v>
      </c>
      <c r="O663" s="1155">
        <v>52</v>
      </c>
      <c r="P663" s="1155">
        <v>0</v>
      </c>
      <c r="Q663" s="1155">
        <v>5</v>
      </c>
      <c r="R663" s="1150" t="s">
        <v>710</v>
      </c>
      <c r="S663" s="1150" t="s">
        <v>910</v>
      </c>
      <c r="T663" s="1150" t="s">
        <v>813</v>
      </c>
      <c r="U663" s="1157">
        <v>140000</v>
      </c>
      <c r="V663" s="1150" t="s">
        <v>813</v>
      </c>
      <c r="W663" s="1157">
        <v>140000</v>
      </c>
      <c r="X663" s="1150" t="s">
        <v>664</v>
      </c>
      <c r="Y663" s="1158">
        <v>43503.77790509259</v>
      </c>
      <c r="Z663" s="1150" t="s">
        <v>618</v>
      </c>
      <c r="AA663" s="1158">
        <v>43849.87856481482</v>
      </c>
      <c r="AB663" s="1138">
        <f t="shared" si="10"/>
        <v>280000</v>
      </c>
    </row>
    <row r="664" spans="1:28" x14ac:dyDescent="0.25">
      <c r="A664" s="1159">
        <v>110026</v>
      </c>
      <c r="B664" s="1159" t="s">
        <v>1494</v>
      </c>
      <c r="C664" s="1159" t="s">
        <v>1512</v>
      </c>
      <c r="D664" s="1160">
        <v>43503</v>
      </c>
      <c r="E664" s="1161">
        <v>25150000</v>
      </c>
      <c r="F664" s="1159" t="s">
        <v>610</v>
      </c>
      <c r="G664" s="1162" t="s">
        <v>611</v>
      </c>
      <c r="H664" s="1163">
        <v>1598</v>
      </c>
      <c r="I664" s="1159" t="s">
        <v>612</v>
      </c>
      <c r="J664" s="1162" t="s">
        <v>14</v>
      </c>
      <c r="K664" s="1159" t="s">
        <v>849</v>
      </c>
      <c r="L664" s="1159" t="s">
        <v>1496</v>
      </c>
      <c r="M664" s="1162" t="s">
        <v>14</v>
      </c>
      <c r="N664" s="1162" t="s">
        <v>851</v>
      </c>
      <c r="O664" s="1164">
        <v>52</v>
      </c>
      <c r="P664" s="1164">
        <v>0</v>
      </c>
      <c r="Q664" s="1164">
        <v>5</v>
      </c>
      <c r="R664" s="1159" t="s">
        <v>710</v>
      </c>
      <c r="S664" s="1159" t="s">
        <v>910</v>
      </c>
      <c r="T664" s="1159" t="s">
        <v>813</v>
      </c>
      <c r="U664" s="1166">
        <v>140000</v>
      </c>
      <c r="V664" s="1159" t="s">
        <v>813</v>
      </c>
      <c r="W664" s="1166">
        <v>140000</v>
      </c>
      <c r="X664" s="1159" t="s">
        <v>664</v>
      </c>
      <c r="Y664" s="1167">
        <v>43503.76553240741</v>
      </c>
      <c r="Z664" s="1159" t="s">
        <v>618</v>
      </c>
      <c r="AA664" s="1167">
        <v>43849.87866898148</v>
      </c>
      <c r="AB664" s="1138">
        <f t="shared" si="10"/>
        <v>280000</v>
      </c>
    </row>
    <row r="665" spans="1:28" x14ac:dyDescent="0.25">
      <c r="A665" s="1150">
        <v>110850</v>
      </c>
      <c r="B665" s="1150" t="s">
        <v>1513</v>
      </c>
      <c r="C665" s="1150" t="s">
        <v>1514</v>
      </c>
      <c r="D665" s="1151">
        <v>43818</v>
      </c>
      <c r="E665" s="1152">
        <v>17930000</v>
      </c>
      <c r="F665" s="1150" t="s">
        <v>387</v>
      </c>
      <c r="G665" s="1153" t="s">
        <v>611</v>
      </c>
      <c r="H665" s="1154">
        <v>1497</v>
      </c>
      <c r="I665" s="1150" t="s">
        <v>612</v>
      </c>
      <c r="J665" s="1153" t="s">
        <v>14</v>
      </c>
      <c r="K665" s="1150" t="s">
        <v>86</v>
      </c>
      <c r="L665" s="1150" t="s">
        <v>1513</v>
      </c>
      <c r="M665" s="1153" t="s">
        <v>14</v>
      </c>
      <c r="N665" s="1153" t="s">
        <v>851</v>
      </c>
      <c r="O665" s="1155">
        <v>47</v>
      </c>
      <c r="P665" s="1156"/>
      <c r="Q665" s="1155">
        <v>5</v>
      </c>
      <c r="R665" s="1150" t="s">
        <v>624</v>
      </c>
      <c r="S665" s="1150" t="s">
        <v>877</v>
      </c>
      <c r="T665" s="1150" t="s">
        <v>678</v>
      </c>
      <c r="U665" s="1157">
        <v>114500</v>
      </c>
      <c r="V665" s="1150" t="s">
        <v>678</v>
      </c>
      <c r="W665" s="1157">
        <v>114500</v>
      </c>
      <c r="X665" s="1150" t="s">
        <v>618</v>
      </c>
      <c r="Y665" s="1158">
        <v>43818.95024305556</v>
      </c>
      <c r="Z665" s="1150" t="s">
        <v>618</v>
      </c>
      <c r="AA665" s="1158">
        <v>43900.3641087963</v>
      </c>
      <c r="AB665" s="1138">
        <f t="shared" si="10"/>
        <v>229000</v>
      </c>
    </row>
    <row r="666" spans="1:28" x14ac:dyDescent="0.25">
      <c r="A666" s="1159">
        <v>110851</v>
      </c>
      <c r="B666" s="1159" t="s">
        <v>1513</v>
      </c>
      <c r="C666" s="1159" t="s">
        <v>1515</v>
      </c>
      <c r="D666" s="1160">
        <v>43818</v>
      </c>
      <c r="E666" s="1161">
        <v>20000000</v>
      </c>
      <c r="F666" s="1159" t="s">
        <v>387</v>
      </c>
      <c r="G666" s="1162" t="s">
        <v>611</v>
      </c>
      <c r="H666" s="1163">
        <v>1497</v>
      </c>
      <c r="I666" s="1159" t="s">
        <v>612</v>
      </c>
      <c r="J666" s="1162" t="s">
        <v>14</v>
      </c>
      <c r="K666" s="1159" t="s">
        <v>86</v>
      </c>
      <c r="L666" s="1159" t="s">
        <v>1513</v>
      </c>
      <c r="M666" s="1162" t="s">
        <v>14</v>
      </c>
      <c r="N666" s="1162" t="s">
        <v>851</v>
      </c>
      <c r="O666" s="1164">
        <v>47</v>
      </c>
      <c r="P666" s="1165"/>
      <c r="Q666" s="1164">
        <v>5</v>
      </c>
      <c r="R666" s="1159" t="s">
        <v>624</v>
      </c>
      <c r="S666" s="1159" t="s">
        <v>877</v>
      </c>
      <c r="T666" s="1159" t="s">
        <v>678</v>
      </c>
      <c r="U666" s="1166">
        <v>114500</v>
      </c>
      <c r="V666" s="1159" t="s">
        <v>678</v>
      </c>
      <c r="W666" s="1166">
        <v>114500</v>
      </c>
      <c r="X666" s="1159" t="s">
        <v>618</v>
      </c>
      <c r="Y666" s="1167">
        <v>43818.9955787037</v>
      </c>
      <c r="Z666" s="1159" t="s">
        <v>618</v>
      </c>
      <c r="AA666" s="1167">
        <v>43900.36430555556</v>
      </c>
      <c r="AB666" s="1138">
        <f t="shared" si="10"/>
        <v>229000</v>
      </c>
    </row>
    <row r="667" spans="1:28" x14ac:dyDescent="0.25">
      <c r="A667" s="1150">
        <v>110854</v>
      </c>
      <c r="B667" s="1150" t="s">
        <v>1513</v>
      </c>
      <c r="C667" s="1150" t="s">
        <v>1516</v>
      </c>
      <c r="D667" s="1151">
        <v>43818</v>
      </c>
      <c r="E667" s="1152">
        <v>21810000</v>
      </c>
      <c r="F667" s="1150" t="s">
        <v>387</v>
      </c>
      <c r="G667" s="1153" t="s">
        <v>611</v>
      </c>
      <c r="H667" s="1154">
        <v>1497</v>
      </c>
      <c r="I667" s="1150" t="s">
        <v>612</v>
      </c>
      <c r="J667" s="1153" t="s">
        <v>14</v>
      </c>
      <c r="K667" s="1150" t="s">
        <v>86</v>
      </c>
      <c r="L667" s="1150" t="s">
        <v>1513</v>
      </c>
      <c r="M667" s="1153" t="s">
        <v>14</v>
      </c>
      <c r="N667" s="1153" t="s">
        <v>851</v>
      </c>
      <c r="O667" s="1155">
        <v>47</v>
      </c>
      <c r="P667" s="1156"/>
      <c r="Q667" s="1155">
        <v>5</v>
      </c>
      <c r="R667" s="1150" t="s">
        <v>624</v>
      </c>
      <c r="S667" s="1150" t="s">
        <v>877</v>
      </c>
      <c r="T667" s="1150" t="s">
        <v>678</v>
      </c>
      <c r="U667" s="1157">
        <v>114500</v>
      </c>
      <c r="V667" s="1150" t="s">
        <v>678</v>
      </c>
      <c r="W667" s="1157">
        <v>114500</v>
      </c>
      <c r="X667" s="1150" t="s">
        <v>618</v>
      </c>
      <c r="Y667" s="1158">
        <v>43819.03912037037</v>
      </c>
      <c r="Z667" s="1150" t="s">
        <v>618</v>
      </c>
      <c r="AA667" s="1158">
        <v>43900.36586805555</v>
      </c>
      <c r="AB667" s="1138">
        <f t="shared" si="10"/>
        <v>229000</v>
      </c>
    </row>
    <row r="668" spans="1:28" x14ac:dyDescent="0.25">
      <c r="A668" s="1159">
        <v>110852</v>
      </c>
      <c r="B668" s="1159" t="s">
        <v>1513</v>
      </c>
      <c r="C668" s="1159" t="s">
        <v>1517</v>
      </c>
      <c r="D668" s="1160">
        <v>43818</v>
      </c>
      <c r="E668" s="1161">
        <v>21390000</v>
      </c>
      <c r="F668" s="1159" t="s">
        <v>387</v>
      </c>
      <c r="G668" s="1162" t="s">
        <v>611</v>
      </c>
      <c r="H668" s="1163">
        <v>1497</v>
      </c>
      <c r="I668" s="1159" t="s">
        <v>612</v>
      </c>
      <c r="J668" s="1162" t="s">
        <v>14</v>
      </c>
      <c r="K668" s="1159" t="s">
        <v>86</v>
      </c>
      <c r="L668" s="1159" t="s">
        <v>1513</v>
      </c>
      <c r="M668" s="1162" t="s">
        <v>14</v>
      </c>
      <c r="N668" s="1162" t="s">
        <v>851</v>
      </c>
      <c r="O668" s="1164">
        <v>47</v>
      </c>
      <c r="P668" s="1165"/>
      <c r="Q668" s="1164">
        <v>5</v>
      </c>
      <c r="R668" s="1159" t="s">
        <v>624</v>
      </c>
      <c r="S668" s="1159" t="s">
        <v>877</v>
      </c>
      <c r="T668" s="1159" t="s">
        <v>1518</v>
      </c>
      <c r="U668" s="1166">
        <v>158200</v>
      </c>
      <c r="V668" s="1159" t="s">
        <v>1518</v>
      </c>
      <c r="W668" s="1166">
        <v>158200</v>
      </c>
      <c r="X668" s="1159" t="s">
        <v>618</v>
      </c>
      <c r="Y668" s="1167">
        <v>43818.998032407406</v>
      </c>
      <c r="Z668" s="1159" t="s">
        <v>618</v>
      </c>
      <c r="AA668" s="1167">
        <v>43900.36446759259</v>
      </c>
      <c r="AB668" s="1138">
        <f t="shared" si="10"/>
        <v>316400</v>
      </c>
    </row>
    <row r="669" spans="1:28" x14ac:dyDescent="0.25">
      <c r="A669" s="1150">
        <v>110855</v>
      </c>
      <c r="B669" s="1150" t="s">
        <v>1513</v>
      </c>
      <c r="C669" s="1150" t="s">
        <v>1519</v>
      </c>
      <c r="D669" s="1151">
        <v>43818</v>
      </c>
      <c r="E669" s="1152">
        <v>23200000</v>
      </c>
      <c r="F669" s="1150" t="s">
        <v>387</v>
      </c>
      <c r="G669" s="1153" t="s">
        <v>611</v>
      </c>
      <c r="H669" s="1154">
        <v>1497</v>
      </c>
      <c r="I669" s="1150" t="s">
        <v>612</v>
      </c>
      <c r="J669" s="1153" t="s">
        <v>14</v>
      </c>
      <c r="K669" s="1150" t="s">
        <v>86</v>
      </c>
      <c r="L669" s="1150" t="s">
        <v>1513</v>
      </c>
      <c r="M669" s="1153" t="s">
        <v>14</v>
      </c>
      <c r="N669" s="1153" t="s">
        <v>851</v>
      </c>
      <c r="O669" s="1155">
        <v>47</v>
      </c>
      <c r="P669" s="1156"/>
      <c r="Q669" s="1155">
        <v>5</v>
      </c>
      <c r="R669" s="1150" t="s">
        <v>624</v>
      </c>
      <c r="S669" s="1150" t="s">
        <v>877</v>
      </c>
      <c r="T669" s="1150" t="s">
        <v>1518</v>
      </c>
      <c r="U669" s="1157">
        <v>158200</v>
      </c>
      <c r="V669" s="1150" t="s">
        <v>1518</v>
      </c>
      <c r="W669" s="1157">
        <v>158200</v>
      </c>
      <c r="X669" s="1150" t="s">
        <v>618</v>
      </c>
      <c r="Y669" s="1158">
        <v>43819.05479166667</v>
      </c>
      <c r="Z669" s="1150" t="s">
        <v>618</v>
      </c>
      <c r="AA669" s="1158">
        <v>43900.3656712963</v>
      </c>
      <c r="AB669" s="1138">
        <f t="shared" si="10"/>
        <v>316400</v>
      </c>
    </row>
    <row r="670" spans="1:28" x14ac:dyDescent="0.25">
      <c r="A670" s="1159">
        <v>110853</v>
      </c>
      <c r="B670" s="1159" t="s">
        <v>1513</v>
      </c>
      <c r="C670" s="1159" t="s">
        <v>1520</v>
      </c>
      <c r="D670" s="1160">
        <v>43818</v>
      </c>
      <c r="E670" s="1161">
        <v>22970000</v>
      </c>
      <c r="F670" s="1159" t="s">
        <v>387</v>
      </c>
      <c r="G670" s="1162" t="s">
        <v>611</v>
      </c>
      <c r="H670" s="1163">
        <v>1497</v>
      </c>
      <c r="I670" s="1159" t="s">
        <v>612</v>
      </c>
      <c r="J670" s="1162" t="s">
        <v>14</v>
      </c>
      <c r="K670" s="1159" t="s">
        <v>86</v>
      </c>
      <c r="L670" s="1159" t="s">
        <v>1513</v>
      </c>
      <c r="M670" s="1162" t="s">
        <v>14</v>
      </c>
      <c r="N670" s="1162" t="s">
        <v>851</v>
      </c>
      <c r="O670" s="1164">
        <v>47</v>
      </c>
      <c r="P670" s="1165"/>
      <c r="Q670" s="1164">
        <v>5</v>
      </c>
      <c r="R670" s="1159" t="s">
        <v>624</v>
      </c>
      <c r="S670" s="1159" t="s">
        <v>877</v>
      </c>
      <c r="T670" s="1159" t="s">
        <v>1518</v>
      </c>
      <c r="U670" s="1166">
        <v>158200</v>
      </c>
      <c r="V670" s="1159" t="s">
        <v>1518</v>
      </c>
      <c r="W670" s="1166">
        <v>158200</v>
      </c>
      <c r="X670" s="1159" t="s">
        <v>618</v>
      </c>
      <c r="Y670" s="1167">
        <v>43819.02491898148</v>
      </c>
      <c r="Z670" s="1159" t="s">
        <v>618</v>
      </c>
      <c r="AA670" s="1167">
        <v>43900.36472222222</v>
      </c>
      <c r="AB670" s="1138">
        <f t="shared" si="10"/>
        <v>316400</v>
      </c>
    </row>
    <row r="671" spans="1:28" x14ac:dyDescent="0.25">
      <c r="A671" s="1150">
        <v>110856</v>
      </c>
      <c r="B671" s="1150" t="s">
        <v>1513</v>
      </c>
      <c r="C671" s="1150" t="s">
        <v>1521</v>
      </c>
      <c r="D671" s="1151">
        <v>43818</v>
      </c>
      <c r="E671" s="1152">
        <v>24780000</v>
      </c>
      <c r="F671" s="1150" t="s">
        <v>387</v>
      </c>
      <c r="G671" s="1153" t="s">
        <v>611</v>
      </c>
      <c r="H671" s="1154">
        <v>1497</v>
      </c>
      <c r="I671" s="1150" t="s">
        <v>612</v>
      </c>
      <c r="J671" s="1153" t="s">
        <v>14</v>
      </c>
      <c r="K671" s="1150" t="s">
        <v>86</v>
      </c>
      <c r="L671" s="1150" t="s">
        <v>1513</v>
      </c>
      <c r="M671" s="1153" t="s">
        <v>14</v>
      </c>
      <c r="N671" s="1153" t="s">
        <v>851</v>
      </c>
      <c r="O671" s="1155">
        <v>47</v>
      </c>
      <c r="P671" s="1156"/>
      <c r="Q671" s="1155">
        <v>5</v>
      </c>
      <c r="R671" s="1150" t="s">
        <v>624</v>
      </c>
      <c r="S671" s="1150" t="s">
        <v>877</v>
      </c>
      <c r="T671" s="1150" t="s">
        <v>1518</v>
      </c>
      <c r="U671" s="1157">
        <v>158200</v>
      </c>
      <c r="V671" s="1150" t="s">
        <v>1518</v>
      </c>
      <c r="W671" s="1157">
        <v>158200</v>
      </c>
      <c r="X671" s="1150" t="s">
        <v>618</v>
      </c>
      <c r="Y671" s="1158">
        <v>43819.05572916666</v>
      </c>
      <c r="Z671" s="1150" t="s">
        <v>618</v>
      </c>
      <c r="AA671" s="1158">
        <v>43900.365277777775</v>
      </c>
      <c r="AB671" s="1138">
        <f t="shared" si="10"/>
        <v>316400</v>
      </c>
    </row>
    <row r="672" spans="1:28" x14ac:dyDescent="0.25">
      <c r="A672" s="1159">
        <v>110857</v>
      </c>
      <c r="B672" s="1159" t="s">
        <v>1513</v>
      </c>
      <c r="C672" s="1159" t="s">
        <v>1522</v>
      </c>
      <c r="D672" s="1160">
        <v>43818</v>
      </c>
      <c r="E672" s="1161">
        <v>20050000</v>
      </c>
      <c r="F672" s="1159" t="s">
        <v>610</v>
      </c>
      <c r="G672" s="1162" t="s">
        <v>611</v>
      </c>
      <c r="H672" s="1163">
        <v>1597</v>
      </c>
      <c r="I672" s="1159" t="s">
        <v>612</v>
      </c>
      <c r="J672" s="1162" t="s">
        <v>14</v>
      </c>
      <c r="K672" s="1159" t="s">
        <v>86</v>
      </c>
      <c r="L672" s="1159" t="s">
        <v>1513</v>
      </c>
      <c r="M672" s="1162" t="s">
        <v>14</v>
      </c>
      <c r="N672" s="1162" t="s">
        <v>851</v>
      </c>
      <c r="O672" s="1164">
        <v>47</v>
      </c>
      <c r="P672" s="1165"/>
      <c r="Q672" s="1164">
        <v>5</v>
      </c>
      <c r="R672" s="1159" t="s">
        <v>710</v>
      </c>
      <c r="S672" s="1159" t="s">
        <v>877</v>
      </c>
      <c r="T672" s="1159" t="s">
        <v>678</v>
      </c>
      <c r="U672" s="1166">
        <v>114500</v>
      </c>
      <c r="V672" s="1159" t="s">
        <v>1523</v>
      </c>
      <c r="W672" s="1166">
        <v>99200</v>
      </c>
      <c r="X672" s="1159" t="s">
        <v>618</v>
      </c>
      <c r="Y672" s="1167">
        <v>43819.05766203704</v>
      </c>
      <c r="Z672" s="1159" t="s">
        <v>618</v>
      </c>
      <c r="AA672" s="1167">
        <v>43900.36665509259</v>
      </c>
      <c r="AB672" s="1138">
        <f t="shared" si="10"/>
        <v>198400</v>
      </c>
    </row>
    <row r="673" spans="1:28" x14ac:dyDescent="0.25">
      <c r="A673" s="1150">
        <v>110858</v>
      </c>
      <c r="B673" s="1150" t="s">
        <v>1513</v>
      </c>
      <c r="C673" s="1150" t="s">
        <v>1524</v>
      </c>
      <c r="D673" s="1151">
        <v>43818</v>
      </c>
      <c r="E673" s="1152">
        <v>21850000</v>
      </c>
      <c r="F673" s="1150" t="s">
        <v>610</v>
      </c>
      <c r="G673" s="1153" t="s">
        <v>611</v>
      </c>
      <c r="H673" s="1154">
        <v>1597</v>
      </c>
      <c r="I673" s="1150" t="s">
        <v>612</v>
      </c>
      <c r="J673" s="1153" t="s">
        <v>14</v>
      </c>
      <c r="K673" s="1150" t="s">
        <v>86</v>
      </c>
      <c r="L673" s="1150" t="s">
        <v>1513</v>
      </c>
      <c r="M673" s="1153" t="s">
        <v>14</v>
      </c>
      <c r="N673" s="1153" t="s">
        <v>851</v>
      </c>
      <c r="O673" s="1155">
        <v>47</v>
      </c>
      <c r="P673" s="1156"/>
      <c r="Q673" s="1155">
        <v>5</v>
      </c>
      <c r="R673" s="1150" t="s">
        <v>710</v>
      </c>
      <c r="S673" s="1150" t="s">
        <v>877</v>
      </c>
      <c r="T673" s="1150" t="s">
        <v>678</v>
      </c>
      <c r="U673" s="1157">
        <v>114500</v>
      </c>
      <c r="V673" s="1150" t="s">
        <v>1523</v>
      </c>
      <c r="W673" s="1157">
        <v>99200</v>
      </c>
      <c r="X673" s="1150" t="s">
        <v>618</v>
      </c>
      <c r="Y673" s="1158">
        <v>43819.06056712963</v>
      </c>
      <c r="Z673" s="1150" t="s">
        <v>618</v>
      </c>
      <c r="AA673" s="1158">
        <v>43900.366875</v>
      </c>
      <c r="AB673" s="1138">
        <f t="shared" si="10"/>
        <v>198400</v>
      </c>
    </row>
    <row r="674" spans="1:28" x14ac:dyDescent="0.25">
      <c r="A674" s="1159">
        <v>110859</v>
      </c>
      <c r="B674" s="1159" t="s">
        <v>1513</v>
      </c>
      <c r="C674" s="1159" t="s">
        <v>1525</v>
      </c>
      <c r="D674" s="1160">
        <v>43818</v>
      </c>
      <c r="E674" s="1161">
        <v>23660000</v>
      </c>
      <c r="F674" s="1159" t="s">
        <v>610</v>
      </c>
      <c r="G674" s="1162" t="s">
        <v>611</v>
      </c>
      <c r="H674" s="1163">
        <v>1597</v>
      </c>
      <c r="I674" s="1159" t="s">
        <v>612</v>
      </c>
      <c r="J674" s="1162" t="s">
        <v>14</v>
      </c>
      <c r="K674" s="1159" t="s">
        <v>86</v>
      </c>
      <c r="L674" s="1159" t="s">
        <v>1513</v>
      </c>
      <c r="M674" s="1162" t="s">
        <v>14</v>
      </c>
      <c r="N674" s="1162" t="s">
        <v>851</v>
      </c>
      <c r="O674" s="1164">
        <v>47</v>
      </c>
      <c r="P674" s="1165"/>
      <c r="Q674" s="1164">
        <v>5</v>
      </c>
      <c r="R674" s="1159" t="s">
        <v>710</v>
      </c>
      <c r="S674" s="1159" t="s">
        <v>877</v>
      </c>
      <c r="T674" s="1159" t="s">
        <v>678</v>
      </c>
      <c r="U674" s="1166">
        <v>114500</v>
      </c>
      <c r="V674" s="1159" t="s">
        <v>1523</v>
      </c>
      <c r="W674" s="1166">
        <v>99200</v>
      </c>
      <c r="X674" s="1159" t="s">
        <v>618</v>
      </c>
      <c r="Y674" s="1167">
        <v>43819.06307870371</v>
      </c>
      <c r="Z674" s="1159" t="s">
        <v>618</v>
      </c>
      <c r="AA674" s="1167">
        <v>43900.367060185185</v>
      </c>
      <c r="AB674" s="1138">
        <f t="shared" si="10"/>
        <v>198400</v>
      </c>
    </row>
    <row r="675" spans="1:28" x14ac:dyDescent="0.25">
      <c r="A675" s="1150">
        <v>110860</v>
      </c>
      <c r="B675" s="1150" t="s">
        <v>1513</v>
      </c>
      <c r="C675" s="1150" t="s">
        <v>1526</v>
      </c>
      <c r="D675" s="1151">
        <v>43818</v>
      </c>
      <c r="E675" s="1152">
        <v>23200000</v>
      </c>
      <c r="F675" s="1150" t="s">
        <v>610</v>
      </c>
      <c r="G675" s="1153" t="s">
        <v>611</v>
      </c>
      <c r="H675" s="1154">
        <v>1597</v>
      </c>
      <c r="I675" s="1150" t="s">
        <v>612</v>
      </c>
      <c r="J675" s="1153" t="s">
        <v>14</v>
      </c>
      <c r="K675" s="1150" t="s">
        <v>86</v>
      </c>
      <c r="L675" s="1150" t="s">
        <v>1513</v>
      </c>
      <c r="M675" s="1153" t="s">
        <v>14</v>
      </c>
      <c r="N675" s="1153" t="s">
        <v>851</v>
      </c>
      <c r="O675" s="1155">
        <v>47</v>
      </c>
      <c r="P675" s="1156"/>
      <c r="Q675" s="1155">
        <v>5</v>
      </c>
      <c r="R675" s="1150" t="s">
        <v>710</v>
      </c>
      <c r="S675" s="1150" t="s">
        <v>877</v>
      </c>
      <c r="T675" s="1150" t="s">
        <v>678</v>
      </c>
      <c r="U675" s="1157">
        <v>114500</v>
      </c>
      <c r="V675" s="1150" t="s">
        <v>1523</v>
      </c>
      <c r="W675" s="1157">
        <v>99200</v>
      </c>
      <c r="X675" s="1150" t="s">
        <v>618</v>
      </c>
      <c r="Y675" s="1158">
        <v>43819.06488425926</v>
      </c>
      <c r="Z675" s="1150" t="s">
        <v>618</v>
      </c>
      <c r="AA675" s="1158">
        <v>43900.367256944446</v>
      </c>
      <c r="AB675" s="1138">
        <f t="shared" si="10"/>
        <v>198400</v>
      </c>
    </row>
    <row r="676" spans="1:28" x14ac:dyDescent="0.25">
      <c r="A676" s="1159">
        <v>110861</v>
      </c>
      <c r="B676" s="1159" t="s">
        <v>1513</v>
      </c>
      <c r="C676" s="1159" t="s">
        <v>1527</v>
      </c>
      <c r="D676" s="1160">
        <v>43818</v>
      </c>
      <c r="E676" s="1161">
        <v>25010000</v>
      </c>
      <c r="F676" s="1159" t="s">
        <v>610</v>
      </c>
      <c r="G676" s="1162" t="s">
        <v>611</v>
      </c>
      <c r="H676" s="1163">
        <v>1597</v>
      </c>
      <c r="I676" s="1159" t="s">
        <v>612</v>
      </c>
      <c r="J676" s="1162" t="s">
        <v>14</v>
      </c>
      <c r="K676" s="1159" t="s">
        <v>86</v>
      </c>
      <c r="L676" s="1159" t="s">
        <v>1513</v>
      </c>
      <c r="M676" s="1162" t="s">
        <v>14</v>
      </c>
      <c r="N676" s="1162" t="s">
        <v>851</v>
      </c>
      <c r="O676" s="1164">
        <v>47</v>
      </c>
      <c r="P676" s="1165"/>
      <c r="Q676" s="1164">
        <v>5</v>
      </c>
      <c r="R676" s="1159" t="s">
        <v>710</v>
      </c>
      <c r="S676" s="1159" t="s">
        <v>877</v>
      </c>
      <c r="T676" s="1159" t="s">
        <v>678</v>
      </c>
      <c r="U676" s="1166">
        <v>114500</v>
      </c>
      <c r="V676" s="1159" t="s">
        <v>1523</v>
      </c>
      <c r="W676" s="1166">
        <v>99200</v>
      </c>
      <c r="X676" s="1159" t="s">
        <v>618</v>
      </c>
      <c r="Y676" s="1167">
        <v>43819.074791666666</v>
      </c>
      <c r="Z676" s="1159" t="s">
        <v>618</v>
      </c>
      <c r="AA676" s="1167">
        <v>43900.36744212963</v>
      </c>
      <c r="AB676" s="1138">
        <f t="shared" si="10"/>
        <v>198400</v>
      </c>
    </row>
    <row r="677" spans="1:28" x14ac:dyDescent="0.25">
      <c r="A677" s="1150">
        <v>110862</v>
      </c>
      <c r="B677" s="1150" t="s">
        <v>1513</v>
      </c>
      <c r="C677" s="1150" t="s">
        <v>1528</v>
      </c>
      <c r="D677" s="1151">
        <v>43818</v>
      </c>
      <c r="E677" s="1152">
        <v>24730000</v>
      </c>
      <c r="F677" s="1150" t="s">
        <v>610</v>
      </c>
      <c r="G677" s="1153" t="s">
        <v>611</v>
      </c>
      <c r="H677" s="1154">
        <v>1597</v>
      </c>
      <c r="I677" s="1150" t="s">
        <v>612</v>
      </c>
      <c r="J677" s="1153" t="s">
        <v>14</v>
      </c>
      <c r="K677" s="1150" t="s">
        <v>86</v>
      </c>
      <c r="L677" s="1150" t="s">
        <v>1513</v>
      </c>
      <c r="M677" s="1153" t="s">
        <v>14</v>
      </c>
      <c r="N677" s="1153" t="s">
        <v>851</v>
      </c>
      <c r="O677" s="1155">
        <v>47</v>
      </c>
      <c r="P677" s="1156"/>
      <c r="Q677" s="1155">
        <v>5</v>
      </c>
      <c r="R677" s="1150" t="s">
        <v>710</v>
      </c>
      <c r="S677" s="1150" t="s">
        <v>877</v>
      </c>
      <c r="T677" s="1150" t="s">
        <v>678</v>
      </c>
      <c r="U677" s="1157">
        <v>114500</v>
      </c>
      <c r="V677" s="1150" t="s">
        <v>1523</v>
      </c>
      <c r="W677" s="1157">
        <v>99200</v>
      </c>
      <c r="X677" s="1150" t="s">
        <v>618</v>
      </c>
      <c r="Y677" s="1158">
        <v>43819.07585648148</v>
      </c>
      <c r="Z677" s="1150" t="s">
        <v>618</v>
      </c>
      <c r="AA677" s="1158">
        <v>43900.367893518516</v>
      </c>
      <c r="AB677" s="1138">
        <f t="shared" si="10"/>
        <v>198400</v>
      </c>
    </row>
    <row r="678" spans="1:28" x14ac:dyDescent="0.25">
      <c r="A678" s="1159">
        <v>110863</v>
      </c>
      <c r="B678" s="1159" t="s">
        <v>1513</v>
      </c>
      <c r="C678" s="1159" t="s">
        <v>1529</v>
      </c>
      <c r="D678" s="1160">
        <v>43818</v>
      </c>
      <c r="E678" s="1161">
        <v>26540000</v>
      </c>
      <c r="F678" s="1159" t="s">
        <v>610</v>
      </c>
      <c r="G678" s="1162" t="s">
        <v>611</v>
      </c>
      <c r="H678" s="1163">
        <v>1597</v>
      </c>
      <c r="I678" s="1159" t="s">
        <v>612</v>
      </c>
      <c r="J678" s="1162" t="s">
        <v>14</v>
      </c>
      <c r="K678" s="1159" t="s">
        <v>86</v>
      </c>
      <c r="L678" s="1159" t="s">
        <v>1513</v>
      </c>
      <c r="M678" s="1162" t="s">
        <v>14</v>
      </c>
      <c r="N678" s="1162" t="s">
        <v>851</v>
      </c>
      <c r="O678" s="1164">
        <v>47</v>
      </c>
      <c r="P678" s="1165"/>
      <c r="Q678" s="1164">
        <v>5</v>
      </c>
      <c r="R678" s="1159" t="s">
        <v>710</v>
      </c>
      <c r="S678" s="1159" t="s">
        <v>877</v>
      </c>
      <c r="T678" s="1159" t="s">
        <v>678</v>
      </c>
      <c r="U678" s="1166">
        <v>114500</v>
      </c>
      <c r="V678" s="1159" t="s">
        <v>1523</v>
      </c>
      <c r="W678" s="1166">
        <v>99200</v>
      </c>
      <c r="X678" s="1159" t="s">
        <v>618</v>
      </c>
      <c r="Y678" s="1167">
        <v>43819.077627314815</v>
      </c>
      <c r="Z678" s="1159" t="s">
        <v>618</v>
      </c>
      <c r="AA678" s="1167">
        <v>43900.367743055554</v>
      </c>
      <c r="AB678" s="1138">
        <f t="shared" si="10"/>
        <v>198400</v>
      </c>
    </row>
    <row r="679" ht="24" customHeight="1" spans="1:28" x14ac:dyDescent="0.25">
      <c r="A679" s="1150">
        <v>109940</v>
      </c>
      <c r="B679" s="1150" t="s">
        <v>1530</v>
      </c>
      <c r="C679" s="1150" t="s">
        <v>1531</v>
      </c>
      <c r="D679" s="1151">
        <v>43448</v>
      </c>
      <c r="E679" s="1152">
        <v>36620000</v>
      </c>
      <c r="F679" s="1150" t="s">
        <v>387</v>
      </c>
      <c r="G679" s="1153" t="s">
        <v>611</v>
      </c>
      <c r="H679" s="1154">
        <v>3778</v>
      </c>
      <c r="I679" s="1150" t="s">
        <v>629</v>
      </c>
      <c r="J679" s="1153" t="s">
        <v>14</v>
      </c>
      <c r="K679" s="1150" t="s">
        <v>18</v>
      </c>
      <c r="L679" s="1150" t="s">
        <v>1530</v>
      </c>
      <c r="M679" s="1153" t="s">
        <v>14</v>
      </c>
      <c r="N679" s="1153" t="s">
        <v>989</v>
      </c>
      <c r="O679" s="1155">
        <v>71</v>
      </c>
      <c r="P679" s="1156"/>
      <c r="Q679" s="1155">
        <v>7</v>
      </c>
      <c r="R679" s="1150" t="s">
        <v>624</v>
      </c>
      <c r="S679" s="1150" t="s">
        <v>625</v>
      </c>
      <c r="T679" s="1150" t="s">
        <v>953</v>
      </c>
      <c r="U679" s="1157">
        <v>184800</v>
      </c>
      <c r="V679" s="1150" t="s">
        <v>953</v>
      </c>
      <c r="W679" s="1157">
        <v>184800</v>
      </c>
      <c r="X679" s="1150" t="s">
        <v>664</v>
      </c>
      <c r="Y679" s="1158">
        <v>43448.06775462963</v>
      </c>
      <c r="Z679" s="1150" t="s">
        <v>618</v>
      </c>
      <c r="AA679" s="1158">
        <v>43898.02145833333</v>
      </c>
      <c r="AB679" s="1138">
        <f t="shared" si="10"/>
        <v>369600</v>
      </c>
    </row>
    <row r="680" ht="24" customHeight="1" spans="1:28" x14ac:dyDescent="0.25">
      <c r="A680" s="1159">
        <v>109939</v>
      </c>
      <c r="B680" s="1159" t="s">
        <v>1530</v>
      </c>
      <c r="C680" s="1159" t="s">
        <v>1532</v>
      </c>
      <c r="D680" s="1160">
        <v>43448</v>
      </c>
      <c r="E680" s="1161">
        <v>36320000</v>
      </c>
      <c r="F680" s="1159" t="s">
        <v>387</v>
      </c>
      <c r="G680" s="1162" t="s">
        <v>611</v>
      </c>
      <c r="H680" s="1163">
        <v>3778</v>
      </c>
      <c r="I680" s="1159" t="s">
        <v>629</v>
      </c>
      <c r="J680" s="1162" t="s">
        <v>14</v>
      </c>
      <c r="K680" s="1159" t="s">
        <v>18</v>
      </c>
      <c r="L680" s="1159" t="s">
        <v>1530</v>
      </c>
      <c r="M680" s="1162" t="s">
        <v>14</v>
      </c>
      <c r="N680" s="1162" t="s">
        <v>989</v>
      </c>
      <c r="O680" s="1164">
        <v>71</v>
      </c>
      <c r="P680" s="1165"/>
      <c r="Q680" s="1164">
        <v>8</v>
      </c>
      <c r="R680" s="1159" t="s">
        <v>624</v>
      </c>
      <c r="S680" s="1159" t="s">
        <v>625</v>
      </c>
      <c r="T680" s="1159" t="s">
        <v>953</v>
      </c>
      <c r="U680" s="1166">
        <v>184800</v>
      </c>
      <c r="V680" s="1159" t="s">
        <v>953</v>
      </c>
      <c r="W680" s="1166">
        <v>184800</v>
      </c>
      <c r="X680" s="1159" t="s">
        <v>664</v>
      </c>
      <c r="Y680" s="1167">
        <v>43448.06722222222</v>
      </c>
      <c r="Z680" s="1159" t="s">
        <v>618</v>
      </c>
      <c r="AA680" s="1167">
        <v>43898.021273148144</v>
      </c>
      <c r="AB680" s="1138">
        <f t="shared" si="10"/>
        <v>369600</v>
      </c>
    </row>
    <row r="681" ht="24" customHeight="1" spans="1:28" x14ac:dyDescent="0.25">
      <c r="A681" s="1150">
        <v>109942</v>
      </c>
      <c r="B681" s="1150" t="s">
        <v>1530</v>
      </c>
      <c r="C681" s="1150" t="s">
        <v>1533</v>
      </c>
      <c r="D681" s="1151">
        <v>43448</v>
      </c>
      <c r="E681" s="1152">
        <v>42270000</v>
      </c>
      <c r="F681" s="1150" t="s">
        <v>387</v>
      </c>
      <c r="G681" s="1153" t="s">
        <v>611</v>
      </c>
      <c r="H681" s="1154">
        <v>3778</v>
      </c>
      <c r="I681" s="1150" t="s">
        <v>629</v>
      </c>
      <c r="J681" s="1153" t="s">
        <v>14</v>
      </c>
      <c r="K681" s="1150" t="s">
        <v>18</v>
      </c>
      <c r="L681" s="1150" t="s">
        <v>1530</v>
      </c>
      <c r="M681" s="1153" t="s">
        <v>14</v>
      </c>
      <c r="N681" s="1153" t="s">
        <v>989</v>
      </c>
      <c r="O681" s="1155">
        <v>71</v>
      </c>
      <c r="P681" s="1156"/>
      <c r="Q681" s="1155">
        <v>7</v>
      </c>
      <c r="R681" s="1150" t="s">
        <v>624</v>
      </c>
      <c r="S681" s="1150" t="s">
        <v>625</v>
      </c>
      <c r="T681" s="1150" t="s">
        <v>1534</v>
      </c>
      <c r="U681" s="1157">
        <v>216700</v>
      </c>
      <c r="V681" s="1150" t="s">
        <v>1534</v>
      </c>
      <c r="W681" s="1157">
        <v>216700</v>
      </c>
      <c r="X681" s="1150" t="s">
        <v>664</v>
      </c>
      <c r="Y681" s="1158">
        <v>43448.072476851856</v>
      </c>
      <c r="Z681" s="1150" t="s">
        <v>618</v>
      </c>
      <c r="AA681" s="1158">
        <v>43898.02079861111</v>
      </c>
      <c r="AB681" s="1138">
        <f t="shared" si="10"/>
        <v>433400</v>
      </c>
    </row>
    <row r="682" ht="24" customHeight="1" spans="1:28" x14ac:dyDescent="0.25">
      <c r="A682" s="1159">
        <v>109941</v>
      </c>
      <c r="B682" s="1159" t="s">
        <v>1530</v>
      </c>
      <c r="C682" s="1159" t="s">
        <v>1535</v>
      </c>
      <c r="D682" s="1160">
        <v>43448</v>
      </c>
      <c r="E682" s="1161">
        <v>41970000</v>
      </c>
      <c r="F682" s="1159" t="s">
        <v>387</v>
      </c>
      <c r="G682" s="1162" t="s">
        <v>611</v>
      </c>
      <c r="H682" s="1163">
        <v>3778</v>
      </c>
      <c r="I682" s="1159" t="s">
        <v>629</v>
      </c>
      <c r="J682" s="1162" t="s">
        <v>14</v>
      </c>
      <c r="K682" s="1159" t="s">
        <v>18</v>
      </c>
      <c r="L682" s="1159" t="s">
        <v>1530</v>
      </c>
      <c r="M682" s="1162" t="s">
        <v>14</v>
      </c>
      <c r="N682" s="1162" t="s">
        <v>989</v>
      </c>
      <c r="O682" s="1164">
        <v>71</v>
      </c>
      <c r="P682" s="1165"/>
      <c r="Q682" s="1164">
        <v>8</v>
      </c>
      <c r="R682" s="1159" t="s">
        <v>624</v>
      </c>
      <c r="S682" s="1159" t="s">
        <v>625</v>
      </c>
      <c r="T682" s="1159" t="s">
        <v>1534</v>
      </c>
      <c r="U682" s="1166">
        <v>216700</v>
      </c>
      <c r="V682" s="1159" t="s">
        <v>1534</v>
      </c>
      <c r="W682" s="1166">
        <v>216700</v>
      </c>
      <c r="X682" s="1159" t="s">
        <v>664</v>
      </c>
      <c r="Y682" s="1167">
        <v>43448.0685300926</v>
      </c>
      <c r="Z682" s="1159" t="s">
        <v>618</v>
      </c>
      <c r="AA682" s="1167">
        <v>43898.02060185185</v>
      </c>
      <c r="AB682" s="1138">
        <f t="shared" si="10"/>
        <v>433400</v>
      </c>
    </row>
    <row r="683" ht="24" customHeight="1" spans="1:28" x14ac:dyDescent="0.25">
      <c r="A683" s="1150">
        <v>109933</v>
      </c>
      <c r="B683" s="1150" t="s">
        <v>1530</v>
      </c>
      <c r="C683" s="1150" t="s">
        <v>1536</v>
      </c>
      <c r="D683" s="1151">
        <v>43448</v>
      </c>
      <c r="E683" s="1152">
        <v>34270000</v>
      </c>
      <c r="F683" s="1150" t="s">
        <v>387</v>
      </c>
      <c r="G683" s="1153" t="s">
        <v>611</v>
      </c>
      <c r="H683" s="1154">
        <v>3778</v>
      </c>
      <c r="I683" s="1150" t="s">
        <v>629</v>
      </c>
      <c r="J683" s="1153" t="s">
        <v>14</v>
      </c>
      <c r="K683" s="1150" t="s">
        <v>18</v>
      </c>
      <c r="L683" s="1150" t="s">
        <v>1530</v>
      </c>
      <c r="M683" s="1153" t="s">
        <v>14</v>
      </c>
      <c r="N683" s="1153" t="s">
        <v>989</v>
      </c>
      <c r="O683" s="1155">
        <v>71</v>
      </c>
      <c r="P683" s="1156"/>
      <c r="Q683" s="1155">
        <v>7</v>
      </c>
      <c r="R683" s="1150" t="s">
        <v>624</v>
      </c>
      <c r="S683" s="1150" t="s">
        <v>625</v>
      </c>
      <c r="T683" s="1150" t="s">
        <v>953</v>
      </c>
      <c r="U683" s="1157">
        <v>184800</v>
      </c>
      <c r="V683" s="1150" t="s">
        <v>953</v>
      </c>
      <c r="W683" s="1157">
        <v>184800</v>
      </c>
      <c r="X683" s="1150" t="s">
        <v>664</v>
      </c>
      <c r="Y683" s="1158">
        <v>43448.05625</v>
      </c>
      <c r="Z683" s="1150" t="s">
        <v>618</v>
      </c>
      <c r="AA683" s="1158">
        <v>43898.019282407404</v>
      </c>
      <c r="AB683" s="1138">
        <f t="shared" si="10"/>
        <v>369600</v>
      </c>
    </row>
    <row r="684" ht="24" customHeight="1" spans="1:28" x14ac:dyDescent="0.25">
      <c r="A684" s="1159">
        <v>109934</v>
      </c>
      <c r="B684" s="1159" t="s">
        <v>1530</v>
      </c>
      <c r="C684" s="1159" t="s">
        <v>1537</v>
      </c>
      <c r="D684" s="1160">
        <v>43448</v>
      </c>
      <c r="E684" s="1161">
        <v>33970000</v>
      </c>
      <c r="F684" s="1159" t="s">
        <v>387</v>
      </c>
      <c r="G684" s="1162" t="s">
        <v>611</v>
      </c>
      <c r="H684" s="1163">
        <v>3778</v>
      </c>
      <c r="I684" s="1159" t="s">
        <v>629</v>
      </c>
      <c r="J684" s="1162" t="s">
        <v>14</v>
      </c>
      <c r="K684" s="1159" t="s">
        <v>18</v>
      </c>
      <c r="L684" s="1159" t="s">
        <v>1530</v>
      </c>
      <c r="M684" s="1162" t="s">
        <v>14</v>
      </c>
      <c r="N684" s="1162" t="s">
        <v>989</v>
      </c>
      <c r="O684" s="1164">
        <v>71</v>
      </c>
      <c r="P684" s="1165"/>
      <c r="Q684" s="1164">
        <v>8</v>
      </c>
      <c r="R684" s="1159" t="s">
        <v>624</v>
      </c>
      <c r="S684" s="1159" t="s">
        <v>625</v>
      </c>
      <c r="T684" s="1159" t="s">
        <v>953</v>
      </c>
      <c r="U684" s="1166">
        <v>184800</v>
      </c>
      <c r="V684" s="1159" t="s">
        <v>953</v>
      </c>
      <c r="W684" s="1166">
        <v>184800</v>
      </c>
      <c r="X684" s="1159" t="s">
        <v>664</v>
      </c>
      <c r="Y684" s="1167">
        <v>43448.05989583333</v>
      </c>
      <c r="Z684" s="1159" t="s">
        <v>618</v>
      </c>
      <c r="AA684" s="1167">
        <v>43898.0186574074</v>
      </c>
      <c r="AB684" s="1138">
        <f t="shared" si="10"/>
        <v>369600</v>
      </c>
    </row>
    <row r="685" spans="1:28" x14ac:dyDescent="0.25">
      <c r="A685" s="1150">
        <v>109935</v>
      </c>
      <c r="B685" s="1150" t="s">
        <v>1530</v>
      </c>
      <c r="C685" s="1150" t="s">
        <v>1538</v>
      </c>
      <c r="D685" s="1151">
        <v>43448</v>
      </c>
      <c r="E685" s="1152">
        <v>39920000</v>
      </c>
      <c r="F685" s="1150" t="s">
        <v>387</v>
      </c>
      <c r="G685" s="1153" t="s">
        <v>611</v>
      </c>
      <c r="H685" s="1154">
        <v>3778</v>
      </c>
      <c r="I685" s="1150" t="s">
        <v>629</v>
      </c>
      <c r="J685" s="1153" t="s">
        <v>14</v>
      </c>
      <c r="K685" s="1150" t="s">
        <v>18</v>
      </c>
      <c r="L685" s="1150" t="s">
        <v>1530</v>
      </c>
      <c r="M685" s="1153" t="s">
        <v>14</v>
      </c>
      <c r="N685" s="1153" t="s">
        <v>989</v>
      </c>
      <c r="O685" s="1155">
        <v>71</v>
      </c>
      <c r="P685" s="1156"/>
      <c r="Q685" s="1155">
        <v>7</v>
      </c>
      <c r="R685" s="1150" t="s">
        <v>624</v>
      </c>
      <c r="S685" s="1150" t="s">
        <v>625</v>
      </c>
      <c r="T685" s="1150" t="s">
        <v>1534</v>
      </c>
      <c r="U685" s="1157">
        <v>216700</v>
      </c>
      <c r="V685" s="1150" t="s">
        <v>1534</v>
      </c>
      <c r="W685" s="1157">
        <v>216700</v>
      </c>
      <c r="X685" s="1150" t="s">
        <v>664</v>
      </c>
      <c r="Y685" s="1158">
        <v>43448.0608912037</v>
      </c>
      <c r="Z685" s="1150" t="s">
        <v>618</v>
      </c>
      <c r="AA685" s="1158">
        <v>43898.01993055556</v>
      </c>
      <c r="AB685" s="1138">
        <f t="shared" si="10"/>
        <v>433400</v>
      </c>
    </row>
    <row r="686" spans="1:28" x14ac:dyDescent="0.25">
      <c r="A686" s="1159">
        <v>109936</v>
      </c>
      <c r="B686" s="1159" t="s">
        <v>1530</v>
      </c>
      <c r="C686" s="1159" t="s">
        <v>1539</v>
      </c>
      <c r="D686" s="1160">
        <v>43448</v>
      </c>
      <c r="E686" s="1161">
        <v>39620000</v>
      </c>
      <c r="F686" s="1159" t="s">
        <v>387</v>
      </c>
      <c r="G686" s="1162" t="s">
        <v>611</v>
      </c>
      <c r="H686" s="1163">
        <v>3778</v>
      </c>
      <c r="I686" s="1159" t="s">
        <v>629</v>
      </c>
      <c r="J686" s="1162" t="s">
        <v>14</v>
      </c>
      <c r="K686" s="1159" t="s">
        <v>18</v>
      </c>
      <c r="L686" s="1159" t="s">
        <v>1530</v>
      </c>
      <c r="M686" s="1162" t="s">
        <v>14</v>
      </c>
      <c r="N686" s="1162" t="s">
        <v>989</v>
      </c>
      <c r="O686" s="1164">
        <v>71</v>
      </c>
      <c r="P686" s="1165"/>
      <c r="Q686" s="1164">
        <v>8</v>
      </c>
      <c r="R686" s="1159" t="s">
        <v>624</v>
      </c>
      <c r="S686" s="1159" t="s">
        <v>625</v>
      </c>
      <c r="T686" s="1159" t="s">
        <v>1534</v>
      </c>
      <c r="U686" s="1166">
        <v>216700</v>
      </c>
      <c r="V686" s="1159" t="s">
        <v>1534</v>
      </c>
      <c r="W686" s="1166">
        <v>216700</v>
      </c>
      <c r="X686" s="1159" t="s">
        <v>664</v>
      </c>
      <c r="Y686" s="1167">
        <v>43448.06128472222</v>
      </c>
      <c r="Z686" s="1159" t="s">
        <v>618</v>
      </c>
      <c r="AA686" s="1167">
        <v>43898.01960648148</v>
      </c>
      <c r="AB686" s="1138">
        <f t="shared" si="10"/>
        <v>433400</v>
      </c>
    </row>
    <row r="687" ht="24" customHeight="1" spans="1:28" x14ac:dyDescent="0.25">
      <c r="A687" s="1150">
        <v>109927</v>
      </c>
      <c r="B687" s="1150" t="s">
        <v>1530</v>
      </c>
      <c r="C687" s="1150" t="s">
        <v>1540</v>
      </c>
      <c r="D687" s="1151">
        <v>43448</v>
      </c>
      <c r="E687" s="1152">
        <v>38120000</v>
      </c>
      <c r="F687" s="1150" t="s">
        <v>610</v>
      </c>
      <c r="G687" s="1153" t="s">
        <v>611</v>
      </c>
      <c r="H687" s="1154">
        <v>2199</v>
      </c>
      <c r="I687" s="1150" t="s">
        <v>629</v>
      </c>
      <c r="J687" s="1153" t="s">
        <v>14</v>
      </c>
      <c r="K687" s="1150" t="s">
        <v>18</v>
      </c>
      <c r="L687" s="1150" t="s">
        <v>1530</v>
      </c>
      <c r="M687" s="1153" t="s">
        <v>14</v>
      </c>
      <c r="N687" s="1153" t="s">
        <v>989</v>
      </c>
      <c r="O687" s="1155">
        <v>71</v>
      </c>
      <c r="P687" s="1156"/>
      <c r="Q687" s="1155">
        <v>7</v>
      </c>
      <c r="R687" s="1150" t="s">
        <v>842</v>
      </c>
      <c r="S687" s="1150" t="s">
        <v>625</v>
      </c>
      <c r="T687" s="1150" t="s">
        <v>953</v>
      </c>
      <c r="U687" s="1157">
        <v>184800</v>
      </c>
      <c r="V687" s="1150" t="s">
        <v>953</v>
      </c>
      <c r="W687" s="1157">
        <v>184800</v>
      </c>
      <c r="X687" s="1150" t="s">
        <v>664</v>
      </c>
      <c r="Y687" s="1158">
        <v>43448.04696759259</v>
      </c>
      <c r="Z687" s="1150" t="s">
        <v>618</v>
      </c>
      <c r="AA687" s="1158">
        <v>43898.02403935185</v>
      </c>
      <c r="AB687" s="1138">
        <f t="shared" si="10"/>
        <v>369600</v>
      </c>
    </row>
    <row r="688" ht="24" customHeight="1" spans="1:28" x14ac:dyDescent="0.25">
      <c r="A688" s="1159">
        <v>109928</v>
      </c>
      <c r="B688" s="1159" t="s">
        <v>1530</v>
      </c>
      <c r="C688" s="1159" t="s">
        <v>1541</v>
      </c>
      <c r="D688" s="1160">
        <v>43448</v>
      </c>
      <c r="E688" s="1161">
        <v>37820000</v>
      </c>
      <c r="F688" s="1159" t="s">
        <v>610</v>
      </c>
      <c r="G688" s="1162" t="s">
        <v>611</v>
      </c>
      <c r="H688" s="1163">
        <v>2199</v>
      </c>
      <c r="I688" s="1159" t="s">
        <v>629</v>
      </c>
      <c r="J688" s="1162" t="s">
        <v>14</v>
      </c>
      <c r="K688" s="1159" t="s">
        <v>18</v>
      </c>
      <c r="L688" s="1159" t="s">
        <v>1530</v>
      </c>
      <c r="M688" s="1162" t="s">
        <v>14</v>
      </c>
      <c r="N688" s="1162" t="s">
        <v>989</v>
      </c>
      <c r="O688" s="1164">
        <v>71</v>
      </c>
      <c r="P688" s="1165"/>
      <c r="Q688" s="1164">
        <v>8</v>
      </c>
      <c r="R688" s="1159" t="s">
        <v>842</v>
      </c>
      <c r="S688" s="1159" t="s">
        <v>625</v>
      </c>
      <c r="T688" s="1159" t="s">
        <v>953</v>
      </c>
      <c r="U688" s="1166">
        <v>184800</v>
      </c>
      <c r="V688" s="1159" t="s">
        <v>953</v>
      </c>
      <c r="W688" s="1166">
        <v>184800</v>
      </c>
      <c r="X688" s="1159" t="s">
        <v>664</v>
      </c>
      <c r="Y688" s="1167">
        <v>43448.05047453704</v>
      </c>
      <c r="Z688" s="1159" t="s">
        <v>618</v>
      </c>
      <c r="AA688" s="1167">
        <v>43898.023877314816</v>
      </c>
      <c r="AB688" s="1138">
        <f t="shared" si="10"/>
        <v>369600</v>
      </c>
    </row>
    <row r="689" ht="24" customHeight="1" spans="1:28" x14ac:dyDescent="0.25">
      <c r="A689" s="1150">
        <v>109929</v>
      </c>
      <c r="B689" s="1150" t="s">
        <v>1530</v>
      </c>
      <c r="C689" s="1150" t="s">
        <v>1542</v>
      </c>
      <c r="D689" s="1151">
        <v>43448</v>
      </c>
      <c r="E689" s="1152">
        <v>43770000</v>
      </c>
      <c r="F689" s="1150" t="s">
        <v>610</v>
      </c>
      <c r="G689" s="1153" t="s">
        <v>611</v>
      </c>
      <c r="H689" s="1154">
        <v>2199</v>
      </c>
      <c r="I689" s="1150" t="s">
        <v>629</v>
      </c>
      <c r="J689" s="1153" t="s">
        <v>14</v>
      </c>
      <c r="K689" s="1150" t="s">
        <v>18</v>
      </c>
      <c r="L689" s="1150" t="s">
        <v>1530</v>
      </c>
      <c r="M689" s="1153" t="s">
        <v>14</v>
      </c>
      <c r="N689" s="1153" t="s">
        <v>989</v>
      </c>
      <c r="O689" s="1155">
        <v>71</v>
      </c>
      <c r="P689" s="1156"/>
      <c r="Q689" s="1155">
        <v>7</v>
      </c>
      <c r="R689" s="1150" t="s">
        <v>842</v>
      </c>
      <c r="S689" s="1150" t="s">
        <v>625</v>
      </c>
      <c r="T689" s="1150" t="s">
        <v>1534</v>
      </c>
      <c r="U689" s="1157">
        <v>216700</v>
      </c>
      <c r="V689" s="1150" t="s">
        <v>1534</v>
      </c>
      <c r="W689" s="1157">
        <v>216700</v>
      </c>
      <c r="X689" s="1150" t="s">
        <v>664</v>
      </c>
      <c r="Y689" s="1158">
        <v>43448.051203703704</v>
      </c>
      <c r="Z689" s="1150" t="s">
        <v>618</v>
      </c>
      <c r="AA689" s="1158">
        <v>43898.02515046296</v>
      </c>
      <c r="AB689" s="1138">
        <f t="shared" si="10"/>
        <v>433400</v>
      </c>
    </row>
    <row r="690" ht="24" customHeight="1" spans="1:28" x14ac:dyDescent="0.25">
      <c r="A690" s="1159">
        <v>109930</v>
      </c>
      <c r="B690" s="1159" t="s">
        <v>1530</v>
      </c>
      <c r="C690" s="1159" t="s">
        <v>1543</v>
      </c>
      <c r="D690" s="1160">
        <v>43448</v>
      </c>
      <c r="E690" s="1161">
        <v>43470000</v>
      </c>
      <c r="F690" s="1159" t="s">
        <v>610</v>
      </c>
      <c r="G690" s="1162" t="s">
        <v>611</v>
      </c>
      <c r="H690" s="1163">
        <v>2199</v>
      </c>
      <c r="I690" s="1159" t="s">
        <v>629</v>
      </c>
      <c r="J690" s="1162" t="s">
        <v>14</v>
      </c>
      <c r="K690" s="1159" t="s">
        <v>18</v>
      </c>
      <c r="L690" s="1159" t="s">
        <v>1530</v>
      </c>
      <c r="M690" s="1162" t="s">
        <v>14</v>
      </c>
      <c r="N690" s="1162" t="s">
        <v>989</v>
      </c>
      <c r="O690" s="1164">
        <v>71</v>
      </c>
      <c r="P690" s="1165"/>
      <c r="Q690" s="1164">
        <v>8</v>
      </c>
      <c r="R690" s="1159" t="s">
        <v>842</v>
      </c>
      <c r="S690" s="1159" t="s">
        <v>625</v>
      </c>
      <c r="T690" s="1159" t="s">
        <v>1534</v>
      </c>
      <c r="U690" s="1166">
        <v>216700</v>
      </c>
      <c r="V690" s="1159" t="s">
        <v>1534</v>
      </c>
      <c r="W690" s="1166">
        <v>216700</v>
      </c>
      <c r="X690" s="1159" t="s">
        <v>664</v>
      </c>
      <c r="Y690" s="1167">
        <v>43448.05210648148</v>
      </c>
      <c r="Z690" s="1159" t="s">
        <v>618</v>
      </c>
      <c r="AA690" s="1167">
        <v>43898.02496527778</v>
      </c>
      <c r="AB690" s="1138">
        <f t="shared" si="10"/>
        <v>433400</v>
      </c>
    </row>
    <row r="691" spans="1:28" x14ac:dyDescent="0.25">
      <c r="A691" s="1150">
        <v>109921</v>
      </c>
      <c r="B691" s="1150" t="s">
        <v>1530</v>
      </c>
      <c r="C691" s="1150" t="s">
        <v>1544</v>
      </c>
      <c r="D691" s="1151">
        <v>43446</v>
      </c>
      <c r="E691" s="1152">
        <v>35770000</v>
      </c>
      <c r="F691" s="1150" t="s">
        <v>610</v>
      </c>
      <c r="G691" s="1153" t="s">
        <v>611</v>
      </c>
      <c r="H691" s="1154">
        <v>2199</v>
      </c>
      <c r="I691" s="1150" t="s">
        <v>629</v>
      </c>
      <c r="J691" s="1153" t="s">
        <v>14</v>
      </c>
      <c r="K691" s="1150" t="s">
        <v>18</v>
      </c>
      <c r="L691" s="1150" t="s">
        <v>1530</v>
      </c>
      <c r="M691" s="1153" t="s">
        <v>14</v>
      </c>
      <c r="N691" s="1153" t="s">
        <v>989</v>
      </c>
      <c r="O691" s="1155">
        <v>71</v>
      </c>
      <c r="P691" s="1156"/>
      <c r="Q691" s="1155">
        <v>7</v>
      </c>
      <c r="R691" s="1150" t="s">
        <v>842</v>
      </c>
      <c r="S691" s="1150" t="s">
        <v>625</v>
      </c>
      <c r="T691" s="1150" t="s">
        <v>953</v>
      </c>
      <c r="U691" s="1157">
        <v>184800</v>
      </c>
      <c r="V691" s="1150" t="s">
        <v>953</v>
      </c>
      <c r="W691" s="1157">
        <v>184800</v>
      </c>
      <c r="X691" s="1150" t="s">
        <v>618</v>
      </c>
      <c r="Y691" s="1158">
        <v>43446.76409722222</v>
      </c>
      <c r="Z691" s="1150" t="s">
        <v>618</v>
      </c>
      <c r="AA691" s="1158">
        <v>43898.0237037037</v>
      </c>
      <c r="AB691" s="1138">
        <f t="shared" si="10"/>
        <v>369600</v>
      </c>
    </row>
    <row r="692" spans="1:28" x14ac:dyDescent="0.25">
      <c r="A692" s="1159">
        <v>109922</v>
      </c>
      <c r="B692" s="1159" t="s">
        <v>1530</v>
      </c>
      <c r="C692" s="1159" t="s">
        <v>1545</v>
      </c>
      <c r="D692" s="1160">
        <v>43448</v>
      </c>
      <c r="E692" s="1161">
        <v>35470000</v>
      </c>
      <c r="F692" s="1159" t="s">
        <v>610</v>
      </c>
      <c r="G692" s="1162" t="s">
        <v>611</v>
      </c>
      <c r="H692" s="1163">
        <v>2199</v>
      </c>
      <c r="I692" s="1159" t="s">
        <v>629</v>
      </c>
      <c r="J692" s="1162" t="s">
        <v>14</v>
      </c>
      <c r="K692" s="1159" t="s">
        <v>18</v>
      </c>
      <c r="L692" s="1159" t="s">
        <v>1530</v>
      </c>
      <c r="M692" s="1162" t="s">
        <v>14</v>
      </c>
      <c r="N692" s="1162" t="s">
        <v>989</v>
      </c>
      <c r="O692" s="1164">
        <v>71</v>
      </c>
      <c r="P692" s="1165"/>
      <c r="Q692" s="1164">
        <v>8</v>
      </c>
      <c r="R692" s="1159" t="s">
        <v>842</v>
      </c>
      <c r="S692" s="1159" t="s">
        <v>625</v>
      </c>
      <c r="T692" s="1159" t="s">
        <v>953</v>
      </c>
      <c r="U692" s="1166">
        <v>184800</v>
      </c>
      <c r="V692" s="1159" t="s">
        <v>953</v>
      </c>
      <c r="W692" s="1166">
        <v>184800</v>
      </c>
      <c r="X692" s="1159" t="s">
        <v>664</v>
      </c>
      <c r="Y692" s="1167">
        <v>43448.008055555554</v>
      </c>
      <c r="Z692" s="1159" t="s">
        <v>618</v>
      </c>
      <c r="AA692" s="1167">
        <v>43898.023506944446</v>
      </c>
      <c r="AB692" s="1138">
        <f t="shared" si="10"/>
        <v>369600</v>
      </c>
    </row>
    <row r="693" spans="1:28" x14ac:dyDescent="0.25">
      <c r="A693" s="1150">
        <v>109923</v>
      </c>
      <c r="B693" s="1150" t="s">
        <v>1530</v>
      </c>
      <c r="C693" s="1150" t="s">
        <v>1546</v>
      </c>
      <c r="D693" s="1151">
        <v>43448</v>
      </c>
      <c r="E693" s="1152">
        <v>41420000</v>
      </c>
      <c r="F693" s="1150" t="s">
        <v>610</v>
      </c>
      <c r="G693" s="1153" t="s">
        <v>611</v>
      </c>
      <c r="H693" s="1154">
        <v>2199</v>
      </c>
      <c r="I693" s="1150" t="s">
        <v>629</v>
      </c>
      <c r="J693" s="1153" t="s">
        <v>14</v>
      </c>
      <c r="K693" s="1150" t="s">
        <v>18</v>
      </c>
      <c r="L693" s="1150" t="s">
        <v>1530</v>
      </c>
      <c r="M693" s="1153" t="s">
        <v>14</v>
      </c>
      <c r="N693" s="1153" t="s">
        <v>989</v>
      </c>
      <c r="O693" s="1155">
        <v>71</v>
      </c>
      <c r="P693" s="1156"/>
      <c r="Q693" s="1155">
        <v>7</v>
      </c>
      <c r="R693" s="1150" t="s">
        <v>842</v>
      </c>
      <c r="S693" s="1150" t="s">
        <v>625</v>
      </c>
      <c r="T693" s="1150" t="s">
        <v>1534</v>
      </c>
      <c r="U693" s="1157">
        <v>216700</v>
      </c>
      <c r="V693" s="1150" t="s">
        <v>1534</v>
      </c>
      <c r="W693" s="1157">
        <v>216700</v>
      </c>
      <c r="X693" s="1150" t="s">
        <v>664</v>
      </c>
      <c r="Y693" s="1158">
        <v>43448.0374537037</v>
      </c>
      <c r="Z693" s="1150" t="s">
        <v>618</v>
      </c>
      <c r="AA693" s="1158">
        <v>43898.02480324074</v>
      </c>
      <c r="AB693" s="1138">
        <f t="shared" si="10"/>
        <v>433400</v>
      </c>
    </row>
    <row r="694" spans="1:28" x14ac:dyDescent="0.25">
      <c r="A694" s="1159">
        <v>109924</v>
      </c>
      <c r="B694" s="1159" t="s">
        <v>1530</v>
      </c>
      <c r="C694" s="1159" t="s">
        <v>1547</v>
      </c>
      <c r="D694" s="1160">
        <v>43448</v>
      </c>
      <c r="E694" s="1161">
        <v>41120000</v>
      </c>
      <c r="F694" s="1159" t="s">
        <v>610</v>
      </c>
      <c r="G694" s="1162" t="s">
        <v>611</v>
      </c>
      <c r="H694" s="1163">
        <v>2199</v>
      </c>
      <c r="I694" s="1159" t="s">
        <v>629</v>
      </c>
      <c r="J694" s="1162" t="s">
        <v>14</v>
      </c>
      <c r="K694" s="1159" t="s">
        <v>18</v>
      </c>
      <c r="L694" s="1159" t="s">
        <v>1530</v>
      </c>
      <c r="M694" s="1162" t="s">
        <v>14</v>
      </c>
      <c r="N694" s="1162" t="s">
        <v>989</v>
      </c>
      <c r="O694" s="1164">
        <v>71</v>
      </c>
      <c r="P694" s="1165"/>
      <c r="Q694" s="1164">
        <v>8</v>
      </c>
      <c r="R694" s="1159" t="s">
        <v>842</v>
      </c>
      <c r="S694" s="1159" t="s">
        <v>625</v>
      </c>
      <c r="T694" s="1159" t="s">
        <v>1534</v>
      </c>
      <c r="U694" s="1166">
        <v>216700</v>
      </c>
      <c r="V694" s="1159" t="s">
        <v>1534</v>
      </c>
      <c r="W694" s="1166">
        <v>216700</v>
      </c>
      <c r="X694" s="1159" t="s">
        <v>664</v>
      </c>
      <c r="Y694" s="1167">
        <v>43448.045219907406</v>
      </c>
      <c r="Z694" s="1159" t="s">
        <v>618</v>
      </c>
      <c r="AA694" s="1167">
        <v>43898.02465277778</v>
      </c>
      <c r="AB694" s="1138">
        <f t="shared" si="10"/>
        <v>433400</v>
      </c>
    </row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  <pageSetUpPr fitToPage="1"/>
  </sheetPr>
  <dimension ref="A2:I32"/>
  <sheetViews>
    <sheetView workbookViewId="0" zoomScale="70" zoomScaleNormal="70">
      <selection activeCell="F31" sqref="F31"/>
    </sheetView>
  </sheetViews>
  <sheetFormatPr defaultRowHeight="17" outlineLevelRow="0" outlineLevelCol="0" x14ac:dyDescent="0" defaultColWidth="8.75" customHeight="1"/>
  <cols>
    <col min="1" max="1" width="26.5" style="1001" customWidth="1"/>
    <col min="2" max="2" width="16" style="1001" customWidth="1"/>
    <col min="3" max="6" width="19.58203125" style="1001" customWidth="1"/>
    <col min="7" max="7" width="36.75" style="1001" customWidth="1"/>
    <col min="8" max="8" width="12.75" style="1001" customWidth="1"/>
    <col min="9" max="9" width="19.58203125" style="1001" customWidth="1"/>
    <col min="10" max="16384" width="8.75" style="1001" customWidth="1"/>
  </cols>
  <sheetData>
    <row r="2" ht="20.5" customHeight="1" spans="1:1" s="1002" customFormat="1" x14ac:dyDescent="0.25">
      <c r="A2" s="1003" t="s">
        <v>315</v>
      </c>
    </row>
    <row r="3" ht="20.5" customHeight="1" spans="1:1" s="1002" customFormat="1" x14ac:dyDescent="0.25">
      <c r="A3" s="1003"/>
    </row>
    <row r="4" ht="27" customHeight="1" spans="1:6" x14ac:dyDescent="0.25">
      <c r="A4" s="1004" t="s">
        <v>316</v>
      </c>
      <c r="B4" s="1004" t="s">
        <v>317</v>
      </c>
      <c r="C4" s="1004" t="s">
        <v>318</v>
      </c>
      <c r="D4" s="1004"/>
      <c r="E4" s="1005" t="s">
        <v>319</v>
      </c>
      <c r="F4" s="1006"/>
    </row>
    <row r="5" ht="27" customHeight="1" spans="1:6" x14ac:dyDescent="0.25">
      <c r="A5" s="1004"/>
      <c r="B5" s="1004"/>
      <c r="C5" s="1004" t="s">
        <v>320</v>
      </c>
      <c r="D5" s="1007" t="s">
        <v>321</v>
      </c>
      <c r="E5" s="1008"/>
      <c r="F5" s="1009"/>
    </row>
    <row r="6" ht="27" customHeight="1" spans="1:6" x14ac:dyDescent="0.25">
      <c r="A6" s="1010" t="s">
        <v>322</v>
      </c>
      <c r="B6" s="1011" t="s">
        <v>323</v>
      </c>
      <c r="C6" s="1012" t="s">
        <v>324</v>
      </c>
      <c r="D6" s="1013" t="s">
        <v>325</v>
      </c>
      <c r="E6" s="1012" t="s">
        <v>326</v>
      </c>
      <c r="F6" s="1014"/>
    </row>
    <row r="7" ht="27" customHeight="1" spans="1:6" x14ac:dyDescent="0.25">
      <c r="A7" s="1015" t="s">
        <v>327</v>
      </c>
      <c r="B7" s="1016"/>
      <c r="C7" s="1017" t="s">
        <v>328</v>
      </c>
      <c r="D7" s="1017"/>
      <c r="E7" s="1018"/>
      <c r="F7" s="1019"/>
    </row>
    <row r="8" spans="1:5" x14ac:dyDescent="0.25">
      <c r="A8" s="1020"/>
      <c r="B8" s="1020"/>
      <c r="C8" s="1020"/>
      <c r="D8" s="1020"/>
      <c r="E8" s="1021"/>
    </row>
    <row r="9" spans="1:5" x14ac:dyDescent="0.25">
      <c r="A9" s="1020"/>
      <c r="B9" s="1020"/>
      <c r="C9" s="1020"/>
      <c r="D9" s="1020"/>
      <c r="E9" s="1021"/>
    </row>
    <row r="10" spans="1:5" x14ac:dyDescent="0.25">
      <c r="A10" s="1020"/>
      <c r="B10" s="1020"/>
      <c r="C10" s="1020"/>
      <c r="D10" s="1020"/>
      <c r="E10" s="1021"/>
    </row>
    <row r="11" ht="20.5" customHeight="1" spans="1:1" s="1022" customFormat="1" x14ac:dyDescent="0.25">
      <c r="A11" s="1023" t="s">
        <v>329</v>
      </c>
    </row>
    <row r="12" spans="1:1" x14ac:dyDescent="0.25">
      <c r="A12" s="1024"/>
    </row>
    <row r="13" ht="27" customHeight="1" spans="1:9" x14ac:dyDescent="0.25">
      <c r="A13" s="1004" t="s">
        <v>330</v>
      </c>
      <c r="B13" s="1004" t="s">
        <v>331</v>
      </c>
      <c r="C13" s="1004" t="s">
        <v>332</v>
      </c>
      <c r="D13" s="1004"/>
      <c r="E13" s="1004" t="s">
        <v>333</v>
      </c>
      <c r="F13" s="1004"/>
      <c r="G13" s="1004" t="s">
        <v>334</v>
      </c>
      <c r="H13" s="1004" t="s">
        <v>335</v>
      </c>
      <c r="I13" s="1004" t="s">
        <v>176</v>
      </c>
    </row>
    <row r="14" ht="27" customHeight="1" spans="1:9" x14ac:dyDescent="0.25">
      <c r="A14" s="1004"/>
      <c r="B14" s="1004"/>
      <c r="C14" s="1025" t="s">
        <v>336</v>
      </c>
      <c r="D14" s="1026" t="s">
        <v>337</v>
      </c>
      <c r="E14" s="1027" t="s">
        <v>336</v>
      </c>
      <c r="F14" s="1028" t="s">
        <v>337</v>
      </c>
      <c r="G14" s="1004"/>
      <c r="H14" s="1004"/>
      <c r="I14" s="1004"/>
    </row>
    <row r="15" ht="27" customHeight="1" spans="1:9" x14ac:dyDescent="0.25">
      <c r="A15" s="1010" t="s">
        <v>338</v>
      </c>
      <c r="B15" s="1029" t="s">
        <v>339</v>
      </c>
      <c r="C15" s="1012" t="s">
        <v>340</v>
      </c>
      <c r="D15" s="1030" t="s">
        <v>340</v>
      </c>
      <c r="E15" s="1031" t="s">
        <v>340</v>
      </c>
      <c r="F15" s="1014" t="s">
        <v>340</v>
      </c>
      <c r="G15" s="1029" t="s">
        <v>341</v>
      </c>
      <c r="H15" s="1029" t="s">
        <v>340</v>
      </c>
      <c r="I15" s="1029" t="s">
        <v>342</v>
      </c>
    </row>
    <row r="16" ht="27" customHeight="1" spans="1:9" x14ac:dyDescent="0.25">
      <c r="A16" s="1032" t="s">
        <v>343</v>
      </c>
      <c r="B16" s="1033" t="s">
        <v>147</v>
      </c>
      <c r="C16" s="1034" t="s">
        <v>340</v>
      </c>
      <c r="D16" s="1035" t="s">
        <v>340</v>
      </c>
      <c r="E16" s="1036" t="s">
        <v>340</v>
      </c>
      <c r="F16" s="1037" t="s">
        <v>340</v>
      </c>
      <c r="G16" s="1038" t="s">
        <v>344</v>
      </c>
      <c r="H16" s="1038" t="s">
        <v>340</v>
      </c>
      <c r="I16" s="1038" t="s">
        <v>342</v>
      </c>
    </row>
    <row r="17" ht="27" customHeight="1" spans="1:9" x14ac:dyDescent="0.25">
      <c r="A17" s="1032" t="s">
        <v>117</v>
      </c>
      <c r="B17" s="1033" t="s">
        <v>147</v>
      </c>
      <c r="C17" s="1039" t="s">
        <v>147</v>
      </c>
      <c r="D17" s="1035" t="s">
        <v>340</v>
      </c>
      <c r="E17" s="1040" t="s">
        <v>147</v>
      </c>
      <c r="F17" s="1041" t="s">
        <v>147</v>
      </c>
      <c r="G17" s="1038" t="s">
        <v>345</v>
      </c>
      <c r="H17" s="1033" t="s">
        <v>147</v>
      </c>
      <c r="I17" s="1038" t="s">
        <v>342</v>
      </c>
    </row>
    <row r="21" ht="20.5" customHeight="1" spans="1:5" s="1002" customFormat="1" x14ac:dyDescent="0.25">
      <c r="A21" s="1003" t="s">
        <v>346</v>
      </c>
      <c r="B21" s="1042"/>
      <c r="C21" s="1042"/>
      <c r="D21" s="1042"/>
      <c r="E21" s="1042"/>
    </row>
    <row r="22" ht="7.15" customHeight="1" spans="1:5" x14ac:dyDescent="0.25">
      <c r="A22" s="1024"/>
      <c r="B22" s="3"/>
      <c r="C22" s="3"/>
      <c r="D22" s="3"/>
      <c r="E22" s="3"/>
    </row>
    <row r="23" ht="27" customHeight="1" spans="1:7" x14ac:dyDescent="0.25">
      <c r="A23" s="1004" t="s">
        <v>347</v>
      </c>
      <c r="B23" s="1004" t="s">
        <v>348</v>
      </c>
      <c r="C23" s="1004"/>
      <c r="D23" s="1004" t="s">
        <v>349</v>
      </c>
      <c r="E23" s="1004"/>
      <c r="F23" s="1025" t="s">
        <v>319</v>
      </c>
      <c r="G23" s="1028"/>
    </row>
    <row r="24" ht="27" customHeight="1" spans="1:7" x14ac:dyDescent="0.25">
      <c r="A24" s="1043" t="s">
        <v>350</v>
      </c>
      <c r="B24" s="1043" t="s">
        <v>351</v>
      </c>
      <c r="C24" s="1043"/>
      <c r="D24" s="1043" t="s">
        <v>352</v>
      </c>
      <c r="E24" s="1043"/>
      <c r="F24" s="1043" t="s">
        <v>353</v>
      </c>
      <c r="G24" s="1043"/>
    </row>
    <row r="25" ht="27" customHeight="1" spans="1:7" x14ac:dyDescent="0.25">
      <c r="A25" s="1044" t="s">
        <v>354</v>
      </c>
      <c r="B25" s="1045">
        <v>20000</v>
      </c>
      <c r="C25" s="1045"/>
      <c r="D25" s="1044" t="s">
        <v>355</v>
      </c>
      <c r="E25" s="1044"/>
      <c r="F25" s="1046" t="s">
        <v>356</v>
      </c>
      <c r="G25" s="1046"/>
    </row>
    <row r="26" ht="27" customHeight="1" spans="1:7" x14ac:dyDescent="0.25">
      <c r="A26" s="1044" t="s">
        <v>357</v>
      </c>
      <c r="B26" s="1045">
        <v>20000</v>
      </c>
      <c r="C26" s="1045"/>
      <c r="D26" s="1044" t="s">
        <v>355</v>
      </c>
      <c r="E26" s="1044"/>
      <c r="F26" s="1047"/>
      <c r="G26" s="1048"/>
    </row>
    <row r="27" ht="27" customHeight="1" spans="1:7" x14ac:dyDescent="0.25">
      <c r="A27" s="1044" t="s">
        <v>358</v>
      </c>
      <c r="B27" s="1045">
        <v>60000</v>
      </c>
      <c r="C27" s="1045"/>
      <c r="D27" s="1044" t="s">
        <v>359</v>
      </c>
      <c r="E27" s="1044"/>
      <c r="F27" s="1046" t="s">
        <v>360</v>
      </c>
      <c r="G27" s="1046"/>
    </row>
    <row r="28" ht="27" customHeight="1" spans="1:7" x14ac:dyDescent="0.25">
      <c r="A28" s="1044" t="s">
        <v>361</v>
      </c>
      <c r="B28" s="1044" t="s">
        <v>362</v>
      </c>
      <c r="C28" s="1044"/>
      <c r="D28" s="1044" t="s">
        <v>363</v>
      </c>
      <c r="E28" s="1044"/>
      <c r="F28" s="1047"/>
      <c r="G28" s="1048"/>
    </row>
    <row r="29" ht="27" customHeight="1" spans="1:7" x14ac:dyDescent="0.25">
      <c r="A29" s="1044" t="s">
        <v>364</v>
      </c>
      <c r="B29" s="1045">
        <v>40000</v>
      </c>
      <c r="C29" s="1045"/>
      <c r="D29" s="1044" t="s">
        <v>365</v>
      </c>
      <c r="E29" s="1044"/>
      <c r="F29" s="1046" t="s">
        <v>366</v>
      </c>
      <c r="G29" s="1046"/>
    </row>
    <row r="30" ht="27" customHeight="1" spans="1:7" x14ac:dyDescent="0.25">
      <c r="A30" s="1044" t="s">
        <v>367</v>
      </c>
      <c r="B30" s="1045">
        <v>40000</v>
      </c>
      <c r="C30" s="1045"/>
      <c r="D30" s="1044" t="s">
        <v>365</v>
      </c>
      <c r="E30" s="1044"/>
      <c r="F30" s="1046" t="s">
        <v>368</v>
      </c>
      <c r="G30" s="1046"/>
    </row>
    <row r="31" ht="27" customHeight="1" spans="1:7" x14ac:dyDescent="0.25">
      <c r="A31" s="1044" t="s">
        <v>369</v>
      </c>
      <c r="B31" s="1044" t="s">
        <v>362</v>
      </c>
      <c r="C31" s="1044"/>
      <c r="D31" s="1044" t="s">
        <v>370</v>
      </c>
      <c r="E31" s="1044"/>
      <c r="F31" s="1046" t="s">
        <v>371</v>
      </c>
      <c r="G31" s="1046"/>
    </row>
    <row r="32" ht="27" customHeight="1" spans="1:7" x14ac:dyDescent="0.25">
      <c r="A32" s="1049" t="s">
        <v>372</v>
      </c>
      <c r="B32" s="1049" t="s">
        <v>373</v>
      </c>
      <c r="C32" s="1049"/>
      <c r="D32" s="1049" t="s">
        <v>365</v>
      </c>
      <c r="E32" s="1049"/>
      <c r="F32" s="1050" t="s">
        <v>374</v>
      </c>
      <c r="G32" s="1050"/>
    </row>
  </sheetData>
  <mergeCells count="42">
    <mergeCell ref="C4:D4"/>
    <mergeCell ref="E4:F5"/>
    <mergeCell ref="A4:A5"/>
    <mergeCell ref="B4:B5"/>
    <mergeCell ref="E6:F7"/>
    <mergeCell ref="B6:B7"/>
    <mergeCell ref="C7:D7"/>
    <mergeCell ref="C13:D13"/>
    <mergeCell ref="E13:F13"/>
    <mergeCell ref="A13:A14"/>
    <mergeCell ref="B13:B14"/>
    <mergeCell ref="G13:G14"/>
    <mergeCell ref="H13:H14"/>
    <mergeCell ref="I13:I14"/>
    <mergeCell ref="B23:C23"/>
    <mergeCell ref="D23:E23"/>
    <mergeCell ref="F23:G23"/>
    <mergeCell ref="B24:C24"/>
    <mergeCell ref="D24:E24"/>
    <mergeCell ref="F24:G24"/>
    <mergeCell ref="B25:C25"/>
    <mergeCell ref="D25:E25"/>
    <mergeCell ref="F25:G25"/>
    <mergeCell ref="B26:C26"/>
    <mergeCell ref="D26:E26"/>
    <mergeCell ref="B27:C27"/>
    <mergeCell ref="D27:E27"/>
    <mergeCell ref="F27:G27"/>
    <mergeCell ref="B28:C28"/>
    <mergeCell ref="D28:E28"/>
    <mergeCell ref="B29:C29"/>
    <mergeCell ref="D29:E29"/>
    <mergeCell ref="F29:G29"/>
    <mergeCell ref="B30:C30"/>
    <mergeCell ref="D30:E30"/>
    <mergeCell ref="F30:G30"/>
    <mergeCell ref="B31:C31"/>
    <mergeCell ref="D31:E31"/>
    <mergeCell ref="F31:G31"/>
    <mergeCell ref="B32:C32"/>
    <mergeCell ref="D32:E32"/>
    <mergeCell ref="F32:G32"/>
  </mergeCells>
  <pageMargins left="0.7" right="0.7" top="0.75" bottom="0.75" header="0.3" footer="0.3"/>
  <pageSetup paperSize="9" orientation="landscape" horizontalDpi="4294967295" verticalDpi="4294967295" scale="63" fitToWidth="1" fitToHeight="0" firstPageNumber="1" useFirstPageNumber="1" copies="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B2:AT30"/>
  <sheetViews>
    <sheetView workbookViewId="0" zoomScale="85" zoomScaleNormal="85" view="pageBreakPreview">
      <selection activeCell="M22" sqref="M22"/>
    </sheetView>
  </sheetViews>
  <sheetFormatPr defaultRowHeight="17" outlineLevelRow="0" outlineLevelCol="0" x14ac:dyDescent="0" defaultColWidth="8.75" customHeight="1"/>
  <cols>
    <col min="1" max="26" width="2.83203125" style="1" customWidth="1"/>
    <col min="27" max="27" width="4.75" style="1" customWidth="1"/>
    <col min="28" max="46" width="2.83203125" style="1" customWidth="1"/>
    <col min="47" max="16384" width="8.75" style="1" customWidth="1"/>
  </cols>
  <sheetData>
    <row r="2" ht="4.9" customHeight="1" spans="1:46" s="30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10.9" customHeight="1" x14ac:dyDescent="0.25"/>
    <row r="4" ht="11.5" customHeight="1" spans="2:46" x14ac:dyDescent="0.25">
      <c r="B4" s="862"/>
      <c r="C4" s="862"/>
      <c r="D4" s="862"/>
      <c r="E4" s="862"/>
      <c r="F4" s="862"/>
      <c r="G4" s="862"/>
      <c r="H4" s="862"/>
      <c r="I4" s="862"/>
      <c r="J4" s="862"/>
      <c r="K4" s="862"/>
      <c r="L4" s="862"/>
      <c r="M4" s="862"/>
      <c r="N4" s="862"/>
      <c r="O4" s="862"/>
      <c r="P4" s="862"/>
      <c r="Q4" s="862"/>
      <c r="R4" s="862"/>
      <c r="S4" s="862"/>
      <c r="T4" s="862"/>
      <c r="U4" s="862"/>
      <c r="V4" s="862"/>
      <c r="W4" s="862"/>
      <c r="X4" s="862"/>
      <c r="Y4" s="862"/>
      <c r="Z4" s="862"/>
      <c r="AA4" s="86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29.5" customHeight="1" spans="2:46" x14ac:dyDescent="0.25">
      <c r="B5" s="863" t="s">
        <v>287</v>
      </c>
      <c r="C5" s="863"/>
      <c r="D5" s="863"/>
      <c r="E5" s="863"/>
      <c r="F5" s="863"/>
      <c r="G5" s="863"/>
      <c r="H5" s="863"/>
      <c r="I5" s="863"/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863"/>
      <c r="AA5" s="863"/>
      <c r="AB5" s="863"/>
      <c r="AT5" s="864"/>
    </row>
    <row r="6" ht="78" customHeight="1" spans="2:46" x14ac:dyDescent="0.25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T6" s="864"/>
    </row>
    <row r="7" ht="40.15" customHeight="1" spans="2:46" x14ac:dyDescent="0.25">
      <c r="B7" s="950" t="s">
        <v>261</v>
      </c>
      <c r="C7" s="951"/>
      <c r="D7" s="951"/>
      <c r="E7" s="951"/>
      <c r="F7" s="952"/>
      <c r="G7" s="953"/>
      <c r="H7" s="954"/>
      <c r="I7" s="954"/>
      <c r="J7" s="954"/>
      <c r="K7" s="954"/>
      <c r="L7" s="954"/>
      <c r="M7" s="954"/>
      <c r="N7" s="955"/>
      <c r="O7" s="950" t="s">
        <v>288</v>
      </c>
      <c r="P7" s="951"/>
      <c r="Q7" s="951"/>
      <c r="R7" s="951"/>
      <c r="S7" s="952"/>
      <c r="T7" s="953"/>
      <c r="U7" s="954"/>
      <c r="V7" s="954"/>
      <c r="W7" s="954"/>
      <c r="X7" s="954"/>
      <c r="Y7" s="954"/>
      <c r="Z7" s="954"/>
      <c r="AA7" s="955"/>
      <c r="AB7" s="112"/>
      <c r="AT7" s="864"/>
    </row>
    <row r="8" ht="40.15" customHeight="1" spans="2:46" x14ac:dyDescent="0.25">
      <c r="B8" s="956" t="s">
        <v>289</v>
      </c>
      <c r="C8" s="957"/>
      <c r="D8" s="957"/>
      <c r="E8" s="957"/>
      <c r="F8" s="958"/>
      <c r="G8" s="869"/>
      <c r="H8" s="870"/>
      <c r="I8" s="870"/>
      <c r="J8" s="870"/>
      <c r="K8" s="870"/>
      <c r="L8" s="870"/>
      <c r="M8" s="870"/>
      <c r="N8" s="870"/>
      <c r="O8" s="870"/>
      <c r="P8" s="870"/>
      <c r="Q8" s="870"/>
      <c r="R8" s="870"/>
      <c r="S8" s="870"/>
      <c r="T8" s="870"/>
      <c r="U8" s="870"/>
      <c r="V8" s="870"/>
      <c r="W8" s="870"/>
      <c r="X8" s="870"/>
      <c r="Y8" s="870"/>
      <c r="Z8" s="870"/>
      <c r="AA8" s="871"/>
      <c r="AB8" s="112"/>
      <c r="AT8" s="864"/>
    </row>
    <row r="9" ht="40.15" customHeight="1" spans="2:46" x14ac:dyDescent="0.25">
      <c r="B9" s="959"/>
      <c r="C9" s="960"/>
      <c r="D9" s="960"/>
      <c r="E9" s="960"/>
      <c r="F9" s="961"/>
      <c r="G9" s="881"/>
      <c r="H9" s="882"/>
      <c r="I9" s="882"/>
      <c r="J9" s="882"/>
      <c r="K9" s="882"/>
      <c r="L9" s="882"/>
      <c r="M9" s="882"/>
      <c r="N9" s="882"/>
      <c r="O9" s="882"/>
      <c r="P9" s="882"/>
      <c r="Q9" s="882"/>
      <c r="R9" s="882"/>
      <c r="S9" s="882"/>
      <c r="T9" s="882"/>
      <c r="U9" s="882"/>
      <c r="V9" s="882"/>
      <c r="W9" s="882"/>
      <c r="X9" s="882"/>
      <c r="Y9" s="882"/>
      <c r="Z9" s="882"/>
      <c r="AA9" s="883"/>
      <c r="AB9" s="112"/>
      <c r="AT9" s="864"/>
    </row>
    <row r="10" ht="40.15" customHeight="1" spans="2:46" x14ac:dyDescent="0.25">
      <c r="B10" s="950" t="s">
        <v>290</v>
      </c>
      <c r="C10" s="951"/>
      <c r="D10" s="951"/>
      <c r="E10" s="951"/>
      <c r="F10" s="952"/>
      <c r="G10" s="953"/>
      <c r="H10" s="954"/>
      <c r="I10" s="954"/>
      <c r="J10" s="954"/>
      <c r="K10" s="954"/>
      <c r="L10" s="954"/>
      <c r="M10" s="954"/>
      <c r="N10" s="954"/>
      <c r="O10" s="954"/>
      <c r="P10" s="954"/>
      <c r="Q10" s="954"/>
      <c r="R10" s="954"/>
      <c r="S10" s="954"/>
      <c r="T10" s="954"/>
      <c r="U10" s="954"/>
      <c r="V10" s="954"/>
      <c r="W10" s="954"/>
      <c r="X10" s="954"/>
      <c r="Y10" s="954"/>
      <c r="Z10" s="954"/>
      <c r="AA10" s="955"/>
      <c r="AB10" s="112"/>
      <c r="AT10" s="864"/>
    </row>
    <row r="11" ht="40.15" customHeight="1" spans="2:46" x14ac:dyDescent="0.25">
      <c r="B11" s="962" t="s">
        <v>291</v>
      </c>
      <c r="C11" s="957"/>
      <c r="D11" s="957"/>
      <c r="E11" s="957"/>
      <c r="F11" s="958"/>
      <c r="G11" s="866" t="s">
        <v>292</v>
      </c>
      <c r="H11" s="867"/>
      <c r="I11" s="867"/>
      <c r="J11" s="868"/>
      <c r="K11" s="869"/>
      <c r="L11" s="870"/>
      <c r="M11" s="870"/>
      <c r="N11" s="870"/>
      <c r="O11" s="870"/>
      <c r="P11" s="870"/>
      <c r="Q11" s="866" t="s">
        <v>293</v>
      </c>
      <c r="R11" s="867"/>
      <c r="S11" s="867"/>
      <c r="T11" s="868"/>
      <c r="U11" s="963"/>
      <c r="V11" s="963"/>
      <c r="W11" s="963"/>
      <c r="X11" s="963"/>
      <c r="Y11" s="963"/>
      <c r="Z11" s="963"/>
      <c r="AA11" s="964"/>
      <c r="AB11" s="112"/>
      <c r="AT11" s="864"/>
    </row>
    <row r="12" ht="40.15" customHeight="1" spans="2:46" x14ac:dyDescent="0.25">
      <c r="B12" s="959"/>
      <c r="C12" s="960"/>
      <c r="D12" s="960"/>
      <c r="E12" s="960"/>
      <c r="F12" s="961"/>
      <c r="G12" s="965" t="s">
        <v>294</v>
      </c>
      <c r="H12" s="966"/>
      <c r="I12" s="966"/>
      <c r="J12" s="967"/>
      <c r="K12" s="968"/>
      <c r="L12" s="968"/>
      <c r="M12" s="968"/>
      <c r="N12" s="968"/>
      <c r="O12" s="968"/>
      <c r="P12" s="968"/>
      <c r="Q12" s="968"/>
      <c r="R12" s="968"/>
      <c r="S12" s="968"/>
      <c r="T12" s="968"/>
      <c r="U12" s="968"/>
      <c r="V12" s="968"/>
      <c r="W12" s="968"/>
      <c r="X12" s="968"/>
      <c r="Y12" s="968"/>
      <c r="Z12" s="968"/>
      <c r="AA12" s="969"/>
      <c r="AB12" s="112"/>
      <c r="AT12" s="864"/>
    </row>
    <row r="13" ht="40.15" customHeight="1" spans="2:46" x14ac:dyDescent="0.25">
      <c r="B13" s="962" t="s">
        <v>295</v>
      </c>
      <c r="C13" s="957"/>
      <c r="D13" s="957"/>
      <c r="E13" s="957"/>
      <c r="F13" s="958"/>
      <c r="G13" s="866" t="s">
        <v>296</v>
      </c>
      <c r="H13" s="867"/>
      <c r="I13" s="867"/>
      <c r="J13" s="868"/>
      <c r="K13" s="869"/>
      <c r="L13" s="870"/>
      <c r="M13" s="870"/>
      <c r="N13" s="870"/>
      <c r="O13" s="870"/>
      <c r="P13" s="870"/>
      <c r="Q13" s="866" t="s">
        <v>263</v>
      </c>
      <c r="R13" s="867"/>
      <c r="S13" s="867"/>
      <c r="T13" s="868"/>
      <c r="U13" s="869"/>
      <c r="V13" s="870"/>
      <c r="W13" s="870"/>
      <c r="X13" s="870"/>
      <c r="Y13" s="870"/>
      <c r="Z13" s="870"/>
      <c r="AA13" s="871"/>
      <c r="AB13" s="112"/>
      <c r="AT13" s="864"/>
    </row>
    <row r="14" ht="40.15" customHeight="1" spans="2:46" x14ac:dyDescent="0.25">
      <c r="B14" s="959"/>
      <c r="C14" s="960"/>
      <c r="D14" s="960"/>
      <c r="E14" s="960"/>
      <c r="F14" s="961"/>
      <c r="G14" s="965" t="s">
        <v>16</v>
      </c>
      <c r="H14" s="966"/>
      <c r="I14" s="966"/>
      <c r="J14" s="967"/>
      <c r="K14" s="970"/>
      <c r="L14" s="971"/>
      <c r="M14" s="971"/>
      <c r="N14" s="971"/>
      <c r="O14" s="971"/>
      <c r="P14" s="971"/>
      <c r="Q14" s="971"/>
      <c r="R14" s="971"/>
      <c r="S14" s="971"/>
      <c r="T14" s="971"/>
      <c r="U14" s="971"/>
      <c r="V14" s="971"/>
      <c r="W14" s="971"/>
      <c r="X14" s="971"/>
      <c r="Y14" s="971"/>
      <c r="Z14" s="971"/>
      <c r="AA14" s="972"/>
      <c r="AB14" s="112"/>
      <c r="AT14" s="864"/>
    </row>
    <row r="15" ht="40.15" customHeight="1" spans="2:46" x14ac:dyDescent="0.25">
      <c r="B15" s="973" t="s">
        <v>297</v>
      </c>
      <c r="C15" s="973"/>
      <c r="D15" s="973"/>
      <c r="E15" s="973"/>
      <c r="F15" s="973"/>
      <c r="G15" s="974" t="s">
        <v>298</v>
      </c>
      <c r="H15" s="975"/>
      <c r="I15" s="975"/>
      <c r="J15" s="975"/>
      <c r="K15" s="975"/>
      <c r="L15" s="975"/>
      <c r="M15" s="975"/>
      <c r="N15" s="975"/>
      <c r="O15" s="975"/>
      <c r="P15" s="975"/>
      <c r="Q15" s="975"/>
      <c r="R15" s="975"/>
      <c r="S15" s="975"/>
      <c r="T15" s="975"/>
      <c r="U15" s="975"/>
      <c r="V15" s="975"/>
      <c r="W15" s="975"/>
      <c r="X15" s="975"/>
      <c r="Y15" s="975"/>
      <c r="Z15" s="975"/>
      <c r="AA15" s="975"/>
      <c r="AB15" s="112"/>
      <c r="AT15" s="864"/>
    </row>
    <row r="16" ht="40.15" customHeight="1" spans="2:46" x14ac:dyDescent="0.25">
      <c r="B16" s="973"/>
      <c r="C16" s="973"/>
      <c r="D16" s="973"/>
      <c r="E16" s="973"/>
      <c r="F16" s="973"/>
      <c r="G16" s="976"/>
      <c r="H16" s="976"/>
      <c r="I16" s="976"/>
      <c r="J16" s="976"/>
      <c r="K16" s="976"/>
      <c r="L16" s="976"/>
      <c r="M16" s="976"/>
      <c r="N16" s="976"/>
      <c r="O16" s="976"/>
      <c r="P16" s="976"/>
      <c r="Q16" s="976"/>
      <c r="R16" s="976"/>
      <c r="S16" s="976"/>
      <c r="T16" s="976"/>
      <c r="U16" s="976"/>
      <c r="V16" s="976"/>
      <c r="W16" s="976"/>
      <c r="X16" s="976"/>
      <c r="Y16" s="976"/>
      <c r="Z16" s="976"/>
      <c r="AA16" s="976"/>
      <c r="AB16" s="112"/>
      <c r="AT16" s="864"/>
    </row>
    <row r="17" ht="40.15" customHeight="1" spans="2:46" x14ac:dyDescent="0.25">
      <c r="B17" s="973"/>
      <c r="C17" s="973"/>
      <c r="D17" s="973"/>
      <c r="E17" s="973"/>
      <c r="F17" s="973"/>
      <c r="G17" s="977" t="s">
        <v>299</v>
      </c>
      <c r="H17" s="977"/>
      <c r="I17" s="977"/>
      <c r="J17" s="977"/>
      <c r="K17" s="977"/>
      <c r="L17" s="977"/>
      <c r="M17" s="977"/>
      <c r="N17" s="977"/>
      <c r="O17" s="977"/>
      <c r="P17" s="977"/>
      <c r="Q17" s="977"/>
      <c r="R17" s="977"/>
      <c r="S17" s="977"/>
      <c r="T17" s="977"/>
      <c r="U17" s="977"/>
      <c r="V17" s="977"/>
      <c r="W17" s="977"/>
      <c r="X17" s="977"/>
      <c r="Y17" s="977"/>
      <c r="Z17" s="977"/>
      <c r="AA17" s="977"/>
      <c r="AB17" s="112"/>
      <c r="AT17" s="864"/>
    </row>
    <row r="18" ht="40.15" customHeight="1" spans="2:46" x14ac:dyDescent="0.25">
      <c r="B18" s="978"/>
      <c r="C18" s="978"/>
      <c r="D18" s="978"/>
      <c r="E18" s="978"/>
      <c r="F18" s="978"/>
      <c r="G18" s="979"/>
      <c r="H18" s="979"/>
      <c r="I18" s="979"/>
      <c r="J18" s="979"/>
      <c r="K18" s="979"/>
      <c r="L18" s="979"/>
      <c r="M18" s="979"/>
      <c r="N18" s="979"/>
      <c r="O18" s="979"/>
      <c r="P18" s="979"/>
      <c r="Q18" s="979"/>
      <c r="R18" s="979"/>
      <c r="S18" s="979"/>
      <c r="T18" s="979"/>
      <c r="U18" s="979"/>
      <c r="V18" s="979"/>
      <c r="W18" s="979"/>
      <c r="X18" s="979"/>
      <c r="Y18" s="979"/>
      <c r="Z18" s="979"/>
      <c r="AA18" s="979"/>
      <c r="AB18" s="112"/>
      <c r="AT18" s="864"/>
    </row>
    <row r="19" ht="26" customHeight="1" spans="2:46" x14ac:dyDescent="0.25">
      <c r="B19" s="865"/>
      <c r="C19" s="865"/>
      <c r="D19" s="865"/>
      <c r="E19" s="865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T19" s="864"/>
    </row>
    <row r="20" ht="20.5" customHeight="1" spans="2:46" s="1" customFormat="1" x14ac:dyDescent="0.25">
      <c r="B20" s="940" t="s">
        <v>300</v>
      </c>
      <c r="C20" s="940"/>
      <c r="D20" s="940"/>
      <c r="E20" s="940"/>
      <c r="F20" s="940"/>
      <c r="G20" s="940"/>
      <c r="H20" s="940"/>
      <c r="I20" s="940"/>
      <c r="J20" s="940"/>
      <c r="K20" s="940"/>
      <c r="L20" s="940"/>
      <c r="M20" s="940"/>
      <c r="N20" s="940"/>
      <c r="O20" s="940"/>
      <c r="P20" s="940"/>
      <c r="Q20" s="940"/>
      <c r="R20" s="940"/>
      <c r="S20" s="940"/>
      <c r="T20" s="940"/>
      <c r="U20" s="940"/>
      <c r="V20" s="940"/>
      <c r="W20" s="940"/>
      <c r="X20" s="940"/>
      <c r="Y20" s="940"/>
      <c r="Z20" s="940"/>
      <c r="AA20" s="940"/>
      <c r="AB20" s="1"/>
      <c r="AT20" s="941"/>
    </row>
    <row r="21" ht="20.5" customHeight="1" spans="2:46" s="1" customFormat="1" x14ac:dyDescent="0.25">
      <c r="B21" s="940"/>
      <c r="C21" s="940"/>
      <c r="D21" s="940"/>
      <c r="E21" s="940"/>
      <c r="F21" s="440"/>
      <c r="G21" s="440"/>
      <c r="H21" s="440"/>
      <c r="I21" s="440"/>
      <c r="J21" s="440"/>
      <c r="K21" s="440"/>
      <c r="L21" s="440"/>
      <c r="M21" s="440"/>
      <c r="N21" s="440"/>
      <c r="O21" s="440"/>
      <c r="P21" s="440"/>
      <c r="Q21" s="440"/>
      <c r="R21" s="440"/>
      <c r="S21" s="440"/>
      <c r="T21" s="440"/>
      <c r="U21" s="440"/>
      <c r="V21" s="440"/>
      <c r="W21" s="440"/>
      <c r="X21" s="440"/>
      <c r="Y21" s="440"/>
      <c r="Z21" s="440"/>
      <c r="AA21" s="440"/>
      <c r="AB21" s="1"/>
      <c r="AT21" s="941"/>
    </row>
    <row r="22" ht="20.5" customHeight="1" spans="2:46" s="1" customFormat="1" x14ac:dyDescent="0.25">
      <c r="B22" s="940"/>
      <c r="C22" s="940"/>
      <c r="D22" s="940"/>
      <c r="E22" s="940"/>
      <c r="F22" s="440"/>
      <c r="G22" s="440"/>
      <c r="H22" s="440"/>
      <c r="I22" s="440"/>
      <c r="J22" s="440"/>
      <c r="K22" s="440"/>
      <c r="L22" s="440"/>
      <c r="M22" s="942">
        <f>TODAY()</f>
        <v>44961</v>
      </c>
      <c r="N22" s="943"/>
      <c r="O22" s="943"/>
      <c r="P22" s="943"/>
      <c r="Q22" s="943"/>
      <c r="R22" s="943"/>
      <c r="S22" s="944" t="s">
        <v>285</v>
      </c>
      <c r="T22" s="945"/>
      <c r="U22" s="945"/>
      <c r="V22" s="946"/>
      <c r="W22" s="947"/>
      <c r="X22" s="947"/>
      <c r="Y22" s="947"/>
      <c r="Z22" s="947"/>
      <c r="AA22" s="947"/>
      <c r="AB22" s="1"/>
      <c r="AT22" s="941"/>
    </row>
    <row r="29" ht="17.5" customHeight="1" spans="2:45" x14ac:dyDescent="0.25">
      <c r="B29" s="948"/>
      <c r="C29" s="948"/>
      <c r="D29" s="948"/>
      <c r="E29" s="948"/>
      <c r="F29" s="948"/>
      <c r="G29" s="948"/>
      <c r="H29" s="948"/>
      <c r="I29" s="948"/>
      <c r="J29" s="948"/>
      <c r="K29" s="948"/>
      <c r="L29" s="948"/>
      <c r="M29" s="948"/>
      <c r="N29" s="948"/>
      <c r="O29" s="948"/>
      <c r="P29" s="948"/>
      <c r="Q29" s="948"/>
      <c r="R29" s="948"/>
      <c r="S29" s="948"/>
      <c r="T29" s="948"/>
      <c r="U29" s="948"/>
      <c r="V29" s="948"/>
      <c r="W29" s="948"/>
      <c r="X29" s="948"/>
      <c r="Y29" s="948"/>
      <c r="Z29" s="948"/>
      <c r="AA29" s="948"/>
      <c r="AB29" s="948"/>
      <c r="AC29" s="948"/>
      <c r="AD29" s="948"/>
      <c r="AE29" s="948"/>
      <c r="AF29" s="948"/>
      <c r="AG29" s="948"/>
      <c r="AH29" s="948"/>
      <c r="AI29" s="948"/>
      <c r="AJ29" s="948"/>
      <c r="AK29" s="948"/>
      <c r="AL29" s="948"/>
      <c r="AM29" s="948"/>
      <c r="AN29" s="948"/>
      <c r="AO29" s="948"/>
      <c r="AP29" s="948"/>
      <c r="AQ29" s="948"/>
      <c r="AR29" s="948"/>
      <c r="AS29" s="948"/>
    </row>
    <row r="30" ht="17.5" customHeight="1" spans="2:45" x14ac:dyDescent="0.25">
      <c r="B30" s="948"/>
      <c r="C30" s="948"/>
      <c r="D30" s="948"/>
      <c r="E30" s="948"/>
      <c r="F30" s="948"/>
      <c r="G30" s="948"/>
      <c r="H30" s="948"/>
      <c r="I30" s="948"/>
      <c r="J30" s="948"/>
      <c r="K30" s="948"/>
      <c r="L30" s="948"/>
      <c r="M30" s="948"/>
      <c r="N30" s="948"/>
      <c r="O30" s="948"/>
      <c r="P30" s="948"/>
      <c r="Q30" s="948"/>
      <c r="R30" s="948"/>
      <c r="S30" s="948"/>
      <c r="T30" s="948"/>
      <c r="U30" s="948"/>
      <c r="V30" s="948"/>
      <c r="W30" s="948"/>
      <c r="X30" s="948"/>
      <c r="Y30" s="948"/>
      <c r="Z30" s="948"/>
      <c r="AA30" s="948"/>
      <c r="AB30" s="948"/>
      <c r="AC30" s="948"/>
      <c r="AD30" s="948"/>
      <c r="AE30" s="948"/>
      <c r="AF30" s="948"/>
      <c r="AG30" s="948"/>
      <c r="AH30" s="948"/>
      <c r="AI30" s="948"/>
      <c r="AJ30" s="948"/>
      <c r="AK30" s="948"/>
      <c r="AL30" s="948"/>
      <c r="AM30" s="948"/>
      <c r="AN30" s="948"/>
      <c r="AO30" s="948"/>
      <c r="AP30" s="948"/>
      <c r="AQ30" s="948"/>
      <c r="AR30" s="948"/>
      <c r="AS30" s="948"/>
    </row>
  </sheetData>
  <mergeCells count="29">
    <mergeCell ref="B5:AA5"/>
    <mergeCell ref="B7:F7"/>
    <mergeCell ref="G7:N7"/>
    <mergeCell ref="O7:S7"/>
    <mergeCell ref="T7:AA7"/>
    <mergeCell ref="B8:F9"/>
    <mergeCell ref="G8:AA9"/>
    <mergeCell ref="B10:F10"/>
    <mergeCell ref="G10:AA10"/>
    <mergeCell ref="B11:F12"/>
    <mergeCell ref="G11:J11"/>
    <mergeCell ref="K11:P11"/>
    <mergeCell ref="Q11:T11"/>
    <mergeCell ref="U11:AA11"/>
    <mergeCell ref="G12:J12"/>
    <mergeCell ref="B13:F14"/>
    <mergeCell ref="G13:J13"/>
    <mergeCell ref="K13:P13"/>
    <mergeCell ref="Q13:T13"/>
    <mergeCell ref="U13:AA13"/>
    <mergeCell ref="G14:J14"/>
    <mergeCell ref="K14:AA14"/>
    <mergeCell ref="B15:F17"/>
    <mergeCell ref="G15:AA16"/>
    <mergeCell ref="G17:AA17"/>
    <mergeCell ref="B20:AA20"/>
    <mergeCell ref="M22:R22"/>
    <mergeCell ref="S22:U22"/>
    <mergeCell ref="W22:AA22"/>
  </mergeCells>
  <pageMargins left="0.7" right="0.7" top="0.75" bottom="0.75" header="0.3" footer="0.3"/>
  <pageSetup paperSize="9" orientation="portrait" horizontalDpi="4294967295" verticalDpi="4294967295" scale="94" fitToWidth="1" fitToHeight="1" firstPageNumber="1" useFirstPageNumber="1" copies="1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"/>
  <sheetViews>
    <sheetView workbookViewId="0" zoomScale="100" zoomScaleNormal="100"/>
  </sheetViews>
  <sheetFormatPr defaultRowHeight="17" outlineLevelRow="0" outlineLevelCol="0" x14ac:dyDescent="0" customHeight="1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B2:AT45"/>
  <sheetViews>
    <sheetView workbookViewId="0" zoomScale="85" zoomScaleNormal="85" view="pageBreakPreview">
      <selection activeCell="M37" sqref="M37"/>
    </sheetView>
  </sheetViews>
  <sheetFormatPr defaultRowHeight="17" outlineLevelRow="0" outlineLevelCol="0" x14ac:dyDescent="0" defaultColWidth="8.75" customHeight="1"/>
  <cols>
    <col min="1" max="46" width="2.83203125" style="1" customWidth="1"/>
    <col min="47" max="16384" width="8.75" style="1" customWidth="1"/>
  </cols>
  <sheetData>
    <row r="2" ht="4.9" customHeight="1" spans="1:46" s="30" customForma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ht="10.9" customHeight="1" x14ac:dyDescent="0.25"/>
    <row r="4" ht="11.5" customHeight="1" spans="2:46" x14ac:dyDescent="0.25">
      <c r="B4" s="862"/>
      <c r="C4" s="862"/>
      <c r="D4" s="862"/>
      <c r="E4" s="862"/>
      <c r="F4" s="862"/>
      <c r="G4" s="862"/>
      <c r="H4" s="862"/>
      <c r="I4" s="862"/>
      <c r="J4" s="862"/>
      <c r="K4" s="862"/>
      <c r="L4" s="862"/>
      <c r="M4" s="862"/>
      <c r="N4" s="862"/>
      <c r="O4" s="862"/>
      <c r="P4" s="862"/>
      <c r="Q4" s="862"/>
      <c r="R4" s="862"/>
      <c r="S4" s="862"/>
      <c r="T4" s="862"/>
      <c r="U4" s="862"/>
      <c r="V4" s="862"/>
      <c r="W4" s="862"/>
      <c r="X4" s="862"/>
      <c r="Y4" s="862"/>
      <c r="Z4" s="862"/>
      <c r="AA4" s="862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</row>
    <row r="5" ht="29.5" customHeight="1" spans="2:46" x14ac:dyDescent="0.25">
      <c r="B5" s="863" t="s">
        <v>259</v>
      </c>
      <c r="C5" s="863"/>
      <c r="D5" s="863"/>
      <c r="E5" s="863"/>
      <c r="F5" s="863"/>
      <c r="G5" s="863"/>
      <c r="H5" s="863"/>
      <c r="I5" s="863"/>
      <c r="J5" s="863"/>
      <c r="K5" s="863"/>
      <c r="L5" s="863"/>
      <c r="M5" s="863"/>
      <c r="N5" s="863"/>
      <c r="O5" s="863"/>
      <c r="P5" s="863"/>
      <c r="Q5" s="863"/>
      <c r="R5" s="863"/>
      <c r="S5" s="863"/>
      <c r="T5" s="863"/>
      <c r="U5" s="863"/>
      <c r="V5" s="863"/>
      <c r="W5" s="863"/>
      <c r="X5" s="863"/>
      <c r="Y5" s="863"/>
      <c r="Z5" s="863"/>
      <c r="AA5" s="863"/>
      <c r="AB5" s="863"/>
      <c r="AT5" s="864"/>
    </row>
    <row r="6" ht="46.15" customHeight="1" spans="2:46" x14ac:dyDescent="0.25">
      <c r="B6" s="112"/>
      <c r="C6" s="112"/>
      <c r="D6" s="112"/>
      <c r="E6" s="112"/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T6" s="864"/>
    </row>
    <row r="7" ht="26" customHeight="1" spans="2:46" x14ac:dyDescent="0.25">
      <c r="B7" s="865" t="s">
        <v>260</v>
      </c>
      <c r="C7" s="865"/>
      <c r="D7" s="865"/>
      <c r="E7" s="865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T7" s="864"/>
    </row>
    <row r="8" ht="20.5" customHeight="1" spans="2:46" x14ac:dyDescent="0.25">
      <c r="B8" s="866" t="s">
        <v>261</v>
      </c>
      <c r="C8" s="867"/>
      <c r="D8" s="867"/>
      <c r="E8" s="867"/>
      <c r="F8" s="868"/>
      <c r="G8" s="869" t="str">
        <f>'국산차 견적'!G8:V9</f>
        <v>VVIP 고객님</v>
      </c>
      <c r="H8" s="870"/>
      <c r="I8" s="870"/>
      <c r="J8" s="870"/>
      <c r="K8" s="870"/>
      <c r="L8" s="870"/>
      <c r="M8" s="870"/>
      <c r="N8" s="870"/>
      <c r="O8" s="870"/>
      <c r="P8" s="871"/>
      <c r="Q8" s="872" t="s">
        <v>262</v>
      </c>
      <c r="R8" s="873"/>
      <c r="S8" s="873"/>
      <c r="T8" s="874" t="s">
        <v>263</v>
      </c>
      <c r="U8" s="874"/>
      <c r="V8" s="874"/>
      <c r="W8" s="875"/>
      <c r="X8" s="876"/>
      <c r="Y8" s="876"/>
      <c r="Z8" s="876"/>
      <c r="AA8" s="877"/>
      <c r="AB8" s="112"/>
      <c r="AT8" s="864"/>
    </row>
    <row r="9" ht="20.5" customHeight="1" spans="2:46" x14ac:dyDescent="0.25">
      <c r="B9" s="878"/>
      <c r="C9" s="879"/>
      <c r="D9" s="879"/>
      <c r="E9" s="879"/>
      <c r="F9" s="880"/>
      <c r="G9" s="881"/>
      <c r="H9" s="882"/>
      <c r="I9" s="882"/>
      <c r="J9" s="882"/>
      <c r="K9" s="882"/>
      <c r="L9" s="882"/>
      <c r="M9" s="882"/>
      <c r="N9" s="882"/>
      <c r="O9" s="882"/>
      <c r="P9" s="883"/>
      <c r="Q9" s="873"/>
      <c r="R9" s="873"/>
      <c r="S9" s="873"/>
      <c r="T9" s="884" t="s">
        <v>16</v>
      </c>
      <c r="U9" s="884"/>
      <c r="V9" s="884"/>
      <c r="W9" s="885"/>
      <c r="X9" s="886"/>
      <c r="Y9" s="886"/>
      <c r="Z9" s="886"/>
      <c r="AA9" s="887"/>
      <c r="AB9" s="112"/>
      <c r="AT9" s="864"/>
    </row>
    <row r="10" ht="26" customHeight="1" spans="2:46" x14ac:dyDescent="0.25"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T10" s="864"/>
    </row>
    <row r="11" ht="26" customHeight="1" spans="2:46" x14ac:dyDescent="0.25">
      <c r="B11" s="865" t="s">
        <v>26</v>
      </c>
      <c r="C11" s="865"/>
      <c r="D11" s="865"/>
      <c r="E11" s="865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T11" s="864"/>
    </row>
    <row r="12" ht="20.5" customHeight="1" spans="2:46" x14ac:dyDescent="0.25">
      <c r="B12" s="888" t="s">
        <v>264</v>
      </c>
      <c r="C12" s="889"/>
      <c r="D12" s="889"/>
      <c r="E12" s="890"/>
      <c r="F12" s="891" t="str">
        <f>'국산차 견적'!B14</f>
        <v>아반떼 1.6 가솔린</v>
      </c>
      <c r="G12" s="892"/>
      <c r="H12" s="892"/>
      <c r="I12" s="892"/>
      <c r="J12" s="892"/>
      <c r="K12" s="892"/>
      <c r="L12" s="892"/>
      <c r="M12" s="892"/>
      <c r="N12" s="892"/>
      <c r="O12" s="892"/>
      <c r="P12" s="893"/>
      <c r="Q12" s="888" t="s">
        <v>23</v>
      </c>
      <c r="R12" s="889"/>
      <c r="S12" s="889"/>
      <c r="T12" s="889"/>
      <c r="U12" s="890"/>
      <c r="V12" s="894">
        <f>'국산차 견적'!B15</f>
        <v>0</v>
      </c>
      <c r="W12" s="892"/>
      <c r="X12" s="892"/>
      <c r="Y12" s="892"/>
      <c r="Z12" s="892"/>
      <c r="AA12" s="893"/>
      <c r="AB12" s="112"/>
      <c r="AT12" s="864"/>
    </row>
    <row r="13" ht="20.5" customHeight="1" spans="2:46" x14ac:dyDescent="0.25">
      <c r="B13" s="866" t="s">
        <v>265</v>
      </c>
      <c r="C13" s="867"/>
      <c r="D13" s="867"/>
      <c r="E13" s="868"/>
      <c r="F13" s="895">
        <f>'국산차 견적'!L16</f>
        <v>0</v>
      </c>
      <c r="G13" s="896"/>
      <c r="H13" s="896"/>
      <c r="I13" s="896"/>
      <c r="J13" s="896"/>
      <c r="K13" s="896"/>
      <c r="L13" s="896"/>
      <c r="M13" s="896"/>
      <c r="N13" s="896"/>
      <c r="O13" s="896"/>
      <c r="P13" s="896"/>
      <c r="Q13" s="896"/>
      <c r="R13" s="896"/>
      <c r="S13" s="896"/>
      <c r="T13" s="896"/>
      <c r="U13" s="896"/>
      <c r="V13" s="896"/>
      <c r="W13" s="896"/>
      <c r="X13" s="896"/>
      <c r="Y13" s="896"/>
      <c r="Z13" s="896"/>
      <c r="AA13" s="897"/>
      <c r="AB13" s="112"/>
      <c r="AT13" s="864"/>
    </row>
    <row r="14" ht="20.5" customHeight="1" spans="2:46" x14ac:dyDescent="0.25">
      <c r="B14" s="878"/>
      <c r="C14" s="879"/>
      <c r="D14" s="879"/>
      <c r="E14" s="880"/>
      <c r="F14" s="898"/>
      <c r="G14" s="899"/>
      <c r="H14" s="899"/>
      <c r="I14" s="899"/>
      <c r="J14" s="899"/>
      <c r="K14" s="899"/>
      <c r="L14" s="899"/>
      <c r="M14" s="899"/>
      <c r="N14" s="899"/>
      <c r="O14" s="899"/>
      <c r="P14" s="899"/>
      <c r="Q14" s="899"/>
      <c r="R14" s="899"/>
      <c r="S14" s="899"/>
      <c r="T14" s="899"/>
      <c r="U14" s="899"/>
      <c r="V14" s="899"/>
      <c r="W14" s="899"/>
      <c r="X14" s="899"/>
      <c r="Y14" s="899"/>
      <c r="Z14" s="899"/>
      <c r="AA14" s="900"/>
      <c r="AB14" s="112"/>
      <c r="AT14" s="864"/>
    </row>
    <row r="15" ht="20.5" customHeight="1" spans="2:46" x14ac:dyDescent="0.25">
      <c r="B15" s="888" t="s">
        <v>266</v>
      </c>
      <c r="C15" s="889"/>
      <c r="D15" s="889"/>
      <c r="E15" s="890"/>
      <c r="F15" s="901" t="str">
        <f>'국산차 견적'!I15</f>
        <v>가솔린</v>
      </c>
      <c r="G15" s="892"/>
      <c r="H15" s="892"/>
      <c r="I15" s="892"/>
      <c r="J15" s="893"/>
      <c r="K15" s="873" t="s">
        <v>267</v>
      </c>
      <c r="L15" s="873"/>
      <c r="M15" s="873"/>
      <c r="N15" s="873"/>
      <c r="O15" s="902">
        <f>'국산차 견적'!F17</f>
        <v>0</v>
      </c>
      <c r="P15" s="903"/>
      <c r="Q15" s="903"/>
      <c r="R15" s="903"/>
      <c r="S15" s="873" t="s">
        <v>268</v>
      </c>
      <c r="T15" s="873"/>
      <c r="U15" s="873"/>
      <c r="V15" s="873"/>
      <c r="W15" s="902">
        <f>'국산차 견적'!L17</f>
        <v>0</v>
      </c>
      <c r="X15" s="903"/>
      <c r="Y15" s="903"/>
      <c r="Z15" s="903"/>
      <c r="AA15" s="903"/>
      <c r="AB15" s="112"/>
      <c r="AT15" s="864"/>
    </row>
    <row r="16" ht="20.5" customHeight="1" spans="2:46" x14ac:dyDescent="0.25">
      <c r="B16" s="888" t="s">
        <v>6</v>
      </c>
      <c r="C16" s="889"/>
      <c r="D16" s="889"/>
      <c r="E16" s="890"/>
      <c r="F16" s="894">
        <f>'국산차 견적'!BA15</f>
        <v>20610000</v>
      </c>
      <c r="G16" s="892"/>
      <c r="H16" s="892"/>
      <c r="I16" s="892"/>
      <c r="J16" s="893"/>
      <c r="K16" s="889" t="s">
        <v>269</v>
      </c>
      <c r="L16" s="889"/>
      <c r="M16" s="889"/>
      <c r="N16" s="890"/>
      <c r="O16" s="902">
        <f>'국산차 견적'!BA16</f>
        <v>0</v>
      </c>
      <c r="P16" s="903"/>
      <c r="Q16" s="903"/>
      <c r="R16" s="903"/>
      <c r="S16" s="904" t="s">
        <v>48</v>
      </c>
      <c r="T16" s="905"/>
      <c r="U16" s="905"/>
      <c r="V16" s="906"/>
      <c r="W16" s="902">
        <f>F16+O16</f>
        <v>20610000</v>
      </c>
      <c r="X16" s="903"/>
      <c r="Y16" s="903"/>
      <c r="Z16" s="903"/>
      <c r="AA16" s="903"/>
      <c r="AB16" s="112"/>
      <c r="AT16" s="864"/>
    </row>
    <row r="17" ht="20.5" customHeight="1" spans="2:46" x14ac:dyDescent="0.25">
      <c r="B17" s="888" t="s">
        <v>50</v>
      </c>
      <c r="C17" s="889"/>
      <c r="D17" s="889"/>
      <c r="E17" s="890"/>
      <c r="F17" s="894">
        <f>'국산차 견적'!BA18</f>
        <v>19352112.67605634</v>
      </c>
      <c r="G17" s="892"/>
      <c r="H17" s="892"/>
      <c r="I17" s="892"/>
      <c r="J17" s="893"/>
      <c r="K17" s="888" t="s">
        <v>55</v>
      </c>
      <c r="L17" s="889"/>
      <c r="M17" s="889"/>
      <c r="N17" s="890"/>
      <c r="O17" s="894">
        <f>'국산차 견적'!BC19</f>
        <v>677320</v>
      </c>
      <c r="P17" s="907"/>
      <c r="Q17" s="907"/>
      <c r="R17" s="908"/>
      <c r="S17" s="904" t="s">
        <v>63</v>
      </c>
      <c r="T17" s="905"/>
      <c r="U17" s="905"/>
      <c r="V17" s="906"/>
      <c r="W17" s="894">
        <f>'국산차 견적'!BA21</f>
        <v>18674792.67605634</v>
      </c>
      <c r="X17" s="907"/>
      <c r="Y17" s="907"/>
      <c r="Z17" s="907"/>
      <c r="AA17" s="908"/>
      <c r="AB17" s="112"/>
      <c r="AT17" s="864"/>
    </row>
    <row r="18" ht="15.65" customHeight="1" spans="2:46" x14ac:dyDescent="0.25"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112"/>
      <c r="Y18" s="112"/>
      <c r="Z18" s="112"/>
      <c r="AA18" s="112"/>
      <c r="AB18" s="112"/>
      <c r="AT18" s="864"/>
    </row>
    <row r="19" ht="26" customHeight="1" spans="2:46" x14ac:dyDescent="0.25">
      <c r="B19" s="865" t="s">
        <v>270</v>
      </c>
      <c r="C19" s="865"/>
      <c r="D19" s="865"/>
      <c r="E19" s="865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/>
      <c r="Q19" s="112"/>
      <c r="R19" s="112"/>
      <c r="S19" s="112"/>
      <c r="T19" s="112"/>
      <c r="U19" s="112"/>
      <c r="V19" s="112"/>
      <c r="W19" s="112"/>
      <c r="X19" s="112"/>
      <c r="Y19" s="112"/>
      <c r="Z19" s="112"/>
      <c r="AA19" s="112"/>
      <c r="AB19" s="112"/>
      <c r="AT19" s="864"/>
    </row>
    <row r="20" ht="20.5" customHeight="1" spans="2:46" x14ac:dyDescent="0.25">
      <c r="B20" s="909" t="s">
        <v>153</v>
      </c>
      <c r="C20" s="910"/>
      <c r="D20" s="910"/>
      <c r="E20" s="911"/>
      <c r="F20" s="912" t="s">
        <v>154</v>
      </c>
      <c r="G20" s="913"/>
      <c r="H20" s="913"/>
      <c r="I20" s="913"/>
      <c r="J20" s="914" t="str">
        <f>'국산차 견적'!AG17</f>
        <v>없음</v>
      </c>
      <c r="K20" s="915"/>
      <c r="L20" s="915"/>
      <c r="M20" s="916"/>
      <c r="N20" s="917">
        <f>'국산차 견적'!AK17</f>
        <v>0.15</v>
      </c>
      <c r="O20" s="915"/>
      <c r="P20" s="918"/>
      <c r="Q20" s="912" t="s">
        <v>155</v>
      </c>
      <c r="R20" s="913"/>
      <c r="S20" s="913"/>
      <c r="T20" s="913"/>
      <c r="U20" s="919" t="str">
        <f>'국산차 견적'!AM17</f>
        <v>없음</v>
      </c>
      <c r="V20" s="915"/>
      <c r="W20" s="915"/>
      <c r="X20" s="916"/>
      <c r="Y20" s="917">
        <f>'국산차 견적'!AQ17</f>
        <v>0.35</v>
      </c>
      <c r="Z20" s="915"/>
      <c r="AA20" s="918"/>
      <c r="AB20" s="1"/>
      <c r="AT20" s="864"/>
    </row>
    <row r="21" ht="20.5" customHeight="1" spans="2:46" x14ac:dyDescent="0.25">
      <c r="B21" s="909" t="s">
        <v>271</v>
      </c>
      <c r="C21" s="910"/>
      <c r="D21" s="910"/>
      <c r="E21" s="910"/>
      <c r="F21" s="912" t="s">
        <v>46</v>
      </c>
      <c r="G21" s="913"/>
      <c r="H21" s="913"/>
      <c r="I21" s="920"/>
      <c r="J21" s="921" t="str">
        <f>'국산차 견적'!W17</f>
        <v>없음</v>
      </c>
      <c r="K21" s="915"/>
      <c r="L21" s="915"/>
      <c r="M21" s="915"/>
      <c r="N21" s="912" t="s">
        <v>272</v>
      </c>
      <c r="O21" s="913"/>
      <c r="P21" s="913"/>
      <c r="Q21" s="913"/>
      <c r="R21" s="920"/>
      <c r="S21" s="919" t="str">
        <f>'국산차 견적'!BA44</f>
        <v>없음</v>
      </c>
      <c r="T21" s="921"/>
      <c r="U21" s="921"/>
      <c r="V21" s="921"/>
      <c r="W21" s="921"/>
      <c r="X21" s="921"/>
      <c r="Y21" s="921"/>
      <c r="Z21" s="921"/>
      <c r="AA21" s="922"/>
      <c r="AB21" s="112"/>
      <c r="AT21" s="864"/>
    </row>
    <row r="22" ht="20.5" customHeight="1" spans="2:46" x14ac:dyDescent="0.25">
      <c r="B22" s="923" t="s">
        <v>176</v>
      </c>
      <c r="C22" s="924"/>
      <c r="D22" s="924"/>
      <c r="E22" s="925"/>
      <c r="F22" s="919" t="str">
        <f>'국산차 견적'!BA44</f>
        <v>없음</v>
      </c>
      <c r="G22" s="921"/>
      <c r="H22" s="921"/>
      <c r="I22" s="921"/>
      <c r="J22" s="921"/>
      <c r="K22" s="921"/>
      <c r="L22" s="921"/>
      <c r="M22" s="921"/>
      <c r="N22" s="912" t="s">
        <v>273</v>
      </c>
      <c r="O22" s="913"/>
      <c r="P22" s="913"/>
      <c r="Q22" s="913"/>
      <c r="R22" s="920"/>
      <c r="S22" s="919"/>
      <c r="T22" s="921"/>
      <c r="U22" s="921"/>
      <c r="V22" s="921"/>
      <c r="W22" s="921"/>
      <c r="X22" s="921"/>
      <c r="Y22" s="921"/>
      <c r="Z22" s="921"/>
      <c r="AA22" s="922"/>
      <c r="AB22" s="112"/>
      <c r="AT22" s="864"/>
    </row>
    <row r="23" ht="15.65" customHeight="1" spans="2:46" x14ac:dyDescent="0.25">
      <c r="B23" s="600"/>
      <c r="C23" s="600"/>
      <c r="D23" s="600"/>
      <c r="E23" s="600"/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T23" s="864"/>
    </row>
    <row r="24" ht="26" customHeight="1" spans="2:46" x14ac:dyDescent="0.25">
      <c r="B24" s="865" t="s">
        <v>274</v>
      </c>
      <c r="C24" s="865"/>
      <c r="D24" s="865"/>
      <c r="E24" s="865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T24" s="864"/>
    </row>
    <row r="25" ht="20.5" customHeight="1" spans="2:46" x14ac:dyDescent="0.25">
      <c r="B25" s="888" t="s">
        <v>168</v>
      </c>
      <c r="C25" s="889"/>
      <c r="D25" s="889"/>
      <c r="E25" s="890"/>
      <c r="F25" s="894" t="str">
        <f>'국산차 견적'!BA42</f>
        <v>K Car(외주) 탁송</v>
      </c>
      <c r="G25" s="907"/>
      <c r="H25" s="907"/>
      <c r="I25" s="907"/>
      <c r="J25" s="907"/>
      <c r="K25" s="907"/>
      <c r="L25" s="907"/>
      <c r="M25" s="907"/>
      <c r="N25" s="907"/>
      <c r="O25" s="907"/>
      <c r="P25" s="907"/>
      <c r="Q25" s="907"/>
      <c r="R25" s="907"/>
      <c r="S25" s="926" t="s">
        <v>170</v>
      </c>
      <c r="T25" s="927"/>
      <c r="U25" s="927"/>
      <c r="V25" s="928"/>
      <c r="W25" s="907">
        <f>IF(F25="조이(외주) 탁송",'국산차 견적'!BM42,0)</f>
        <v>0</v>
      </c>
      <c r="X25" s="907"/>
      <c r="Y25" s="907"/>
      <c r="Z25" s="907"/>
      <c r="AA25" s="908"/>
      <c r="AB25" s="1"/>
      <c r="AT25" s="864"/>
    </row>
    <row r="26" ht="20.5" customHeight="1" spans="2:46" x14ac:dyDescent="0.25">
      <c r="B26" s="888" t="s">
        <v>275</v>
      </c>
      <c r="C26" s="889"/>
      <c r="D26" s="889"/>
      <c r="E26" s="889"/>
      <c r="F26" s="929" t="s">
        <v>276</v>
      </c>
      <c r="G26" s="930"/>
      <c r="H26" s="930"/>
      <c r="I26" s="930"/>
      <c r="J26" s="930"/>
      <c r="K26" s="930"/>
      <c r="L26" s="930"/>
      <c r="M26" s="930"/>
      <c r="N26" s="930"/>
      <c r="O26" s="930"/>
      <c r="P26" s="930"/>
      <c r="Q26" s="930"/>
      <c r="R26" s="930"/>
      <c r="S26" s="930"/>
      <c r="T26" s="930"/>
      <c r="U26" s="930"/>
      <c r="V26" s="930"/>
      <c r="W26" s="930"/>
      <c r="X26" s="930"/>
      <c r="Y26" s="930"/>
      <c r="Z26" s="930"/>
      <c r="AA26" s="931"/>
      <c r="AB26" s="112"/>
      <c r="AT26" s="864"/>
    </row>
    <row r="27" ht="20.5" customHeight="1" spans="2:46" x14ac:dyDescent="0.25">
      <c r="B27" s="904" t="s">
        <v>277</v>
      </c>
      <c r="C27" s="905"/>
      <c r="D27" s="905"/>
      <c r="E27" s="906"/>
      <c r="F27" s="926" t="s">
        <v>263</v>
      </c>
      <c r="G27" s="927"/>
      <c r="H27" s="927"/>
      <c r="I27" s="927"/>
      <c r="J27" s="928"/>
      <c r="K27" s="930"/>
      <c r="L27" s="930"/>
      <c r="M27" s="930"/>
      <c r="N27" s="930"/>
      <c r="O27" s="930"/>
      <c r="P27" s="926" t="s">
        <v>16</v>
      </c>
      <c r="Q27" s="927"/>
      <c r="R27" s="927"/>
      <c r="S27" s="927"/>
      <c r="T27" s="928"/>
      <c r="U27" s="930"/>
      <c r="V27" s="930"/>
      <c r="W27" s="930"/>
      <c r="X27" s="930"/>
      <c r="Y27" s="930"/>
      <c r="Z27" s="930"/>
      <c r="AA27" s="931"/>
      <c r="AB27" s="112"/>
      <c r="AT27" s="864"/>
    </row>
    <row r="28" ht="20.5" customHeight="1" spans="2:46" x14ac:dyDescent="0.25">
      <c r="B28" s="904" t="s">
        <v>278</v>
      </c>
      <c r="C28" s="905"/>
      <c r="D28" s="905"/>
      <c r="E28" s="906"/>
      <c r="F28" s="926" t="s">
        <v>263</v>
      </c>
      <c r="G28" s="927"/>
      <c r="H28" s="927"/>
      <c r="I28" s="927"/>
      <c r="J28" s="928"/>
      <c r="K28" s="930"/>
      <c r="L28" s="930"/>
      <c r="M28" s="930"/>
      <c r="N28" s="930"/>
      <c r="O28" s="930"/>
      <c r="P28" s="926" t="s">
        <v>16</v>
      </c>
      <c r="Q28" s="927"/>
      <c r="R28" s="927"/>
      <c r="S28" s="927"/>
      <c r="T28" s="928"/>
      <c r="U28" s="930"/>
      <c r="V28" s="930"/>
      <c r="W28" s="930"/>
      <c r="X28" s="930"/>
      <c r="Y28" s="930"/>
      <c r="Z28" s="930"/>
      <c r="AA28" s="931"/>
      <c r="AB28" s="112"/>
      <c r="AT28" s="864"/>
    </row>
    <row r="29" ht="20.5" customHeight="1" spans="2:46" x14ac:dyDescent="0.25">
      <c r="B29" s="873" t="s">
        <v>279</v>
      </c>
      <c r="C29" s="873"/>
      <c r="D29" s="873"/>
      <c r="E29" s="873"/>
      <c r="F29" s="932" t="s">
        <v>280</v>
      </c>
      <c r="G29" s="932"/>
      <c r="H29" s="932"/>
      <c r="I29" s="932"/>
      <c r="J29" s="932"/>
      <c r="K29" s="932" t="s">
        <v>281</v>
      </c>
      <c r="L29" s="932"/>
      <c r="M29" s="932"/>
      <c r="N29" s="932"/>
      <c r="O29" s="932"/>
      <c r="P29" s="932" t="s">
        <v>224</v>
      </c>
      <c r="Q29" s="932"/>
      <c r="R29" s="932"/>
      <c r="S29" s="932"/>
      <c r="T29" s="932"/>
      <c r="U29" s="932" t="s">
        <v>273</v>
      </c>
      <c r="V29" s="932"/>
      <c r="W29" s="932"/>
      <c r="X29" s="932"/>
      <c r="Y29" s="932"/>
      <c r="Z29" s="932"/>
      <c r="AA29" s="932"/>
      <c r="AB29" s="112"/>
      <c r="AT29" s="864"/>
    </row>
    <row r="30" ht="20.5" customHeight="1" spans="2:46" x14ac:dyDescent="0.25">
      <c r="B30" s="873"/>
      <c r="C30" s="873"/>
      <c r="D30" s="873"/>
      <c r="E30" s="873"/>
      <c r="F30" s="933">
        <v>1012345678</v>
      </c>
      <c r="G30" s="933"/>
      <c r="H30" s="933"/>
      <c r="I30" s="933"/>
      <c r="J30" s="933"/>
      <c r="K30" s="934">
        <v>1012345678</v>
      </c>
      <c r="L30" s="935"/>
      <c r="M30" s="935"/>
      <c r="N30" s="935"/>
      <c r="O30" s="936"/>
      <c r="P30" s="934">
        <v>1056789870</v>
      </c>
      <c r="Q30" s="935"/>
      <c r="R30" s="935"/>
      <c r="S30" s="935"/>
      <c r="T30" s="936"/>
      <c r="U30" s="934"/>
      <c r="V30" s="935"/>
      <c r="W30" s="935"/>
      <c r="X30" s="935"/>
      <c r="Y30" s="935"/>
      <c r="Z30" s="935"/>
      <c r="AA30" s="936"/>
      <c r="AB30" s="112"/>
      <c r="AT30" s="864"/>
    </row>
    <row r="31" ht="15.65" customHeight="1" spans="2:46" x14ac:dyDescent="0.25"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T31" s="864"/>
    </row>
    <row r="32" ht="26" customHeight="1" spans="2:46" x14ac:dyDescent="0.25">
      <c r="B32" s="865" t="s">
        <v>282</v>
      </c>
      <c r="C32" s="865"/>
      <c r="D32" s="865"/>
      <c r="E32" s="865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T32" s="864"/>
    </row>
    <row r="33" ht="20.5" customHeight="1" spans="2:46" x14ac:dyDescent="0.25">
      <c r="B33" s="888" t="s">
        <v>283</v>
      </c>
      <c r="C33" s="889"/>
      <c r="D33" s="889"/>
      <c r="E33" s="890"/>
      <c r="F33" s="937"/>
      <c r="G33" s="938"/>
      <c r="H33" s="938"/>
      <c r="I33" s="938"/>
      <c r="J33" s="938"/>
      <c r="K33" s="938"/>
      <c r="L33" s="938"/>
      <c r="M33" s="938"/>
      <c r="N33" s="938"/>
      <c r="O33" s="938"/>
      <c r="P33" s="938"/>
      <c r="Q33" s="938"/>
      <c r="R33" s="938"/>
      <c r="S33" s="938"/>
      <c r="T33" s="938"/>
      <c r="U33" s="938"/>
      <c r="V33" s="938"/>
      <c r="W33" s="938"/>
      <c r="X33" s="938"/>
      <c r="Y33" s="938"/>
      <c r="Z33" s="938"/>
      <c r="AA33" s="939"/>
      <c r="AB33" s="1"/>
      <c r="AT33" s="864"/>
    </row>
    <row r="34" ht="20.5" customHeight="1" spans="2:46" s="1" customFormat="1" x14ac:dyDescent="0.25">
      <c r="B34" s="940"/>
      <c r="C34" s="940"/>
      <c r="D34" s="940"/>
      <c r="E34" s="940"/>
      <c r="F34" s="440"/>
      <c r="G34" s="440"/>
      <c r="H34" s="440"/>
      <c r="I34" s="440"/>
      <c r="J34" s="440"/>
      <c r="K34" s="440"/>
      <c r="L34" s="440"/>
      <c r="M34" s="440"/>
      <c r="N34" s="440"/>
      <c r="O34" s="440"/>
      <c r="P34" s="440"/>
      <c r="Q34" s="440"/>
      <c r="R34" s="440"/>
      <c r="S34" s="440"/>
      <c r="T34" s="440"/>
      <c r="U34" s="440"/>
      <c r="V34" s="440"/>
      <c r="W34" s="440"/>
      <c r="X34" s="440"/>
      <c r="Y34" s="440"/>
      <c r="Z34" s="440"/>
      <c r="AA34" s="440"/>
      <c r="AB34" s="1"/>
      <c r="AT34" s="941"/>
    </row>
    <row r="35" ht="20.5" customHeight="1" spans="2:46" s="1" customFormat="1" x14ac:dyDescent="0.25">
      <c r="B35" s="940" t="s">
        <v>284</v>
      </c>
      <c r="C35" s="940"/>
      <c r="D35" s="940"/>
      <c r="E35" s="940"/>
      <c r="F35" s="940"/>
      <c r="G35" s="940"/>
      <c r="H35" s="940"/>
      <c r="I35" s="940"/>
      <c r="J35" s="940"/>
      <c r="K35" s="940"/>
      <c r="L35" s="940"/>
      <c r="M35" s="940"/>
      <c r="N35" s="940"/>
      <c r="O35" s="940"/>
      <c r="P35" s="940"/>
      <c r="Q35" s="940"/>
      <c r="R35" s="940"/>
      <c r="S35" s="940"/>
      <c r="T35" s="940"/>
      <c r="U35" s="940"/>
      <c r="V35" s="940"/>
      <c r="W35" s="940"/>
      <c r="X35" s="940"/>
      <c r="Y35" s="940"/>
      <c r="Z35" s="940"/>
      <c r="AA35" s="940"/>
      <c r="AB35" s="1"/>
      <c r="AT35" s="941"/>
    </row>
    <row r="36" ht="20.5" customHeight="1" spans="2:46" s="1" customFormat="1" x14ac:dyDescent="0.25">
      <c r="B36" s="940"/>
      <c r="C36" s="940"/>
      <c r="D36" s="940"/>
      <c r="E36" s="940"/>
      <c r="F36" s="440"/>
      <c r="G36" s="440"/>
      <c r="H36" s="440"/>
      <c r="I36" s="440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1"/>
      <c r="AT36" s="941"/>
    </row>
    <row r="37" ht="20.5" customHeight="1" spans="2:46" s="1" customFormat="1" x14ac:dyDescent="0.25">
      <c r="B37" s="940"/>
      <c r="C37" s="940"/>
      <c r="D37" s="940"/>
      <c r="E37" s="940"/>
      <c r="F37" s="440"/>
      <c r="G37" s="440"/>
      <c r="H37" s="440"/>
      <c r="I37" s="440"/>
      <c r="J37" s="440"/>
      <c r="K37" s="440"/>
      <c r="L37" s="440"/>
      <c r="M37" s="942">
        <f>TODAY()</f>
        <v>44961</v>
      </c>
      <c r="N37" s="943"/>
      <c r="O37" s="943"/>
      <c r="P37" s="943"/>
      <c r="Q37" s="943"/>
      <c r="R37" s="943"/>
      <c r="S37" s="944" t="s">
        <v>285</v>
      </c>
      <c r="T37" s="945"/>
      <c r="U37" s="945"/>
      <c r="V37" s="946"/>
      <c r="W37" s="947"/>
      <c r="X37" s="947"/>
      <c r="Y37" s="947"/>
      <c r="Z37" s="947"/>
      <c r="AA37" s="947"/>
      <c r="AB37" s="1"/>
      <c r="AT37" s="941"/>
    </row>
    <row r="44" ht="17.5" customHeight="1" spans="2:45" x14ac:dyDescent="0.25">
      <c r="B44" s="948"/>
      <c r="C44" s="948"/>
      <c r="D44" s="948"/>
      <c r="E44" s="948"/>
      <c r="F44" s="948"/>
      <c r="G44" s="948"/>
      <c r="H44" s="948"/>
      <c r="I44" s="948"/>
      <c r="J44" s="948"/>
      <c r="K44" s="948"/>
      <c r="L44" s="948"/>
      <c r="M44" s="948"/>
      <c r="N44" s="948"/>
      <c r="O44" s="948"/>
      <c r="P44" s="948"/>
      <c r="Q44" s="948"/>
      <c r="R44" s="948"/>
      <c r="S44" s="948"/>
      <c r="T44" s="948"/>
      <c r="U44" s="948"/>
      <c r="V44" s="948"/>
      <c r="W44" s="948"/>
      <c r="X44" s="948"/>
      <c r="Y44" s="948"/>
      <c r="Z44" s="948"/>
      <c r="AA44" s="948"/>
      <c r="AB44" s="948"/>
      <c r="AC44" s="948"/>
      <c r="AD44" s="948"/>
      <c r="AE44" s="948"/>
      <c r="AF44" s="948"/>
      <c r="AG44" s="948"/>
      <c r="AH44" s="948"/>
      <c r="AI44" s="948"/>
      <c r="AJ44" s="948"/>
      <c r="AK44" s="948"/>
      <c r="AL44" s="948"/>
      <c r="AM44" s="948"/>
      <c r="AN44" s="948"/>
      <c r="AO44" s="948"/>
      <c r="AP44" s="948"/>
      <c r="AQ44" s="948"/>
      <c r="AR44" s="948"/>
      <c r="AS44" s="948"/>
    </row>
    <row r="45" ht="17.5" customHeight="1" spans="2:45" x14ac:dyDescent="0.25">
      <c r="B45" s="948"/>
      <c r="C45" s="948"/>
      <c r="D45" s="948"/>
      <c r="E45" s="948"/>
      <c r="F45" s="948"/>
      <c r="G45" s="948"/>
      <c r="H45" s="948"/>
      <c r="I45" s="948"/>
      <c r="J45" s="948"/>
      <c r="K45" s="948"/>
      <c r="L45" s="948"/>
      <c r="M45" s="948"/>
      <c r="N45" s="948"/>
      <c r="O45" s="948"/>
      <c r="P45" s="948"/>
      <c r="Q45" s="948"/>
      <c r="R45" s="948"/>
      <c r="S45" s="948"/>
      <c r="T45" s="948"/>
      <c r="U45" s="948"/>
      <c r="V45" s="948"/>
      <c r="W45" s="948"/>
      <c r="X45" s="948"/>
      <c r="Y45" s="948"/>
      <c r="Z45" s="948"/>
      <c r="AA45" s="948"/>
      <c r="AB45" s="948"/>
      <c r="AC45" s="948"/>
      <c r="AD45" s="948"/>
      <c r="AE45" s="948"/>
      <c r="AF45" s="948"/>
      <c r="AG45" s="948"/>
      <c r="AH45" s="948"/>
      <c r="AI45" s="948"/>
      <c r="AJ45" s="948"/>
      <c r="AK45" s="948"/>
      <c r="AL45" s="948"/>
      <c r="AM45" s="948"/>
      <c r="AN45" s="948"/>
      <c r="AO45" s="948"/>
      <c r="AP45" s="948"/>
      <c r="AQ45" s="948"/>
      <c r="AR45" s="948"/>
      <c r="AS45" s="948"/>
    </row>
  </sheetData>
  <mergeCells count="84">
    <mergeCell ref="B5:AA5"/>
    <mergeCell ref="B7:E7"/>
    <mergeCell ref="B8:F9"/>
    <mergeCell ref="G8:P9"/>
    <mergeCell ref="Q8:S9"/>
    <mergeCell ref="T8:V8"/>
    <mergeCell ref="W8:AA8"/>
    <mergeCell ref="T9:V9"/>
    <mergeCell ref="W9:AA9"/>
    <mergeCell ref="B11:E11"/>
    <mergeCell ref="B12:E12"/>
    <mergeCell ref="F12:P12"/>
    <mergeCell ref="Q12:U12"/>
    <mergeCell ref="V12:AA12"/>
    <mergeCell ref="B13:E14"/>
    <mergeCell ref="F13:AA14"/>
    <mergeCell ref="B15:E15"/>
    <mergeCell ref="F15:J15"/>
    <mergeCell ref="K15:N15"/>
    <mergeCell ref="O15:R15"/>
    <mergeCell ref="S15:V15"/>
    <mergeCell ref="W15:AA15"/>
    <mergeCell ref="B16:E16"/>
    <mergeCell ref="F16:J16"/>
    <mergeCell ref="K16:N16"/>
    <mergeCell ref="O16:R16"/>
    <mergeCell ref="S16:V16"/>
    <mergeCell ref="W16:AA16"/>
    <mergeCell ref="B17:E17"/>
    <mergeCell ref="F17:J17"/>
    <mergeCell ref="K17:N17"/>
    <mergeCell ref="O17:R17"/>
    <mergeCell ref="S17:V17"/>
    <mergeCell ref="W17:AA17"/>
    <mergeCell ref="B19:E19"/>
    <mergeCell ref="B20:E20"/>
    <mergeCell ref="F20:I20"/>
    <mergeCell ref="J20:M20"/>
    <mergeCell ref="N20:P20"/>
    <mergeCell ref="Q20:T20"/>
    <mergeCell ref="U20:X20"/>
    <mergeCell ref="Y20:AA20"/>
    <mergeCell ref="B21:E21"/>
    <mergeCell ref="F21:I21"/>
    <mergeCell ref="J21:M21"/>
    <mergeCell ref="N21:R21"/>
    <mergeCell ref="S21:AA21"/>
    <mergeCell ref="B22:E22"/>
    <mergeCell ref="F22:M22"/>
    <mergeCell ref="N22:R22"/>
    <mergeCell ref="S22:AA22"/>
    <mergeCell ref="B24:E24"/>
    <mergeCell ref="B25:E25"/>
    <mergeCell ref="F25:R25"/>
    <mergeCell ref="S25:V25"/>
    <mergeCell ref="W25:AA25"/>
    <mergeCell ref="B26:E26"/>
    <mergeCell ref="F26:AA26"/>
    <mergeCell ref="B27:E27"/>
    <mergeCell ref="F27:J27"/>
    <mergeCell ref="K27:O27"/>
    <mergeCell ref="P27:T27"/>
    <mergeCell ref="U27:AA27"/>
    <mergeCell ref="B28:E28"/>
    <mergeCell ref="F28:J28"/>
    <mergeCell ref="K28:O28"/>
    <mergeCell ref="P28:T28"/>
    <mergeCell ref="U28:AA28"/>
    <mergeCell ref="B29:E30"/>
    <mergeCell ref="F29:J29"/>
    <mergeCell ref="K29:O29"/>
    <mergeCell ref="P29:T29"/>
    <mergeCell ref="U29:AA29"/>
    <mergeCell ref="F30:J30"/>
    <mergeCell ref="K30:O30"/>
    <mergeCell ref="P30:T30"/>
    <mergeCell ref="U30:AA30"/>
    <mergeCell ref="B32:E32"/>
    <mergeCell ref="B33:E33"/>
    <mergeCell ref="F33:AA33"/>
    <mergeCell ref="B35:AA35"/>
    <mergeCell ref="M37:R37"/>
    <mergeCell ref="S37:U37"/>
    <mergeCell ref="W37:AA37"/>
  </mergeCells>
  <pageMargins left="0.7086614173228347" right="0.5118110236220472" top="0.7480314960629921" bottom="0.7480314960629921" header="0.31496062992125984" footer="0.31496062992125984"/>
  <pageSetup paperSize="9" orientation="portrait" horizontalDpi="4294967295" verticalDpi="4294967295" scale="93" fitToWidth="1" fitToHeight="1" firstPageNumber="1" useFirstPageNumber="1" copies="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FZ126"/>
  <sheetViews>
    <sheetView workbookViewId="0" zoomScale="70" zoomScaleNormal="70">
      <selection activeCell="CB48" sqref="CB48"/>
    </sheetView>
  </sheetViews>
  <sheetFormatPr defaultRowHeight="17" outlineLevelRow="0" outlineLevelCol="0" x14ac:dyDescent="0" defaultColWidth="8.75" customHeight="1"/>
  <cols>
    <col min="1" max="1" width="1.75" style="1" customWidth="1"/>
    <col min="2" max="44" width="3.25" style="1" customWidth="1"/>
    <col min="45" max="45" width="2.83203125" style="2" customWidth="1"/>
    <col min="46" max="46" width="3.25" style="2" customWidth="1"/>
    <col min="47" max="47" width="2.58203125" style="2" customWidth="1"/>
    <col min="48" max="48" width="1.75" style="2" customWidth="1"/>
    <col min="49" max="49" width="3.5" style="2" customWidth="1"/>
    <col min="50" max="50" width="3.58203125" style="2" customWidth="1"/>
    <col min="51" max="58" width="3.5" style="2" customWidth="1"/>
    <col min="59" max="60" width="1.75" style="2" customWidth="1"/>
    <col min="61" max="70" width="3.5" style="2" customWidth="1"/>
    <col min="71" max="72" width="1.75" style="2" customWidth="1"/>
    <col min="73" max="82" width="3.5" style="2" customWidth="1"/>
    <col min="83" max="83" width="1.58203125" style="2" customWidth="1"/>
    <col min="84" max="85" width="2.58203125" style="2" customWidth="1"/>
    <col min="86" max="88" width="3.08203125" style="1" customWidth="1"/>
    <col min="89" max="92" width="4" style="3" customWidth="1"/>
    <col min="93" max="93" width="9.25" style="3" customWidth="1"/>
    <col min="94" max="101" width="4" style="3" customWidth="1"/>
    <col min="102" max="102" width="13.5" style="4" customWidth="1"/>
    <col min="103" max="104" width="13.5" style="1" customWidth="1"/>
    <col min="105" max="108" width="4" style="3" customWidth="1"/>
    <col min="109" max="109" width="6" style="3" customWidth="1"/>
    <col min="110" max="117" width="4" style="3" customWidth="1"/>
    <col min="118" max="118" width="13.5" style="4" customWidth="1"/>
    <col min="119" max="120" width="13.5" style="5" customWidth="1"/>
    <col min="121" max="124" width="4" style="3" customWidth="1"/>
    <col min="125" max="125" width="6" style="3" customWidth="1"/>
    <col min="126" max="133" width="4" style="3" customWidth="1"/>
    <col min="134" max="136" width="13.5" style="1" customWidth="1"/>
    <col min="137" max="144" width="4" style="1" customWidth="1"/>
    <col min="145" max="146" width="3.58203125" style="1" customWidth="1"/>
    <col min="147" max="147" width="17.5" style="1" customWidth="1"/>
    <col min="148" max="148" width="8.33203125" style="1" customWidth="1"/>
    <col min="149" max="149" width="9" style="1" customWidth="1"/>
    <col min="150" max="150" width="4" style="1" customWidth="1"/>
    <col min="151" max="151" width="1.75" style="1" customWidth="1"/>
    <col min="152" max="155" width="4" style="1" customWidth="1"/>
    <col min="156" max="156" width="9.58203125" style="1" customWidth="1"/>
    <col min="157" max="157" width="9.08203125" style="1" customWidth="1"/>
    <col min="158" max="160" width="4" style="1" customWidth="1"/>
    <col min="161" max="161" width="6.25" style="1" customWidth="1"/>
    <col min="162" max="162" width="10.08203125" style="1" customWidth="1"/>
    <col min="163" max="163" width="15.75" style="1" customWidth="1"/>
    <col min="164" max="165" width="14.75" style="1" customWidth="1"/>
    <col min="166" max="168" width="17.25" style="1" customWidth="1"/>
    <col min="169" max="170" width="11.08203125" style="1" customWidth="1"/>
    <col min="171" max="172" width="14.75" style="1" customWidth="1"/>
    <col min="173" max="175" width="17.25" style="1" customWidth="1"/>
    <col min="176" max="177" width="8.33203125" style="1" customWidth="1"/>
    <col min="178" max="179" width="14.75" style="1" customWidth="1"/>
    <col min="180" max="182" width="17.25" style="1" customWidth="1"/>
    <col min="183" max="16384" width="8.75" style="1" customWidth="1"/>
  </cols>
  <sheetData>
    <row r="1" spans="1:44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ht="6.65" customHeight="1" spans="1:8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X2" s="6" t="s">
        <v>0</v>
      </c>
      <c r="AY2" s="6"/>
      <c r="AZ2" s="6"/>
      <c r="BA2" s="6"/>
      <c r="BB2" s="6"/>
      <c r="BC2" s="6"/>
      <c r="BD2" s="6"/>
      <c r="BE2" s="6"/>
      <c r="BJ2" s="6" t="s">
        <v>1</v>
      </c>
      <c r="BK2" s="6"/>
      <c r="BL2" s="6"/>
      <c r="BM2" s="6"/>
      <c r="BN2" s="6"/>
      <c r="BO2" s="6"/>
      <c r="BP2" s="6"/>
      <c r="BQ2" s="6"/>
      <c r="BV2" s="6" t="s">
        <v>2</v>
      </c>
      <c r="BW2" s="6"/>
      <c r="BX2" s="6"/>
      <c r="BY2" s="6"/>
      <c r="BZ2" s="6"/>
      <c r="CA2" s="6"/>
      <c r="CB2" s="6"/>
      <c r="CC2" s="6"/>
    </row>
    <row r="3" ht="25.9" customHeight="1" spans="1:125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X3" s="6"/>
      <c r="AY3" s="6"/>
      <c r="AZ3" s="6"/>
      <c r="BA3" s="6"/>
      <c r="BB3" s="6"/>
      <c r="BC3" s="6"/>
      <c r="BD3" s="6"/>
      <c r="BE3" s="6"/>
      <c r="BJ3" s="6"/>
      <c r="BK3" s="6"/>
      <c r="BL3" s="6"/>
      <c r="BM3" s="6"/>
      <c r="BN3" s="6"/>
      <c r="BO3" s="6"/>
      <c r="BP3" s="6"/>
      <c r="BQ3" s="6"/>
      <c r="BV3" s="6"/>
      <c r="BW3" s="6"/>
      <c r="BX3" s="6"/>
      <c r="BY3" s="6"/>
      <c r="BZ3" s="6"/>
      <c r="CA3" s="6"/>
      <c r="CB3" s="6"/>
      <c r="CC3" s="6"/>
      <c r="CK3" s="7" t="s">
        <v>0</v>
      </c>
      <c r="CL3" s="7"/>
      <c r="CM3" s="7"/>
      <c r="CN3" s="7"/>
      <c r="CO3" s="7"/>
      <c r="DA3" s="7" t="s">
        <v>1</v>
      </c>
      <c r="DB3" s="7"/>
      <c r="DC3" s="7"/>
      <c r="DD3" s="7"/>
      <c r="DE3" s="7"/>
      <c r="DQ3" s="7" t="s">
        <v>2</v>
      </c>
      <c r="DR3" s="7"/>
      <c r="DS3" s="7"/>
      <c r="DT3" s="7"/>
      <c r="DU3" s="7"/>
    </row>
    <row r="4" ht="19.15" customHeight="1" spans="1:81" x14ac:dyDescent="0.25">
      <c r="A4" s="2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2"/>
      <c r="AX4" s="9"/>
      <c r="AY4" s="9"/>
      <c r="AZ4" s="9"/>
      <c r="BA4" s="9"/>
      <c r="BB4" s="9"/>
      <c r="BC4" s="9"/>
      <c r="BD4" s="9"/>
      <c r="BE4" s="9"/>
      <c r="BJ4" s="9"/>
      <c r="BK4" s="9"/>
      <c r="BL4" s="9"/>
      <c r="BM4" s="9"/>
      <c r="BN4" s="9"/>
      <c r="BO4" s="9"/>
      <c r="BP4" s="9"/>
      <c r="BQ4" s="9"/>
      <c r="BV4" s="9"/>
      <c r="BW4" s="9"/>
      <c r="BX4" s="9"/>
      <c r="BY4" s="9"/>
      <c r="BZ4" s="9"/>
      <c r="CA4" s="9"/>
      <c r="CB4" s="9"/>
      <c r="CC4" s="9"/>
    </row>
    <row r="5" ht="19.15" customHeight="1" spans="1:136" x14ac:dyDescent="0.25">
      <c r="A5" s="2"/>
      <c r="B5" s="10" t="s">
        <v>3</v>
      </c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1"/>
      <c r="AX5" s="12" t="s">
        <v>4</v>
      </c>
      <c r="AY5" s="12"/>
      <c r="AZ5" s="12"/>
      <c r="BA5" s="13">
        <v>0.035</v>
      </c>
      <c r="BB5" s="13"/>
      <c r="BC5" s="14" t="str">
        <f>IF(BA5=1.5%,"(~6월까지)","(7월부터~)")</f>
        <v>(7월부터~)</v>
      </c>
      <c r="BD5" s="14"/>
      <c r="BE5" s="14"/>
      <c r="BJ5" s="15" t="s">
        <v>4</v>
      </c>
      <c r="BK5" s="15"/>
      <c r="BL5" s="15"/>
      <c r="BM5" s="13">
        <v>0.035</v>
      </c>
      <c r="BN5" s="13"/>
      <c r="BO5" s="14" t="str">
        <f>IF(BM5=1.5%,"(~6월까지)","(7월부터~)")</f>
        <v>(7월부터~)</v>
      </c>
      <c r="BP5" s="14"/>
      <c r="BQ5" s="14"/>
      <c r="BV5" s="15" t="s">
        <v>4</v>
      </c>
      <c r="BW5" s="15"/>
      <c r="BX5" s="15"/>
      <c r="BY5" s="13">
        <v>0.035</v>
      </c>
      <c r="BZ5" s="13"/>
      <c r="CA5" s="14" t="str">
        <f>IF(BY5=1.5%,"(~6월까지)","(7월부터~)")</f>
        <v>(7월부터~)</v>
      </c>
      <c r="CB5" s="14"/>
      <c r="CC5" s="14"/>
      <c r="CK5" s="16" t="s">
        <v>5</v>
      </c>
      <c r="CL5" s="17"/>
      <c r="CM5" s="18"/>
      <c r="CN5" s="19" t="s">
        <v>6</v>
      </c>
      <c r="CO5" s="20"/>
      <c r="CP5" s="20"/>
      <c r="CQ5" s="21"/>
      <c r="CR5" s="22">
        <f>BA15</f>
        <v>20610000</v>
      </c>
      <c r="CS5" s="23"/>
      <c r="CT5" s="23"/>
      <c r="CU5" s="23"/>
      <c r="CV5" s="23"/>
      <c r="CW5" s="24"/>
      <c r="CX5" s="25"/>
      <c r="CY5" s="26"/>
      <c r="CZ5" s="26"/>
      <c r="DA5" s="16" t="s">
        <v>5</v>
      </c>
      <c r="DB5" s="17"/>
      <c r="DC5" s="18"/>
      <c r="DD5" s="19" t="s">
        <v>6</v>
      </c>
      <c r="DE5" s="20"/>
      <c r="DF5" s="20"/>
      <c r="DG5" s="21"/>
      <c r="DH5" s="22">
        <f>IF(BP8="Y",BM15,CR5)</f>
        <v>20610000</v>
      </c>
      <c r="DI5" s="23"/>
      <c r="DJ5" s="23"/>
      <c r="DK5" s="23"/>
      <c r="DL5" s="23"/>
      <c r="DM5" s="24"/>
      <c r="DN5" s="25"/>
      <c r="DO5" s="25"/>
      <c r="DP5" s="26"/>
      <c r="DQ5" s="16" t="s">
        <v>5</v>
      </c>
      <c r="DR5" s="17"/>
      <c r="DS5" s="18"/>
      <c r="DT5" s="19" t="s">
        <v>6</v>
      </c>
      <c r="DU5" s="20"/>
      <c r="DV5" s="20"/>
      <c r="DW5" s="21"/>
      <c r="DX5" s="22">
        <f>IF(CB8="Y",BY15,CR5)</f>
        <v>20610000</v>
      </c>
      <c r="DY5" s="23"/>
      <c r="DZ5" s="23"/>
      <c r="EA5" s="23"/>
      <c r="EB5" s="23"/>
      <c r="EC5" s="24"/>
      <c r="ED5" s="26"/>
      <c r="EE5" s="26"/>
      <c r="EF5" s="26"/>
    </row>
    <row r="6" ht="19.15" customHeight="1" spans="1:136" x14ac:dyDescent="0.25">
      <c r="A6" s="2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1"/>
      <c r="AX6" s="27"/>
      <c r="AY6" s="27"/>
      <c r="AZ6" s="27"/>
      <c r="BA6" s="28">
        <v>0.05</v>
      </c>
      <c r="BB6" s="28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8">
        <v>0.05</v>
      </c>
      <c r="BN6" s="28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8">
        <v>0.05</v>
      </c>
      <c r="BZ6" s="28"/>
      <c r="CA6" s="27"/>
      <c r="CB6" s="27"/>
      <c r="CC6" s="27"/>
      <c r="CD6" s="27"/>
      <c r="CK6" s="29"/>
      <c r="CL6" s="30"/>
      <c r="CM6" s="30"/>
      <c r="CN6" s="31" t="s">
        <v>7</v>
      </c>
      <c r="CO6" s="32"/>
      <c r="CP6" s="32"/>
      <c r="CQ6" s="33"/>
      <c r="CR6" s="34">
        <f>BA16</f>
        <v>0</v>
      </c>
      <c r="CS6" s="35"/>
      <c r="CT6" s="35"/>
      <c r="CU6" s="35"/>
      <c r="CV6" s="35"/>
      <c r="CW6" s="36"/>
      <c r="CX6" s="25"/>
      <c r="CY6" s="26"/>
      <c r="CZ6" s="26"/>
      <c r="DA6" s="29"/>
      <c r="DB6" s="30"/>
      <c r="DC6" s="30"/>
      <c r="DD6" s="31" t="s">
        <v>7</v>
      </c>
      <c r="DE6" s="32"/>
      <c r="DF6" s="32"/>
      <c r="DG6" s="33"/>
      <c r="DH6" s="34">
        <f>IF(BP8="Y",BM16,CR6)</f>
        <v>0</v>
      </c>
      <c r="DI6" s="35"/>
      <c r="DJ6" s="35"/>
      <c r="DK6" s="35"/>
      <c r="DL6" s="35"/>
      <c r="DM6" s="36"/>
      <c r="DN6" s="25"/>
      <c r="DO6" s="25"/>
      <c r="DP6" s="26"/>
      <c r="DQ6" s="29"/>
      <c r="DR6" s="30"/>
      <c r="DS6" s="30"/>
      <c r="DT6" s="31" t="s">
        <v>7</v>
      </c>
      <c r="DU6" s="32"/>
      <c r="DV6" s="32"/>
      <c r="DW6" s="33"/>
      <c r="DX6" s="34">
        <f>IF(CB8="Y",BY16,CR6)</f>
        <v>0</v>
      </c>
      <c r="DY6" s="35"/>
      <c r="DZ6" s="35"/>
      <c r="EA6" s="35"/>
      <c r="EB6" s="35"/>
      <c r="EC6" s="36"/>
      <c r="ED6" s="26"/>
      <c r="EE6" s="26"/>
      <c r="EF6" s="26"/>
    </row>
    <row r="7" ht="19.15" customHeight="1" spans="1:136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V7" s="37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9"/>
      <c r="BH7" s="40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9"/>
      <c r="BT7" s="40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41"/>
      <c r="CK7" s="29"/>
      <c r="CL7" s="30"/>
      <c r="CM7" s="30"/>
      <c r="CN7" s="42" t="s">
        <v>8</v>
      </c>
      <c r="CO7" s="43"/>
      <c r="CP7" s="43"/>
      <c r="CQ7" s="44"/>
      <c r="CR7" s="45">
        <f>BA18</f>
        <v>19352112.67605634</v>
      </c>
      <c r="CS7" s="45"/>
      <c r="CT7" s="45"/>
      <c r="CU7" s="45"/>
      <c r="CV7" s="45"/>
      <c r="CW7" s="46"/>
      <c r="CX7" s="25"/>
      <c r="CY7" s="26"/>
      <c r="CZ7" s="26"/>
      <c r="DA7" s="29"/>
      <c r="DB7" s="30"/>
      <c r="DC7" s="30"/>
      <c r="DD7" s="42" t="s">
        <v>8</v>
      </c>
      <c r="DE7" s="43"/>
      <c r="DF7" s="43"/>
      <c r="DG7" s="44"/>
      <c r="DH7" s="45">
        <f>IF(BP8="Y",BM18,CR7)</f>
        <v>19352112.67605634</v>
      </c>
      <c r="DI7" s="45"/>
      <c r="DJ7" s="45"/>
      <c r="DK7" s="45"/>
      <c r="DL7" s="45"/>
      <c r="DM7" s="46"/>
      <c r="DN7" s="25"/>
      <c r="DO7" s="25"/>
      <c r="DP7" s="26"/>
      <c r="DQ7" s="29"/>
      <c r="DR7" s="30"/>
      <c r="DS7" s="30"/>
      <c r="DT7" s="42" t="s">
        <v>8</v>
      </c>
      <c r="DU7" s="43"/>
      <c r="DV7" s="43"/>
      <c r="DW7" s="44"/>
      <c r="DX7" s="45">
        <f>IF(CB8="Y",BY18,CR7)</f>
        <v>19352112.67605634</v>
      </c>
      <c r="DY7" s="45"/>
      <c r="DZ7" s="45"/>
      <c r="EA7" s="45"/>
      <c r="EB7" s="45"/>
      <c r="EC7" s="46"/>
      <c r="ED7" s="26"/>
      <c r="EE7" s="26"/>
      <c r="EF7" s="26"/>
    </row>
    <row r="8" ht="19.15" customHeight="1" spans="2:136" x14ac:dyDescent="0.25">
      <c r="B8" s="47" t="s">
        <v>9</v>
      </c>
      <c r="C8" s="47"/>
      <c r="D8" s="47"/>
      <c r="E8" s="47"/>
      <c r="F8" s="47"/>
      <c r="G8" s="48" t="s">
        <v>10</v>
      </c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7" t="s">
        <v>11</v>
      </c>
      <c r="X8" s="47"/>
      <c r="Y8" s="47"/>
      <c r="Z8" s="47"/>
      <c r="AA8" s="47"/>
      <c r="AB8" s="49" t="s">
        <v>12</v>
      </c>
      <c r="AC8" s="49"/>
      <c r="AD8" s="49"/>
      <c r="AE8" s="49"/>
      <c r="AF8" s="49"/>
      <c r="AG8" s="50"/>
      <c r="AH8" s="51"/>
      <c r="AI8" s="52"/>
      <c r="AJ8" s="52"/>
      <c r="AK8" s="52"/>
      <c r="AL8" s="52"/>
      <c r="AM8" s="52"/>
      <c r="AN8" s="52"/>
      <c r="AO8" s="52"/>
      <c r="AP8" s="52"/>
      <c r="AQ8" s="52"/>
      <c r="AR8" s="53"/>
      <c r="AV8" s="54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6"/>
      <c r="BH8" s="57"/>
      <c r="BI8" s="55"/>
      <c r="BJ8" s="55"/>
      <c r="BK8" s="55"/>
      <c r="BL8" s="55"/>
      <c r="BM8" s="58" t="s">
        <v>13</v>
      </c>
      <c r="BN8" s="59"/>
      <c r="BO8" s="60"/>
      <c r="BP8" s="61" t="s">
        <v>14</v>
      </c>
      <c r="BQ8" s="62"/>
      <c r="BR8" s="63"/>
      <c r="BS8" s="64"/>
      <c r="BT8" s="57"/>
      <c r="BU8" s="55"/>
      <c r="BV8" s="55"/>
      <c r="BW8" s="55"/>
      <c r="BX8" s="55"/>
      <c r="BY8" s="58" t="s">
        <v>13</v>
      </c>
      <c r="BZ8" s="59"/>
      <c r="CA8" s="60"/>
      <c r="CB8" s="61" t="s">
        <v>14</v>
      </c>
      <c r="CC8" s="62"/>
      <c r="CD8" s="63"/>
      <c r="CE8" s="65"/>
      <c r="CK8" s="29"/>
      <c r="CL8" s="30"/>
      <c r="CM8" s="30"/>
      <c r="CN8" s="66" t="s">
        <v>15</v>
      </c>
      <c r="CO8" s="66"/>
      <c r="CP8" s="66"/>
      <c r="CQ8" s="66"/>
      <c r="CR8" s="67">
        <f>IF(AW20="특판",BA19,0)</f>
        <v>0.035</v>
      </c>
      <c r="CS8" s="68"/>
      <c r="CT8" s="69">
        <f>IF(AW20="특판",BC19,0)</f>
        <v>677320</v>
      </c>
      <c r="CU8" s="69"/>
      <c r="CV8" s="69"/>
      <c r="CW8" s="70"/>
      <c r="CX8" s="25"/>
      <c r="CY8" s="26"/>
      <c r="CZ8" s="26"/>
      <c r="DA8" s="29"/>
      <c r="DB8" s="30"/>
      <c r="DC8" s="30"/>
      <c r="DD8" s="66" t="s">
        <v>15</v>
      </c>
      <c r="DE8" s="66"/>
      <c r="DF8" s="66"/>
      <c r="DG8" s="66"/>
      <c r="DH8" s="67">
        <f>IF(BP8="Y",IF(BI20="특판",BM19,0),CR8)</f>
        <v>0.035</v>
      </c>
      <c r="DI8" s="68"/>
      <c r="DJ8" s="69">
        <f>IF(BP8="Y",IF(BI20="특판",BO19,0),CT8)</f>
        <v>677320</v>
      </c>
      <c r="DK8" s="69"/>
      <c r="DL8" s="69"/>
      <c r="DM8" s="70"/>
      <c r="DN8" s="25"/>
      <c r="DO8" s="25"/>
      <c r="DP8" s="26"/>
      <c r="DQ8" s="29"/>
      <c r="DR8" s="30"/>
      <c r="DS8" s="30"/>
      <c r="DT8" s="66" t="s">
        <v>15</v>
      </c>
      <c r="DU8" s="66"/>
      <c r="DV8" s="66"/>
      <c r="DW8" s="66"/>
      <c r="DX8" s="71">
        <f>IF(CR8="Y",IF(BU20="특판",BY19,0),CR8)</f>
        <v>0.035</v>
      </c>
      <c r="DY8" s="72"/>
      <c r="DZ8" s="69">
        <f>IF(CB8="Y",IF(BU20="특판",CA19,0),CT8)</f>
        <v>677320</v>
      </c>
      <c r="EA8" s="69"/>
      <c r="EB8" s="69"/>
      <c r="EC8" s="70"/>
      <c r="ED8" s="26"/>
      <c r="EE8" s="26"/>
      <c r="EF8" s="26"/>
    </row>
    <row r="9" ht="19.15" customHeight="1" spans="2:136" x14ac:dyDescent="0.25">
      <c r="B9" s="47"/>
      <c r="C9" s="47"/>
      <c r="D9" s="47"/>
      <c r="E9" s="47"/>
      <c r="F9" s="47"/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7"/>
      <c r="X9" s="47"/>
      <c r="Y9" s="47"/>
      <c r="Z9" s="47"/>
      <c r="AA9" s="47"/>
      <c r="AB9" s="49" t="s">
        <v>16</v>
      </c>
      <c r="AC9" s="49"/>
      <c r="AD9" s="49"/>
      <c r="AE9" s="49"/>
      <c r="AF9" s="49"/>
      <c r="AG9" s="50"/>
      <c r="AH9" s="73">
        <v>1012345678</v>
      </c>
      <c r="AI9" s="74"/>
      <c r="AJ9" s="74"/>
      <c r="AK9" s="74"/>
      <c r="AL9" s="74"/>
      <c r="AM9" s="74"/>
      <c r="AN9" s="74"/>
      <c r="AO9" s="74"/>
      <c r="AP9" s="74"/>
      <c r="AQ9" s="74"/>
      <c r="AR9" s="75"/>
      <c r="AV9" s="54"/>
      <c r="AW9" s="76" t="s">
        <v>17</v>
      </c>
      <c r="AX9" s="77"/>
      <c r="AY9" s="77"/>
      <c r="AZ9" s="78"/>
      <c r="BA9" s="79" t="s">
        <v>18</v>
      </c>
      <c r="BB9" s="80"/>
      <c r="BC9" s="80"/>
      <c r="BD9" s="80"/>
      <c r="BE9" s="80"/>
      <c r="BF9" s="81"/>
      <c r="BG9" s="64"/>
      <c r="BH9" s="57"/>
      <c r="BI9" s="82" t="s">
        <v>17</v>
      </c>
      <c r="BJ9" s="83"/>
      <c r="BK9" s="83"/>
      <c r="BL9" s="84"/>
      <c r="BM9" s="61" t="s">
        <v>18</v>
      </c>
      <c r="BN9" s="62"/>
      <c r="BO9" s="62"/>
      <c r="BP9" s="62"/>
      <c r="BQ9" s="62"/>
      <c r="BR9" s="63"/>
      <c r="BS9" s="64"/>
      <c r="BT9" s="85"/>
      <c r="BU9" s="82" t="s">
        <v>17</v>
      </c>
      <c r="BV9" s="83"/>
      <c r="BW9" s="83"/>
      <c r="BX9" s="84"/>
      <c r="BY9" s="61" t="s">
        <v>18</v>
      </c>
      <c r="BZ9" s="62"/>
      <c r="CA9" s="62"/>
      <c r="CB9" s="62"/>
      <c r="CC9" s="62"/>
      <c r="CD9" s="63"/>
      <c r="CE9" s="65"/>
      <c r="CK9" s="29"/>
      <c r="CL9" s="30"/>
      <c r="CM9" s="30"/>
      <c r="CN9" s="86" t="s">
        <v>19</v>
      </c>
      <c r="CO9" s="87"/>
      <c r="CP9" s="87"/>
      <c r="CQ9" s="88"/>
      <c r="CR9" s="89">
        <f>IF(AW20="지점/대리점",BA20,0)</f>
        <v>0</v>
      </c>
      <c r="CS9" s="90"/>
      <c r="CT9" s="91">
        <f>IF(AW20="지점/대리점",BC20,0)</f>
        <v>0</v>
      </c>
      <c r="CU9" s="91"/>
      <c r="CV9" s="91"/>
      <c r="CW9" s="92"/>
      <c r="CX9" s="25"/>
      <c r="CY9" s="26"/>
      <c r="CZ9" s="26"/>
      <c r="DA9" s="29"/>
      <c r="DB9" s="30"/>
      <c r="DC9" s="30"/>
      <c r="DD9" s="86" t="s">
        <v>19</v>
      </c>
      <c r="DE9" s="87"/>
      <c r="DF9" s="87"/>
      <c r="DG9" s="88"/>
      <c r="DH9" s="89">
        <f>IF(BP8="Y",IF(BI20="지점/대리점",BM20,0),CR9)</f>
        <v>0</v>
      </c>
      <c r="DI9" s="90"/>
      <c r="DJ9" s="91">
        <f>IF(BP8="Y",IF(BI20="지점/대리점",BO20,0),CT9)</f>
        <v>0</v>
      </c>
      <c r="DK9" s="91"/>
      <c r="DL9" s="91"/>
      <c r="DM9" s="92"/>
      <c r="DN9" s="25"/>
      <c r="DO9" s="25"/>
      <c r="DP9" s="26"/>
      <c r="DQ9" s="29"/>
      <c r="DR9" s="30"/>
      <c r="DS9" s="30"/>
      <c r="DT9" s="86" t="s">
        <v>19</v>
      </c>
      <c r="DU9" s="87"/>
      <c r="DV9" s="87"/>
      <c r="DW9" s="88"/>
      <c r="DX9" s="93">
        <f>IF(CR9="Y",IF(BU20="지점/대리점",BY20,0),CR9)</f>
        <v>0</v>
      </c>
      <c r="DY9" s="94"/>
      <c r="DZ9" s="91">
        <f>IF(CB8="Y",IF(BU20="지점/대리점",CA20,0),CT9)</f>
        <v>0</v>
      </c>
      <c r="EA9" s="91"/>
      <c r="EB9" s="91"/>
      <c r="EC9" s="92"/>
      <c r="ED9" s="26"/>
      <c r="EE9" s="26"/>
      <c r="EF9" s="26"/>
    </row>
    <row r="10" ht="19.15" customHeight="1" spans="1:13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V10" s="54"/>
      <c r="AW10" s="82" t="s">
        <v>20</v>
      </c>
      <c r="AX10" s="83"/>
      <c r="AY10" s="83"/>
      <c r="AZ10" s="84"/>
      <c r="BA10" s="95" t="s">
        <v>21</v>
      </c>
      <c r="BB10" s="96"/>
      <c r="BC10" s="96"/>
      <c r="BD10" s="96"/>
      <c r="BE10" s="96"/>
      <c r="BF10" s="97"/>
      <c r="BG10" s="98"/>
      <c r="BH10" s="57"/>
      <c r="BI10" s="82" t="s">
        <v>20</v>
      </c>
      <c r="BJ10" s="83"/>
      <c r="BK10" s="83"/>
      <c r="BL10" s="84"/>
      <c r="BM10" s="95" t="s">
        <v>21</v>
      </c>
      <c r="BN10" s="96"/>
      <c r="BO10" s="96"/>
      <c r="BP10" s="96"/>
      <c r="BQ10" s="96"/>
      <c r="BR10" s="97"/>
      <c r="BS10" s="98"/>
      <c r="BT10" s="57"/>
      <c r="BU10" s="82" t="s">
        <v>20</v>
      </c>
      <c r="BV10" s="83"/>
      <c r="BW10" s="83"/>
      <c r="BX10" s="84"/>
      <c r="BY10" s="95" t="s">
        <v>21</v>
      </c>
      <c r="BZ10" s="96"/>
      <c r="CA10" s="96"/>
      <c r="CB10" s="96"/>
      <c r="CC10" s="96"/>
      <c r="CD10" s="97"/>
      <c r="CE10" s="99"/>
      <c r="CK10" s="29"/>
      <c r="CL10" s="30"/>
      <c r="CM10" s="30"/>
      <c r="CN10" s="100" t="s">
        <v>22</v>
      </c>
      <c r="CO10" s="100"/>
      <c r="CP10" s="100"/>
      <c r="CQ10" s="101"/>
      <c r="CR10" s="102">
        <f>CR7-CT8-CT9</f>
        <v>18674792.67605634</v>
      </c>
      <c r="CS10" s="103"/>
      <c r="CT10" s="103"/>
      <c r="CU10" s="103"/>
      <c r="CV10" s="103"/>
      <c r="CW10" s="104"/>
      <c r="CX10" s="25"/>
      <c r="CY10" s="26"/>
      <c r="CZ10" s="26"/>
      <c r="DA10" s="29"/>
      <c r="DB10" s="30"/>
      <c r="DC10" s="30"/>
      <c r="DD10" s="100" t="s">
        <v>22</v>
      </c>
      <c r="DE10" s="100"/>
      <c r="DF10" s="100"/>
      <c r="DG10" s="101"/>
      <c r="DH10" s="102">
        <f>DH7-DJ8-DJ9</f>
        <v>18674792.67605634</v>
      </c>
      <c r="DI10" s="103"/>
      <c r="DJ10" s="103"/>
      <c r="DK10" s="103"/>
      <c r="DL10" s="103"/>
      <c r="DM10" s="104"/>
      <c r="DN10" s="25"/>
      <c r="DO10" s="25"/>
      <c r="DP10" s="26"/>
      <c r="DQ10" s="29"/>
      <c r="DR10" s="30"/>
      <c r="DS10" s="30"/>
      <c r="DT10" s="100" t="s">
        <v>22</v>
      </c>
      <c r="DU10" s="100"/>
      <c r="DV10" s="100"/>
      <c r="DW10" s="101"/>
      <c r="DX10" s="102">
        <f>DX7-DZ8-DZ9</f>
        <v>18674792.67605634</v>
      </c>
      <c r="DY10" s="103"/>
      <c r="DZ10" s="103"/>
      <c r="EA10" s="103"/>
      <c r="EB10" s="103"/>
      <c r="EC10" s="104"/>
      <c r="ED10" s="26"/>
      <c r="EE10" s="26"/>
      <c r="EF10" s="26"/>
    </row>
    <row r="11" ht="19.15" customHeight="1" spans="1:17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V11" s="54"/>
      <c r="AW11" s="82" t="s">
        <v>23</v>
      </c>
      <c r="AX11" s="83"/>
      <c r="AY11" s="83"/>
      <c r="AZ11" s="84"/>
      <c r="BA11" s="95"/>
      <c r="BB11" s="96"/>
      <c r="BC11" s="96"/>
      <c r="BD11" s="96"/>
      <c r="BE11" s="96"/>
      <c r="BF11" s="97"/>
      <c r="BG11" s="64"/>
      <c r="BH11" s="105"/>
      <c r="BI11" s="82" t="s">
        <v>23</v>
      </c>
      <c r="BJ11" s="83"/>
      <c r="BK11" s="83"/>
      <c r="BL11" s="84"/>
      <c r="BM11" s="95"/>
      <c r="BN11" s="96"/>
      <c r="BO11" s="96"/>
      <c r="BP11" s="96"/>
      <c r="BQ11" s="96"/>
      <c r="BR11" s="97"/>
      <c r="BS11" s="64"/>
      <c r="BT11" s="106"/>
      <c r="BU11" s="82" t="s">
        <v>23</v>
      </c>
      <c r="BV11" s="83"/>
      <c r="BW11" s="83"/>
      <c r="BX11" s="84"/>
      <c r="BY11" s="95"/>
      <c r="BZ11" s="96"/>
      <c r="CA11" s="96"/>
      <c r="CB11" s="96"/>
      <c r="CC11" s="96"/>
      <c r="CD11" s="97"/>
      <c r="CE11" s="65"/>
      <c r="CK11" s="29"/>
      <c r="CL11" s="30"/>
      <c r="CM11" s="30"/>
      <c r="CN11" s="107" t="s">
        <v>24</v>
      </c>
      <c r="CO11" s="108"/>
      <c r="CP11" s="108"/>
      <c r="CQ11" s="108"/>
      <c r="CR11" s="109">
        <f>IF(BA42="조이(외주) 탁송",0,BY42)</f>
        <v>0</v>
      </c>
      <c r="CS11" s="110"/>
      <c r="CT11" s="110"/>
      <c r="CU11" s="110"/>
      <c r="CV11" s="110"/>
      <c r="CW11" s="111"/>
      <c r="CX11" s="25"/>
      <c r="CY11" s="26"/>
      <c r="CZ11" s="26"/>
      <c r="DA11" s="29"/>
      <c r="DB11" s="30"/>
      <c r="DC11" s="30"/>
      <c r="DD11" s="107" t="s">
        <v>25</v>
      </c>
      <c r="DE11" s="108"/>
      <c r="DF11" s="108"/>
      <c r="DG11" s="108"/>
      <c r="DH11" s="109">
        <f>CR11</f>
        <v>0</v>
      </c>
      <c r="DI11" s="110"/>
      <c r="DJ11" s="110"/>
      <c r="DK11" s="110"/>
      <c r="DL11" s="110"/>
      <c r="DM11" s="111"/>
      <c r="DN11" s="25"/>
      <c r="DO11" s="25"/>
      <c r="DP11" s="26"/>
      <c r="DQ11" s="29"/>
      <c r="DR11" s="30"/>
      <c r="DS11" s="30"/>
      <c r="DT11" s="107" t="s">
        <v>25</v>
      </c>
      <c r="DU11" s="108"/>
      <c r="DV11" s="108"/>
      <c r="DW11" s="108"/>
      <c r="DX11" s="109">
        <f>CR11</f>
        <v>0</v>
      </c>
      <c r="DY11" s="110"/>
      <c r="DZ11" s="110"/>
      <c r="EA11" s="110"/>
      <c r="EB11" s="110"/>
      <c r="EC11" s="111"/>
      <c r="ED11" s="26"/>
      <c r="EE11" s="26"/>
      <c r="EF11" s="26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</row>
    <row r="12" ht="19.15" customHeight="1" spans="1:136" x14ac:dyDescent="0.25">
      <c r="A12" s="2"/>
      <c r="B12" s="113" t="s">
        <v>26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114" t="s">
        <v>27</v>
      </c>
      <c r="AL12" s="114"/>
      <c r="AM12" s="114"/>
      <c r="AN12" s="114"/>
      <c r="AO12" s="114"/>
      <c r="AP12" s="114"/>
      <c r="AQ12" s="114"/>
      <c r="AR12" s="114"/>
      <c r="AV12" s="54"/>
      <c r="AW12" s="82" t="s">
        <v>28</v>
      </c>
      <c r="AX12" s="83"/>
      <c r="AY12" s="83"/>
      <c r="AZ12" s="84"/>
      <c r="BA12" s="95"/>
      <c r="BB12" s="96"/>
      <c r="BC12" s="96"/>
      <c r="BD12" s="96"/>
      <c r="BE12" s="96"/>
      <c r="BF12" s="97"/>
      <c r="BG12" s="64"/>
      <c r="BH12" s="105"/>
      <c r="BI12" s="82" t="s">
        <v>28</v>
      </c>
      <c r="BJ12" s="83"/>
      <c r="BK12" s="83"/>
      <c r="BL12" s="84"/>
      <c r="BM12" s="95"/>
      <c r="BN12" s="96"/>
      <c r="BO12" s="96"/>
      <c r="BP12" s="96"/>
      <c r="BQ12" s="96"/>
      <c r="BR12" s="97"/>
      <c r="BS12" s="64"/>
      <c r="BT12" s="106"/>
      <c r="BU12" s="82" t="s">
        <v>28</v>
      </c>
      <c r="BV12" s="83"/>
      <c r="BW12" s="83"/>
      <c r="BX12" s="84"/>
      <c r="BY12" s="95"/>
      <c r="BZ12" s="96"/>
      <c r="CA12" s="96"/>
      <c r="CB12" s="96"/>
      <c r="CC12" s="96"/>
      <c r="CD12" s="97"/>
      <c r="CE12" s="65"/>
      <c r="CK12" s="115"/>
      <c r="CL12" s="116"/>
      <c r="CM12" s="116"/>
      <c r="CN12" s="117" t="s">
        <v>29</v>
      </c>
      <c r="CO12" s="118"/>
      <c r="CP12" s="118"/>
      <c r="CQ12" s="118"/>
      <c r="CR12" s="119">
        <f>BC38</f>
        <v>0</v>
      </c>
      <c r="CS12" s="120"/>
      <c r="CT12" s="120"/>
      <c r="CU12" s="120"/>
      <c r="CV12" s="120"/>
      <c r="CW12" s="121"/>
      <c r="CX12" s="25"/>
      <c r="CY12" s="26"/>
      <c r="CZ12" s="26"/>
      <c r="DA12" s="115"/>
      <c r="DB12" s="116"/>
      <c r="DC12" s="116"/>
      <c r="DD12" s="117" t="s">
        <v>29</v>
      </c>
      <c r="DE12" s="118"/>
      <c r="DF12" s="118"/>
      <c r="DG12" s="118"/>
      <c r="DH12" s="119">
        <f>BO38</f>
        <v>0</v>
      </c>
      <c r="DI12" s="120"/>
      <c r="DJ12" s="120"/>
      <c r="DK12" s="120"/>
      <c r="DL12" s="120"/>
      <c r="DM12" s="121"/>
      <c r="DN12" s="25"/>
      <c r="DO12" s="25"/>
      <c r="DP12" s="26"/>
      <c r="DQ12" s="115"/>
      <c r="DR12" s="116"/>
      <c r="DS12" s="116"/>
      <c r="DT12" s="117" t="s">
        <v>29</v>
      </c>
      <c r="DU12" s="118"/>
      <c r="DV12" s="118"/>
      <c r="DW12" s="118"/>
      <c r="DX12" s="119">
        <f>CA38</f>
        <v>0</v>
      </c>
      <c r="DY12" s="120"/>
      <c r="DZ12" s="120"/>
      <c r="EA12" s="120"/>
      <c r="EB12" s="120"/>
      <c r="EC12" s="121"/>
      <c r="ED12" s="26"/>
      <c r="EE12" s="26"/>
      <c r="EF12" s="26"/>
    </row>
    <row r="13" ht="27" customHeight="1" spans="1:136" x14ac:dyDescent="0.25">
      <c r="A13" s="2"/>
      <c r="B13" s="122" t="s">
        <v>20</v>
      </c>
      <c r="C13" s="123"/>
      <c r="D13" s="123"/>
      <c r="E13" s="123"/>
      <c r="F13" s="123"/>
      <c r="G13" s="123"/>
      <c r="H13" s="123"/>
      <c r="I13" s="123"/>
      <c r="J13" s="123"/>
      <c r="K13" s="123"/>
      <c r="L13" s="123" t="s">
        <v>5</v>
      </c>
      <c r="M13" s="123"/>
      <c r="N13" s="123"/>
      <c r="O13" s="123"/>
      <c r="P13" s="123"/>
      <c r="Q13" s="123"/>
      <c r="R13" s="123" t="s">
        <v>30</v>
      </c>
      <c r="S13" s="123"/>
      <c r="T13" s="123"/>
      <c r="U13" s="123"/>
      <c r="V13" s="123"/>
      <c r="W13" s="123" t="s">
        <v>31</v>
      </c>
      <c r="X13" s="123"/>
      <c r="Y13" s="123"/>
      <c r="Z13" s="123"/>
      <c r="AA13" s="123"/>
      <c r="AB13" s="123" t="s">
        <v>32</v>
      </c>
      <c r="AC13" s="123"/>
      <c r="AD13" s="123"/>
      <c r="AE13" s="123"/>
      <c r="AF13" s="123"/>
      <c r="AG13" s="123" t="s">
        <v>33</v>
      </c>
      <c r="AH13" s="123"/>
      <c r="AI13" s="123"/>
      <c r="AJ13" s="123"/>
      <c r="AK13" s="123"/>
      <c r="AL13" s="124" t="s">
        <v>34</v>
      </c>
      <c r="AM13" s="125"/>
      <c r="AN13" s="125"/>
      <c r="AO13" s="125"/>
      <c r="AP13" s="125"/>
      <c r="AQ13" s="125"/>
      <c r="AR13" s="126"/>
      <c r="AV13" s="54"/>
      <c r="AW13" s="82" t="s">
        <v>35</v>
      </c>
      <c r="AX13" s="84"/>
      <c r="AY13" s="95"/>
      <c r="AZ13" s="96"/>
      <c r="BA13" s="97"/>
      <c r="BB13" s="127" t="s">
        <v>36</v>
      </c>
      <c r="BC13" s="128"/>
      <c r="BD13" s="95"/>
      <c r="BE13" s="96"/>
      <c r="BF13" s="97"/>
      <c r="BG13" s="64"/>
      <c r="BH13" s="57"/>
      <c r="BI13" s="82" t="s">
        <v>35</v>
      </c>
      <c r="BJ13" s="84"/>
      <c r="BK13" s="95"/>
      <c r="BL13" s="96"/>
      <c r="BM13" s="97"/>
      <c r="BN13" s="127" t="s">
        <v>36</v>
      </c>
      <c r="BO13" s="128"/>
      <c r="BP13" s="95"/>
      <c r="BQ13" s="96"/>
      <c r="BR13" s="97"/>
      <c r="BS13" s="64"/>
      <c r="BT13" s="57"/>
      <c r="BU13" s="82" t="s">
        <v>35</v>
      </c>
      <c r="BV13" s="84"/>
      <c r="BW13" s="95"/>
      <c r="BX13" s="96"/>
      <c r="BY13" s="97"/>
      <c r="BZ13" s="127" t="s">
        <v>36</v>
      </c>
      <c r="CA13" s="128"/>
      <c r="CB13" s="95"/>
      <c r="CC13" s="96"/>
      <c r="CD13" s="97"/>
      <c r="CE13" s="65"/>
      <c r="CK13" s="129" t="s">
        <v>37</v>
      </c>
      <c r="CL13" s="129"/>
      <c r="CM13" s="129"/>
      <c r="CN13" s="129"/>
      <c r="CO13" s="129"/>
      <c r="CP13" s="129"/>
      <c r="CQ13" s="129"/>
      <c r="CR13" s="130">
        <f>IF(CR12="장착불가",CR10+CR11,CR10+CR11+CR12)</f>
        <v>18674792.67605634</v>
      </c>
      <c r="CS13" s="130"/>
      <c r="CT13" s="130"/>
      <c r="CU13" s="130"/>
      <c r="CV13" s="130"/>
      <c r="CW13" s="130"/>
      <c r="CX13" s="25"/>
      <c r="CY13" s="3" t="str">
        <f>VLOOKUP(BA10,국산_DB!Z3:AB165,3,0)</f>
        <v>소형</v>
      </c>
      <c r="CZ13" s="26"/>
      <c r="DA13" s="129" t="s">
        <v>37</v>
      </c>
      <c r="DB13" s="129"/>
      <c r="DC13" s="129"/>
      <c r="DD13" s="129"/>
      <c r="DE13" s="129"/>
      <c r="DF13" s="129"/>
      <c r="DG13" s="129"/>
      <c r="DH13" s="130">
        <f>IF(DH12="장착불가",DH10+DH11,DH10+DH11+DH12)</f>
        <v>18674792.67605634</v>
      </c>
      <c r="DI13" s="130"/>
      <c r="DJ13" s="130"/>
      <c r="DK13" s="130"/>
      <c r="DL13" s="130"/>
      <c r="DM13" s="130"/>
      <c r="DN13" s="25"/>
      <c r="DO13" s="3" t="str">
        <f>VLOOKUP(BM10,국산_DB!Z3:AB165,3,0)</f>
        <v>소형</v>
      </c>
      <c r="DP13" s="26"/>
      <c r="DQ13" s="129" t="s">
        <v>37</v>
      </c>
      <c r="DR13" s="129"/>
      <c r="DS13" s="129"/>
      <c r="DT13" s="129"/>
      <c r="DU13" s="129"/>
      <c r="DV13" s="129"/>
      <c r="DW13" s="129"/>
      <c r="DX13" s="130">
        <f>IF(DX12="장착불가",DX10+DX11,DX10+DX11+DX12)</f>
        <v>18674792.67605634</v>
      </c>
      <c r="DY13" s="130"/>
      <c r="DZ13" s="130"/>
      <c r="EA13" s="130"/>
      <c r="EB13" s="130"/>
      <c r="EC13" s="130"/>
      <c r="ED13" s="26"/>
      <c r="EE13" s="3" t="str">
        <f>VLOOKUP(BY10,국산_DB!Z3:AR165,3,0)</f>
        <v>소형</v>
      </c>
      <c r="EF13" s="26"/>
    </row>
    <row r="14" ht="27" customHeight="1" spans="1:136" x14ac:dyDescent="0.25">
      <c r="A14" s="2"/>
      <c r="B14" s="131" t="str">
        <f>BA10</f>
        <v>아반떼 1.6 가솔린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3">
        <f>BA17</f>
        <v>20610000</v>
      </c>
      <c r="M14" s="134"/>
      <c r="N14" s="134"/>
      <c r="O14" s="134"/>
      <c r="P14" s="134"/>
      <c r="Q14" s="134"/>
      <c r="R14" s="135">
        <f>BA26</f>
        <v>60</v>
      </c>
      <c r="S14" s="135"/>
      <c r="T14" s="135"/>
      <c r="U14" s="135"/>
      <c r="V14" s="135"/>
      <c r="W14" s="136" t="str">
        <f>VLOOKUP(BA28,$EQ$32:$ES$36,3,0)</f>
        <v>실속형</v>
      </c>
      <c r="X14" s="137"/>
      <c r="Y14" s="137"/>
      <c r="Z14" s="137"/>
      <c r="AA14" s="138"/>
      <c r="AB14" s="139">
        <f>BC29+BC30</f>
        <v>0</v>
      </c>
      <c r="AC14" s="139"/>
      <c r="AD14" s="139"/>
      <c r="AE14" s="139"/>
      <c r="AF14" s="139"/>
      <c r="AG14" s="140">
        <f>BC36</f>
        <v>8450100</v>
      </c>
      <c r="AH14" s="140"/>
      <c r="AI14" s="140"/>
      <c r="AJ14" s="140"/>
      <c r="AK14" s="141"/>
      <c r="AL14" s="142">
        <f>ROUNDUP(CQ51*1.1,-2)</f>
        <v>435300</v>
      </c>
      <c r="AM14" s="143"/>
      <c r="AN14" s="143"/>
      <c r="AO14" s="143"/>
      <c r="AP14" s="143"/>
      <c r="AQ14" s="143"/>
      <c r="AR14" s="144"/>
      <c r="AV14" s="54"/>
      <c r="AW14" s="82" t="s">
        <v>38</v>
      </c>
      <c r="AX14" s="84"/>
      <c r="AY14" s="95" t="str">
        <f>VLOOKUP(BA10,국산_DB!$B$4:$AAA$1516,4,0)</f>
        <v>가솔린</v>
      </c>
      <c r="AZ14" s="96"/>
      <c r="BA14" s="97"/>
      <c r="BB14" s="127" t="s">
        <v>39</v>
      </c>
      <c r="BC14" s="128"/>
      <c r="BD14" s="95">
        <f>VLOOKUP(BA10,국산_DB!$B$4:$AAA$1516,5,0)</f>
        <v>1598</v>
      </c>
      <c r="BE14" s="96"/>
      <c r="BF14" s="97"/>
      <c r="BG14" s="64"/>
      <c r="BH14" s="57"/>
      <c r="BI14" s="82" t="s">
        <v>38</v>
      </c>
      <c r="BJ14" s="84"/>
      <c r="BK14" s="95" t="str">
        <f>VLOOKUP(BM10,국산_DB!$B$4:$AAA$1516,4,0)</f>
        <v>가솔린</v>
      </c>
      <c r="BL14" s="96"/>
      <c r="BM14" s="97"/>
      <c r="BN14" s="127" t="s">
        <v>39</v>
      </c>
      <c r="BO14" s="128"/>
      <c r="BP14" s="95">
        <f>VLOOKUP(BM10,국산_DB!$B$4:$AAA$1516,5,0)</f>
        <v>1598</v>
      </c>
      <c r="BQ14" s="96"/>
      <c r="BR14" s="97"/>
      <c r="BS14" s="64"/>
      <c r="BT14" s="57"/>
      <c r="BU14" s="82" t="s">
        <v>38</v>
      </c>
      <c r="BV14" s="84"/>
      <c r="BW14" s="95" t="str">
        <f>VLOOKUP(BY10,국산_DB!$B$4:$AAA$1516,4,0)</f>
        <v>가솔린</v>
      </c>
      <c r="BX14" s="96"/>
      <c r="BY14" s="97"/>
      <c r="BZ14" s="127" t="s">
        <v>39</v>
      </c>
      <c r="CA14" s="128"/>
      <c r="CB14" s="95">
        <f>VLOOKUP(BY10,국산_DB!$B$4:$AAA$1516,5,0)</f>
        <v>1598</v>
      </c>
      <c r="CC14" s="96"/>
      <c r="CD14" s="97"/>
      <c r="CE14" s="65"/>
      <c r="CK14" s="145" t="s">
        <v>40</v>
      </c>
      <c r="CL14" s="145"/>
      <c r="CM14" s="145"/>
      <c r="CN14" s="145"/>
      <c r="CO14" s="145"/>
      <c r="CP14" s="145"/>
      <c r="CQ14" s="145"/>
      <c r="CR14" s="146">
        <f>CR13/1.1</f>
        <v>16977084.25096031</v>
      </c>
      <c r="CS14" s="146"/>
      <c r="CT14" s="146"/>
      <c r="CU14" s="146"/>
      <c r="CV14" s="146"/>
      <c r="CW14" s="146"/>
      <c r="CX14" s="25"/>
      <c r="CY14" s="26"/>
      <c r="CZ14" s="26"/>
      <c r="DA14" s="145" t="s">
        <v>40</v>
      </c>
      <c r="DB14" s="145"/>
      <c r="DC14" s="145"/>
      <c r="DD14" s="145"/>
      <c r="DE14" s="145"/>
      <c r="DF14" s="145"/>
      <c r="DG14" s="145"/>
      <c r="DH14" s="146">
        <f>DH13/1.1</f>
        <v>16977084.25096031</v>
      </c>
      <c r="DI14" s="146"/>
      <c r="DJ14" s="146"/>
      <c r="DK14" s="146"/>
      <c r="DL14" s="146"/>
      <c r="DM14" s="146"/>
      <c r="DN14" s="25"/>
      <c r="DO14" s="25"/>
      <c r="DP14" s="26"/>
      <c r="DQ14" s="145" t="s">
        <v>40</v>
      </c>
      <c r="DR14" s="145"/>
      <c r="DS14" s="145"/>
      <c r="DT14" s="145"/>
      <c r="DU14" s="145"/>
      <c r="DV14" s="145"/>
      <c r="DW14" s="145"/>
      <c r="DX14" s="146">
        <f>DX13/1.1</f>
        <v>16977084.25096031</v>
      </c>
      <c r="DY14" s="146"/>
      <c r="DZ14" s="146"/>
      <c r="EA14" s="146"/>
      <c r="EB14" s="146"/>
      <c r="EC14" s="146"/>
      <c r="ED14" s="26"/>
      <c r="EE14" s="26"/>
      <c r="EF14" s="25"/>
    </row>
    <row r="15" ht="27" customHeight="1" spans="1:136" x14ac:dyDescent="0.25">
      <c r="A15" s="2"/>
      <c r="B15" s="147">
        <f>BA11</f>
        <v>0</v>
      </c>
      <c r="C15" s="148"/>
      <c r="D15" s="148"/>
      <c r="E15" s="148"/>
      <c r="F15" s="148"/>
      <c r="G15" s="148"/>
      <c r="H15" s="149"/>
      <c r="I15" s="150" t="str">
        <f>AY14</f>
        <v>가솔린</v>
      </c>
      <c r="J15" s="151"/>
      <c r="K15" s="151"/>
      <c r="L15" s="152">
        <f>BA16</f>
        <v>0</v>
      </c>
      <c r="M15" s="152"/>
      <c r="N15" s="152"/>
      <c r="O15" s="152"/>
      <c r="P15" s="152"/>
      <c r="Q15" s="152"/>
      <c r="R15" s="153" t="str">
        <f>BA27</f>
        <v>무제한</v>
      </c>
      <c r="S15" s="153"/>
      <c r="T15" s="153"/>
      <c r="U15" s="153"/>
      <c r="V15" s="153"/>
      <c r="W15" s="154"/>
      <c r="X15" s="155"/>
      <c r="Y15" s="155"/>
      <c r="Z15" s="155"/>
      <c r="AA15" s="156"/>
      <c r="AB15" s="157">
        <f>BC33+BC34</f>
        <v>0</v>
      </c>
      <c r="AC15" s="157"/>
      <c r="AD15" s="157"/>
      <c r="AE15" s="157"/>
      <c r="AF15" s="157"/>
      <c r="AG15" s="158"/>
      <c r="AH15" s="158"/>
      <c r="AI15" s="158"/>
      <c r="AJ15" s="158"/>
      <c r="AK15" s="159"/>
      <c r="AL15" s="160"/>
      <c r="AM15" s="161"/>
      <c r="AN15" s="161"/>
      <c r="AO15" s="161"/>
      <c r="AP15" s="161"/>
      <c r="AQ15" s="161"/>
      <c r="AR15" s="162"/>
      <c r="AV15" s="54"/>
      <c r="AW15" s="163" t="s">
        <v>6</v>
      </c>
      <c r="AX15" s="164"/>
      <c r="AY15" s="164"/>
      <c r="AZ15" s="165"/>
      <c r="BA15" s="166">
        <v>20610000</v>
      </c>
      <c r="BB15" s="167"/>
      <c r="BC15" s="167"/>
      <c r="BD15" s="167"/>
      <c r="BE15" s="167"/>
      <c r="BF15" s="168"/>
      <c r="BG15" s="64"/>
      <c r="BH15" s="57"/>
      <c r="BI15" s="163" t="s">
        <v>6</v>
      </c>
      <c r="BJ15" s="164"/>
      <c r="BK15" s="164"/>
      <c r="BL15" s="165"/>
      <c r="BM15" s="166">
        <v>20610000</v>
      </c>
      <c r="BN15" s="167"/>
      <c r="BO15" s="167"/>
      <c r="BP15" s="167"/>
      <c r="BQ15" s="167"/>
      <c r="BR15" s="168"/>
      <c r="BS15" s="64"/>
      <c r="BT15" s="57">
        <v>0</v>
      </c>
      <c r="BU15" s="163" t="s">
        <v>6</v>
      </c>
      <c r="BV15" s="164"/>
      <c r="BW15" s="164"/>
      <c r="BX15" s="165"/>
      <c r="BY15" s="166">
        <v>20610000</v>
      </c>
      <c r="BZ15" s="167"/>
      <c r="CA15" s="167"/>
      <c r="CB15" s="167"/>
      <c r="CC15" s="167"/>
      <c r="CD15" s="168"/>
      <c r="CE15" s="65"/>
      <c r="CK15" s="169" t="s">
        <v>41</v>
      </c>
      <c r="CL15" s="169"/>
      <c r="CM15" s="169"/>
      <c r="CN15" s="169"/>
      <c r="CO15" s="169"/>
      <c r="CP15" s="169"/>
      <c r="CQ15" s="169"/>
      <c r="CR15" s="170">
        <f>CR13-CR14</f>
        <v>1697708.4250960313</v>
      </c>
      <c r="CS15" s="170"/>
      <c r="CT15" s="170"/>
      <c r="CU15" s="170"/>
      <c r="CV15" s="170"/>
      <c r="CW15" s="170"/>
      <c r="CX15" s="25"/>
      <c r="CY15" s="26"/>
      <c r="CZ15" s="26"/>
      <c r="DA15" s="169" t="s">
        <v>41</v>
      </c>
      <c r="DB15" s="169"/>
      <c r="DC15" s="169"/>
      <c r="DD15" s="169"/>
      <c r="DE15" s="169"/>
      <c r="DF15" s="169"/>
      <c r="DG15" s="169"/>
      <c r="DH15" s="170">
        <f>DH13-DH14</f>
        <v>1697708.4250960313</v>
      </c>
      <c r="DI15" s="170"/>
      <c r="DJ15" s="170"/>
      <c r="DK15" s="170"/>
      <c r="DL15" s="170"/>
      <c r="DM15" s="170"/>
      <c r="DN15" s="25"/>
      <c r="DO15" s="25"/>
      <c r="DP15" s="26"/>
      <c r="DQ15" s="169" t="s">
        <v>41</v>
      </c>
      <c r="DR15" s="169"/>
      <c r="DS15" s="169"/>
      <c r="DT15" s="169"/>
      <c r="DU15" s="169"/>
      <c r="DV15" s="169"/>
      <c r="DW15" s="169"/>
      <c r="DX15" s="170">
        <f>DX13-DX14</f>
        <v>1697708.4250960313</v>
      </c>
      <c r="DY15" s="170"/>
      <c r="DZ15" s="170"/>
      <c r="EA15" s="170"/>
      <c r="EB15" s="170"/>
      <c r="EC15" s="170"/>
      <c r="ED15" s="26"/>
      <c r="EE15" s="26"/>
      <c r="EF15" s="25"/>
    </row>
    <row r="16" ht="27" customHeight="1" spans="1:147" x14ac:dyDescent="0.25">
      <c r="A16" s="2"/>
      <c r="B16" s="171" t="s">
        <v>42</v>
      </c>
      <c r="C16" s="172"/>
      <c r="D16" s="172"/>
      <c r="E16" s="172"/>
      <c r="F16" s="172"/>
      <c r="G16" s="172"/>
      <c r="H16" s="172"/>
      <c r="I16" s="172"/>
      <c r="J16" s="172"/>
      <c r="K16" s="173"/>
      <c r="L16" s="174">
        <f>BA12</f>
        <v>0</v>
      </c>
      <c r="M16" s="175"/>
      <c r="N16" s="175"/>
      <c r="O16" s="175"/>
      <c r="P16" s="175"/>
      <c r="Q16" s="175"/>
      <c r="R16" s="175"/>
      <c r="S16" s="175"/>
      <c r="T16" s="175"/>
      <c r="U16" s="175"/>
      <c r="V16" s="175"/>
      <c r="W16" s="175"/>
      <c r="X16" s="175"/>
      <c r="Y16" s="175"/>
      <c r="Z16" s="175"/>
      <c r="AA16" s="175"/>
      <c r="AB16" s="175"/>
      <c r="AC16" s="175"/>
      <c r="AD16" s="175"/>
      <c r="AE16" s="175"/>
      <c r="AF16" s="175"/>
      <c r="AG16" s="175"/>
      <c r="AH16" s="175"/>
      <c r="AI16" s="175"/>
      <c r="AJ16" s="175"/>
      <c r="AK16" s="175"/>
      <c r="AL16" s="175"/>
      <c r="AM16" s="175"/>
      <c r="AN16" s="175"/>
      <c r="AO16" s="175"/>
      <c r="AP16" s="175"/>
      <c r="AQ16" s="175"/>
      <c r="AR16" s="176"/>
      <c r="AV16" s="54"/>
      <c r="AW16" s="177" t="s">
        <v>7</v>
      </c>
      <c r="AX16" s="178"/>
      <c r="AY16" s="178"/>
      <c r="AZ16" s="179"/>
      <c r="BA16" s="180">
        <v>0</v>
      </c>
      <c r="BB16" s="181"/>
      <c r="BC16" s="181"/>
      <c r="BD16" s="181"/>
      <c r="BE16" s="181"/>
      <c r="BF16" s="182"/>
      <c r="BG16" s="64"/>
      <c r="BH16" s="57"/>
      <c r="BI16" s="177" t="s">
        <v>7</v>
      </c>
      <c r="BJ16" s="178"/>
      <c r="BK16" s="178"/>
      <c r="BL16" s="179"/>
      <c r="BM16" s="180"/>
      <c r="BN16" s="181"/>
      <c r="BO16" s="181"/>
      <c r="BP16" s="181"/>
      <c r="BQ16" s="181"/>
      <c r="BR16" s="182"/>
      <c r="BS16" s="64"/>
      <c r="BT16" s="57"/>
      <c r="BU16" s="177" t="s">
        <v>7</v>
      </c>
      <c r="BV16" s="178"/>
      <c r="BW16" s="178"/>
      <c r="BX16" s="179"/>
      <c r="BY16" s="180"/>
      <c r="BZ16" s="181"/>
      <c r="CA16" s="181"/>
      <c r="CB16" s="181"/>
      <c r="CC16" s="181"/>
      <c r="CD16" s="182"/>
      <c r="CE16" s="65"/>
      <c r="CK16" s="183" t="s">
        <v>43</v>
      </c>
      <c r="CL16" s="184"/>
      <c r="CM16" s="184"/>
      <c r="CN16" s="185" t="s">
        <v>44</v>
      </c>
      <c r="CO16" s="186"/>
      <c r="CP16" s="186"/>
      <c r="CQ16" s="186"/>
      <c r="CR16" s="187">
        <f>(CR17+CR18+CR19+CR20+CR21+CR22+CR36)/1.1</f>
        <v>7272.727272727272</v>
      </c>
      <c r="CS16" s="188"/>
      <c r="CT16" s="188"/>
      <c r="CU16" s="188"/>
      <c r="CV16" s="188"/>
      <c r="CW16" s="189"/>
      <c r="CX16" s="25"/>
      <c r="CY16" s="26"/>
      <c r="CZ16" s="26"/>
      <c r="DA16" s="183" t="s">
        <v>43</v>
      </c>
      <c r="DB16" s="184"/>
      <c r="DC16" s="184"/>
      <c r="DD16" s="185" t="s">
        <v>44</v>
      </c>
      <c r="DE16" s="186"/>
      <c r="DF16" s="186"/>
      <c r="DG16" s="186"/>
      <c r="DH16" s="187">
        <f>(DH17+DH18+DH19+DH20+DH21+DH22+DH36)/1.1</f>
        <v>7272.727272727272</v>
      </c>
      <c r="DI16" s="188"/>
      <c r="DJ16" s="188"/>
      <c r="DK16" s="188"/>
      <c r="DL16" s="188"/>
      <c r="DM16" s="189"/>
      <c r="DN16" s="25"/>
      <c r="DO16" s="25"/>
      <c r="DP16" s="26"/>
      <c r="DQ16" s="183" t="s">
        <v>43</v>
      </c>
      <c r="DR16" s="184"/>
      <c r="DS16" s="184"/>
      <c r="DT16" s="185" t="s">
        <v>44</v>
      </c>
      <c r="DU16" s="186"/>
      <c r="DV16" s="186"/>
      <c r="DW16" s="186"/>
      <c r="DX16" s="187">
        <f>(DX17+DX18+DX19+DX20+DX21+DX22+DX36)/1.1</f>
        <v>7272.727272727272</v>
      </c>
      <c r="DY16" s="188"/>
      <c r="DZ16" s="188"/>
      <c r="EA16" s="188"/>
      <c r="EB16" s="188"/>
      <c r="EC16" s="189"/>
      <c r="ED16" s="26"/>
      <c r="EE16" s="26"/>
      <c r="EF16" s="25"/>
      <c r="EQ16" s="1"/>
    </row>
    <row r="17" ht="27" customHeight="1" spans="1:147" x14ac:dyDescent="0.25">
      <c r="A17" s="2"/>
      <c r="B17" s="190" t="s">
        <v>45</v>
      </c>
      <c r="C17" s="191"/>
      <c r="D17" s="191"/>
      <c r="E17" s="192"/>
      <c r="F17" s="193">
        <f>AY13</f>
        <v>0</v>
      </c>
      <c r="G17" s="193"/>
      <c r="H17" s="193"/>
      <c r="I17" s="193"/>
      <c r="J17" s="193"/>
      <c r="K17" s="193"/>
      <c r="L17" s="194">
        <f>BD13</f>
        <v>0</v>
      </c>
      <c r="M17" s="194"/>
      <c r="N17" s="195"/>
      <c r="O17" s="196">
        <f>BD14</f>
        <v>1598</v>
      </c>
      <c r="P17" s="197"/>
      <c r="Q17" s="198"/>
      <c r="R17" s="199" t="s">
        <v>46</v>
      </c>
      <c r="S17" s="200"/>
      <c r="T17" s="200"/>
      <c r="U17" s="200"/>
      <c r="V17" s="201"/>
      <c r="W17" s="202" t="str">
        <f>BA43</f>
        <v>없음</v>
      </c>
      <c r="X17" s="203"/>
      <c r="Y17" s="203"/>
      <c r="Z17" s="203"/>
      <c r="AA17" s="203"/>
      <c r="AB17" s="204" t="s">
        <v>47</v>
      </c>
      <c r="AC17" s="205"/>
      <c r="AD17" s="205"/>
      <c r="AE17" s="205"/>
      <c r="AF17" s="206"/>
      <c r="AG17" s="207" t="str">
        <f>BE41</f>
        <v>없음</v>
      </c>
      <c r="AH17" s="208"/>
      <c r="AI17" s="208"/>
      <c r="AJ17" s="208"/>
      <c r="AK17" s="209">
        <f>BM41</f>
        <v>0.15</v>
      </c>
      <c r="AL17" s="209"/>
      <c r="AM17" s="210" t="str">
        <f>BU41</f>
        <v>없음</v>
      </c>
      <c r="AN17" s="210"/>
      <c r="AO17" s="210"/>
      <c r="AP17" s="210"/>
      <c r="AQ17" s="211">
        <f>CB41</f>
        <v>0.35</v>
      </c>
      <c r="AR17" s="212"/>
      <c r="AV17" s="54"/>
      <c r="AW17" s="213" t="s">
        <v>48</v>
      </c>
      <c r="AX17" s="214"/>
      <c r="AY17" s="214"/>
      <c r="AZ17" s="215"/>
      <c r="BA17" s="216">
        <f>BA15+BA16</f>
        <v>20610000</v>
      </c>
      <c r="BB17" s="217"/>
      <c r="BC17" s="217"/>
      <c r="BD17" s="217"/>
      <c r="BE17" s="217"/>
      <c r="BF17" s="218"/>
      <c r="BG17" s="219"/>
      <c r="BH17" s="220"/>
      <c r="BI17" s="213" t="s">
        <v>48</v>
      </c>
      <c r="BJ17" s="214"/>
      <c r="BK17" s="214"/>
      <c r="BL17" s="215"/>
      <c r="BM17" s="216">
        <f>BM15+BM16</f>
        <v>20610000</v>
      </c>
      <c r="BN17" s="217"/>
      <c r="BO17" s="217"/>
      <c r="BP17" s="217"/>
      <c r="BQ17" s="217"/>
      <c r="BR17" s="218"/>
      <c r="BS17" s="64"/>
      <c r="BT17" s="57"/>
      <c r="BU17" s="213" t="s">
        <v>48</v>
      </c>
      <c r="BV17" s="214"/>
      <c r="BW17" s="214"/>
      <c r="BX17" s="215"/>
      <c r="BY17" s="216">
        <f>BY15+BY16</f>
        <v>20610000</v>
      </c>
      <c r="BZ17" s="217"/>
      <c r="CA17" s="217"/>
      <c r="CB17" s="217"/>
      <c r="CC17" s="217"/>
      <c r="CD17" s="218"/>
      <c r="CE17" s="65"/>
      <c r="CK17" s="29"/>
      <c r="CL17" s="30"/>
      <c r="CM17" s="30"/>
      <c r="CN17" s="221" t="s">
        <v>49</v>
      </c>
      <c r="CO17" s="222"/>
      <c r="CP17" s="222"/>
      <c r="CQ17" s="223"/>
      <c r="CR17" s="224">
        <f>VLOOKUP(BE41,용품!$B$4:$C$11,2,0)</f>
        <v>0</v>
      </c>
      <c r="CS17" s="225"/>
      <c r="CT17" s="225"/>
      <c r="CU17" s="225"/>
      <c r="CV17" s="225"/>
      <c r="CW17" s="226"/>
      <c r="CX17" s="25"/>
      <c r="CY17" s="26"/>
      <c r="CZ17" s="26"/>
      <c r="DA17" s="29"/>
      <c r="DB17" s="30"/>
      <c r="DC17" s="30"/>
      <c r="DD17" s="221" t="s">
        <v>49</v>
      </c>
      <c r="DE17" s="222"/>
      <c r="DF17" s="222"/>
      <c r="DG17" s="223"/>
      <c r="DH17" s="224">
        <f t="shared" ref="DH17:DH22" si="0">CR17</f>
        <v>0</v>
      </c>
      <c r="DI17" s="225"/>
      <c r="DJ17" s="225"/>
      <c r="DK17" s="225"/>
      <c r="DL17" s="225"/>
      <c r="DM17" s="226"/>
      <c r="DN17" s="25"/>
      <c r="DO17" s="25"/>
      <c r="DP17" s="26"/>
      <c r="DQ17" s="29"/>
      <c r="DR17" s="30"/>
      <c r="DS17" s="30"/>
      <c r="DT17" s="221" t="s">
        <v>49</v>
      </c>
      <c r="DU17" s="222"/>
      <c r="DV17" s="222"/>
      <c r="DW17" s="223"/>
      <c r="DX17" s="224">
        <f>DH17</f>
        <v>0</v>
      </c>
      <c r="DY17" s="225"/>
      <c r="DZ17" s="225"/>
      <c r="EA17" s="225"/>
      <c r="EB17" s="225"/>
      <c r="EC17" s="226"/>
      <c r="ED17" s="26"/>
      <c r="EE17" s="26"/>
      <c r="EF17" s="26"/>
      <c r="EQ17" s="1"/>
    </row>
    <row r="18" ht="27" customHeight="1" spans="1:178" x14ac:dyDescent="0.25">
      <c r="A18" s="2"/>
      <c r="B18" s="227"/>
      <c r="C18" s="227"/>
      <c r="D18" s="228"/>
      <c r="E18" s="228"/>
      <c r="F18" s="228"/>
      <c r="G18" s="228"/>
      <c r="H18" s="229"/>
      <c r="I18" s="229"/>
      <c r="J18" s="227"/>
      <c r="K18" s="227"/>
      <c r="L18" s="227"/>
      <c r="M18" s="227"/>
      <c r="N18" s="230"/>
      <c r="O18" s="230"/>
      <c r="P18" s="230"/>
      <c r="Q18" s="230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0"/>
      <c r="AG18" s="230"/>
      <c r="AH18" s="230"/>
      <c r="AI18" s="231"/>
      <c r="AJ18" s="231"/>
      <c r="AK18" s="231"/>
      <c r="AL18" s="231"/>
      <c r="AM18" s="231"/>
      <c r="AN18" s="230"/>
      <c r="AO18" s="230"/>
      <c r="AP18" s="230"/>
      <c r="AQ18" s="230"/>
      <c r="AR18" s="230"/>
      <c r="AV18" s="54"/>
      <c r="AW18" s="232" t="s">
        <v>50</v>
      </c>
      <c r="AX18" s="233"/>
      <c r="AY18" s="233"/>
      <c r="AZ18" s="234"/>
      <c r="BA18" s="235">
        <f>IF(OR(CN39="조건부",CN39="완전"),BA17,IF(OR(BA9="현대",BA9="기아"),BA17/(1+5%*130%),BA17/(1+3.5%*130%)))</f>
        <v>19352112.67605634</v>
      </c>
      <c r="BB18" s="236"/>
      <c r="BC18" s="236"/>
      <c r="BD18" s="236"/>
      <c r="BE18" s="236"/>
      <c r="BF18" s="237"/>
      <c r="BG18" s="219"/>
      <c r="BH18" s="57"/>
      <c r="BI18" s="232" t="s">
        <v>50</v>
      </c>
      <c r="BJ18" s="233"/>
      <c r="BK18" s="233"/>
      <c r="BL18" s="234"/>
      <c r="BM18" s="235">
        <f>IF(OR(DD39="조건부",DD39="완전"),BM17,IF(OR(BM9="현대",BM9="기아"),BM17/(1+5%*130%),BM17/(1+3.5%*130%)))</f>
        <v>19352112.67605634</v>
      </c>
      <c r="BN18" s="236"/>
      <c r="BO18" s="236"/>
      <c r="BP18" s="236"/>
      <c r="BQ18" s="236"/>
      <c r="BR18" s="237"/>
      <c r="BS18" s="64"/>
      <c r="BT18" s="57"/>
      <c r="BU18" s="232" t="s">
        <v>50</v>
      </c>
      <c r="BV18" s="233"/>
      <c r="BW18" s="233"/>
      <c r="BX18" s="234"/>
      <c r="BY18" s="235">
        <f>IF(OR(DT39="조건부",DT39="완전"),BY17,IF(OR(BY9="현대",BY9="기아"),BY17/(1+5%*130%),BY17/(1+3.5%*130%)))</f>
        <v>19352112.67605634</v>
      </c>
      <c r="BZ18" s="236"/>
      <c r="CA18" s="236"/>
      <c r="CB18" s="236"/>
      <c r="CC18" s="236"/>
      <c r="CD18" s="237"/>
      <c r="CE18" s="65"/>
      <c r="CK18" s="29"/>
      <c r="CL18" s="30"/>
      <c r="CM18" s="30"/>
      <c r="CN18" s="221" t="s">
        <v>51</v>
      </c>
      <c r="CO18" s="222"/>
      <c r="CP18" s="222"/>
      <c r="CQ18" s="223"/>
      <c r="CR18" s="224">
        <f>VLOOKUP(BU41,용품!$B$12:$C$17,2,0)</f>
        <v>0</v>
      </c>
      <c r="CS18" s="225"/>
      <c r="CT18" s="225"/>
      <c r="CU18" s="225"/>
      <c r="CV18" s="225"/>
      <c r="CW18" s="226"/>
      <c r="CX18" s="25"/>
      <c r="CY18" s="26"/>
      <c r="CZ18" s="26"/>
      <c r="DA18" s="29"/>
      <c r="DB18" s="30"/>
      <c r="DC18" s="30"/>
      <c r="DD18" s="221" t="s">
        <v>51</v>
      </c>
      <c r="DE18" s="222"/>
      <c r="DF18" s="222"/>
      <c r="DG18" s="223"/>
      <c r="DH18" s="224">
        <f t="shared" si="0"/>
        <v>0</v>
      </c>
      <c r="DI18" s="225"/>
      <c r="DJ18" s="225"/>
      <c r="DK18" s="225"/>
      <c r="DL18" s="225"/>
      <c r="DM18" s="226"/>
      <c r="DN18" s="25"/>
      <c r="DO18" s="25"/>
      <c r="DP18" s="26"/>
      <c r="DQ18" s="29"/>
      <c r="DR18" s="30"/>
      <c r="DS18" s="30"/>
      <c r="DT18" s="221" t="s">
        <v>51</v>
      </c>
      <c r="DU18" s="222"/>
      <c r="DV18" s="222"/>
      <c r="DW18" s="223"/>
      <c r="DX18" s="224">
        <f>DH18</f>
        <v>0</v>
      </c>
      <c r="DY18" s="225"/>
      <c r="DZ18" s="225"/>
      <c r="EA18" s="225"/>
      <c r="EB18" s="225"/>
      <c r="EC18" s="226"/>
      <c r="ED18" s="26"/>
      <c r="EE18" s="26"/>
      <c r="EF18" s="26"/>
      <c r="FG18" s="238" t="s">
        <v>52</v>
      </c>
      <c r="FH18" s="1">
        <f>VLOOKUP(CY13,$FH$73:$FI$84,2,0)</f>
        <v>3</v>
      </c>
      <c r="FN18" s="238" t="s">
        <v>53</v>
      </c>
      <c r="FO18" s="1">
        <f>VLOOKUP(DO13,FH73:FI84,2,0)</f>
        <v>3</v>
      </c>
      <c r="FU18" s="238" t="s">
        <v>54</v>
      </c>
      <c r="FV18" s="1">
        <f>VLOOKUP(EE13,$FH$73:$FI$84,2,0)</f>
        <v>3</v>
      </c>
    </row>
    <row r="19" ht="27" customHeight="1" spans="1:136" x14ac:dyDescent="0.25">
      <c r="A19" s="2"/>
      <c r="B19" s="239" t="str">
        <f>IF(BP8="Y",BM10,BA10)</f>
        <v>아반떼 1.6 가솔린</v>
      </c>
      <c r="C19" s="240"/>
      <c r="D19" s="240"/>
      <c r="E19" s="240"/>
      <c r="F19" s="240"/>
      <c r="G19" s="240"/>
      <c r="H19" s="240"/>
      <c r="I19" s="240"/>
      <c r="J19" s="240"/>
      <c r="K19" s="240"/>
      <c r="L19" s="241">
        <f>IF(BP8="Y",BM17,BA17)</f>
        <v>20610000</v>
      </c>
      <c r="M19" s="242"/>
      <c r="N19" s="242"/>
      <c r="O19" s="242"/>
      <c r="P19" s="242"/>
      <c r="Q19" s="242"/>
      <c r="R19" s="243">
        <f>BM26</f>
        <v>48</v>
      </c>
      <c r="S19" s="243"/>
      <c r="T19" s="243"/>
      <c r="U19" s="243"/>
      <c r="V19" s="243"/>
      <c r="W19" s="244" t="str">
        <f>VLOOKUP(BM28,$EQ$32:$ES$36,3,0)</f>
        <v>실속형</v>
      </c>
      <c r="X19" s="245"/>
      <c r="Y19" s="245"/>
      <c r="Z19" s="245"/>
      <c r="AA19" s="246"/>
      <c r="AB19" s="247">
        <f>BO29+BO30</f>
        <v>0</v>
      </c>
      <c r="AC19" s="247"/>
      <c r="AD19" s="247"/>
      <c r="AE19" s="247"/>
      <c r="AF19" s="247"/>
      <c r="AG19" s="248">
        <f>BO36</f>
        <v>11747700.000000002</v>
      </c>
      <c r="AH19" s="248"/>
      <c r="AI19" s="248"/>
      <c r="AJ19" s="248"/>
      <c r="AK19" s="249"/>
      <c r="AL19" s="142">
        <f>ROUNDUP(DG51*1.1,-2)</f>
        <v>410500</v>
      </c>
      <c r="AM19" s="143"/>
      <c r="AN19" s="143"/>
      <c r="AO19" s="143"/>
      <c r="AP19" s="143"/>
      <c r="AQ19" s="143"/>
      <c r="AR19" s="144"/>
      <c r="AV19" s="54"/>
      <c r="AW19" s="250" t="s">
        <v>55</v>
      </c>
      <c r="AX19" s="251"/>
      <c r="AY19" s="251"/>
      <c r="AZ19" s="252"/>
      <c r="BA19" s="253">
        <f>VLOOKUP(BA10,국산_DB!$B$4:AAA$1514,7,0)</f>
        <v>0.035</v>
      </c>
      <c r="BB19" s="254"/>
      <c r="BC19" s="255">
        <f>ROUND(BA18*BA19,-1)</f>
        <v>677320</v>
      </c>
      <c r="BD19" s="256"/>
      <c r="BE19" s="256"/>
      <c r="BF19" s="257"/>
      <c r="BG19" s="64"/>
      <c r="BH19" s="105"/>
      <c r="BI19" s="250" t="s">
        <v>55</v>
      </c>
      <c r="BJ19" s="251"/>
      <c r="BK19" s="251"/>
      <c r="BL19" s="252"/>
      <c r="BM19" s="253">
        <f>VLOOKUP(BM10,국산_DB!$B$4:AAA$1514,7,0)</f>
        <v>0.035</v>
      </c>
      <c r="BN19" s="254"/>
      <c r="BO19" s="255">
        <f>ROUND(BM18*BM19,-1)</f>
        <v>677320</v>
      </c>
      <c r="BP19" s="256"/>
      <c r="BQ19" s="256"/>
      <c r="BR19" s="257"/>
      <c r="BS19" s="64"/>
      <c r="BT19" s="106"/>
      <c r="BU19" s="250" t="s">
        <v>55</v>
      </c>
      <c r="BV19" s="251"/>
      <c r="BW19" s="251"/>
      <c r="BX19" s="252"/>
      <c r="BY19" s="258">
        <f>VLOOKUP(BY10,국산_DB!$B$4:AAA$1514,7,0)</f>
        <v>0.035</v>
      </c>
      <c r="BZ19" s="259"/>
      <c r="CA19" s="260">
        <f>ROUND(BY18*BY19,-1)</f>
        <v>677320</v>
      </c>
      <c r="CB19" s="261"/>
      <c r="CC19" s="261"/>
      <c r="CD19" s="262"/>
      <c r="CE19" s="65"/>
      <c r="CK19" s="29"/>
      <c r="CL19" s="30"/>
      <c r="CM19" s="30"/>
      <c r="CN19" s="221" t="s">
        <v>46</v>
      </c>
      <c r="CO19" s="222"/>
      <c r="CP19" s="222"/>
      <c r="CQ19" s="223"/>
      <c r="CR19" s="224">
        <f>IF(BA43="없음",0,IF(BA43="아이나비 A700",196000,IF(BA43="지넷시스템 M3(32GB)",150000)))</f>
        <v>0</v>
      </c>
      <c r="CS19" s="225"/>
      <c r="CT19" s="225"/>
      <c r="CU19" s="225"/>
      <c r="CV19" s="225"/>
      <c r="CW19" s="226"/>
      <c r="CY19" s="263"/>
      <c r="CZ19" s="263"/>
      <c r="DA19" s="29"/>
      <c r="DB19" s="30"/>
      <c r="DC19" s="30"/>
      <c r="DD19" s="221" t="s">
        <v>46</v>
      </c>
      <c r="DE19" s="222"/>
      <c r="DF19" s="222"/>
      <c r="DG19" s="223"/>
      <c r="DH19" s="224">
        <f t="shared" si="0"/>
        <v>0</v>
      </c>
      <c r="DI19" s="225"/>
      <c r="DJ19" s="225"/>
      <c r="DK19" s="225"/>
      <c r="DL19" s="225"/>
      <c r="DM19" s="226"/>
      <c r="DN19" s="25"/>
      <c r="DO19" s="25"/>
      <c r="DP19" s="26"/>
      <c r="DQ19" s="29"/>
      <c r="DR19" s="30"/>
      <c r="DS19" s="30"/>
      <c r="DT19" s="221" t="s">
        <v>46</v>
      </c>
      <c r="DU19" s="222"/>
      <c r="DV19" s="222"/>
      <c r="DW19" s="223"/>
      <c r="DX19" s="224">
        <f>DH19</f>
        <v>0</v>
      </c>
      <c r="DY19" s="225"/>
      <c r="DZ19" s="225"/>
      <c r="EA19" s="225"/>
      <c r="EB19" s="225"/>
      <c r="EC19" s="226"/>
      <c r="ED19" s="26"/>
      <c r="EE19" s="26"/>
      <c r="EF19" s="26"/>
    </row>
    <row r="20" ht="27" customHeight="1" spans="1:182" x14ac:dyDescent="0.25">
      <c r="A20" s="2"/>
      <c r="B20" s="264">
        <f>IF(BP8="Y",BM11,BA11)</f>
        <v>0</v>
      </c>
      <c r="C20" s="265"/>
      <c r="D20" s="265"/>
      <c r="E20" s="265"/>
      <c r="F20" s="265"/>
      <c r="G20" s="265"/>
      <c r="H20" s="266"/>
      <c r="I20" s="267" t="str">
        <f>IF(BP8="Y",BK14,AY14)</f>
        <v>가솔린</v>
      </c>
      <c r="J20" s="268"/>
      <c r="K20" s="268"/>
      <c r="L20" s="269">
        <f>IF(BP8="Y",BM16,BA16)</f>
        <v>0</v>
      </c>
      <c r="M20" s="269"/>
      <c r="N20" s="269"/>
      <c r="O20" s="269"/>
      <c r="P20" s="269"/>
      <c r="Q20" s="269"/>
      <c r="R20" s="270" t="str">
        <f>BM27</f>
        <v>년 2만km</v>
      </c>
      <c r="S20" s="270"/>
      <c r="T20" s="270"/>
      <c r="U20" s="270"/>
      <c r="V20" s="270"/>
      <c r="W20" s="154"/>
      <c r="X20" s="155"/>
      <c r="Y20" s="155"/>
      <c r="Z20" s="155"/>
      <c r="AA20" s="156"/>
      <c r="AB20" s="271">
        <f>BO33+BO34</f>
        <v>0</v>
      </c>
      <c r="AC20" s="271"/>
      <c r="AD20" s="271"/>
      <c r="AE20" s="271"/>
      <c r="AF20" s="271"/>
      <c r="AG20" s="272"/>
      <c r="AH20" s="272"/>
      <c r="AI20" s="272"/>
      <c r="AJ20" s="272"/>
      <c r="AK20" s="273"/>
      <c r="AL20" s="160"/>
      <c r="AM20" s="161"/>
      <c r="AN20" s="161"/>
      <c r="AO20" s="161"/>
      <c r="AP20" s="161"/>
      <c r="AQ20" s="161"/>
      <c r="AR20" s="162"/>
      <c r="AV20" s="54"/>
      <c r="AW20" s="274" t="s">
        <v>56</v>
      </c>
      <c r="AX20" s="275"/>
      <c r="AY20" s="275"/>
      <c r="AZ20" s="276"/>
      <c r="BA20" s="277">
        <f>BC20/BA18</f>
        <v>0</v>
      </c>
      <c r="BB20" s="278"/>
      <c r="BC20" s="279">
        <v>0</v>
      </c>
      <c r="BD20" s="280"/>
      <c r="BE20" s="280"/>
      <c r="BF20" s="281"/>
      <c r="BG20" s="64"/>
      <c r="BH20" s="105"/>
      <c r="BI20" s="274" t="s">
        <v>56</v>
      </c>
      <c r="BJ20" s="275"/>
      <c r="BK20" s="275"/>
      <c r="BL20" s="276"/>
      <c r="BM20" s="277">
        <f>BO20/BM18</f>
        <v>0</v>
      </c>
      <c r="BN20" s="278"/>
      <c r="BO20" s="279">
        <v>0</v>
      </c>
      <c r="BP20" s="280"/>
      <c r="BQ20" s="280"/>
      <c r="BR20" s="281"/>
      <c r="BS20" s="64"/>
      <c r="BT20" s="106"/>
      <c r="BU20" s="274" t="s">
        <v>56</v>
      </c>
      <c r="BV20" s="275"/>
      <c r="BW20" s="275"/>
      <c r="BX20" s="276"/>
      <c r="BY20" s="277">
        <f>CA20/BY18</f>
        <v>0</v>
      </c>
      <c r="BZ20" s="278"/>
      <c r="CA20" s="279">
        <v>0</v>
      </c>
      <c r="CB20" s="280"/>
      <c r="CC20" s="280"/>
      <c r="CD20" s="281"/>
      <c r="CE20" s="65"/>
      <c r="CK20" s="29"/>
      <c r="CL20" s="30"/>
      <c r="CM20" s="30"/>
      <c r="CN20" s="221" t="s">
        <v>57</v>
      </c>
      <c r="CO20" s="222"/>
      <c r="CP20" s="222"/>
      <c r="CQ20" s="223"/>
      <c r="CR20" s="224">
        <f>BY43</f>
        <v>0</v>
      </c>
      <c r="CS20" s="225"/>
      <c r="CT20" s="225"/>
      <c r="CU20" s="225"/>
      <c r="CV20" s="225"/>
      <c r="CW20" s="226"/>
      <c r="CY20" s="263"/>
      <c r="CZ20" s="263"/>
      <c r="DA20" s="29"/>
      <c r="DB20" s="30"/>
      <c r="DC20" s="30"/>
      <c r="DD20" s="221" t="s">
        <v>57</v>
      </c>
      <c r="DE20" s="222"/>
      <c r="DF20" s="222"/>
      <c r="DG20" s="223"/>
      <c r="DH20" s="224">
        <f t="shared" si="0"/>
        <v>0</v>
      </c>
      <c r="DI20" s="225"/>
      <c r="DJ20" s="225"/>
      <c r="DK20" s="225"/>
      <c r="DL20" s="225"/>
      <c r="DM20" s="226"/>
      <c r="DN20" s="25"/>
      <c r="DO20" s="25"/>
      <c r="DP20" s="26"/>
      <c r="DQ20" s="29"/>
      <c r="DR20" s="30"/>
      <c r="DS20" s="30"/>
      <c r="DT20" s="221" t="s">
        <v>57</v>
      </c>
      <c r="DU20" s="222"/>
      <c r="DV20" s="222"/>
      <c r="DW20" s="223"/>
      <c r="DX20" s="224">
        <f>CR20</f>
        <v>0</v>
      </c>
      <c r="DY20" s="225"/>
      <c r="DZ20" s="225"/>
      <c r="EA20" s="225"/>
      <c r="EB20" s="225"/>
      <c r="EC20" s="226"/>
      <c r="ED20" s="263"/>
      <c r="EE20" s="263"/>
      <c r="EF20" s="26"/>
      <c r="FG20" s="282"/>
      <c r="FH20" s="283" t="s">
        <v>58</v>
      </c>
      <c r="FI20" s="283" t="s">
        <v>59</v>
      </c>
      <c r="FJ20" s="283" t="s">
        <v>60</v>
      </c>
      <c r="FK20" s="283" t="s">
        <v>61</v>
      </c>
      <c r="FL20" s="284" t="s">
        <v>62</v>
      </c>
      <c r="FN20" s="282"/>
      <c r="FO20" s="283" t="s">
        <v>58</v>
      </c>
      <c r="FP20" s="283" t="s">
        <v>59</v>
      </c>
      <c r="FQ20" s="283" t="s">
        <v>60</v>
      </c>
      <c r="FR20" s="283" t="s">
        <v>61</v>
      </c>
      <c r="FS20" s="284" t="s">
        <v>62</v>
      </c>
      <c r="FU20" s="282"/>
      <c r="FV20" s="285" t="s">
        <v>58</v>
      </c>
      <c r="FW20" s="285" t="s">
        <v>59</v>
      </c>
      <c r="FX20" s="285" t="s">
        <v>60</v>
      </c>
      <c r="FY20" s="285" t="s">
        <v>61</v>
      </c>
      <c r="FZ20" s="286" t="s">
        <v>62</v>
      </c>
    </row>
    <row r="21" ht="27" customHeight="1" spans="1:182" x14ac:dyDescent="0.25">
      <c r="A21" s="2"/>
      <c r="B21" s="287" t="s">
        <v>42</v>
      </c>
      <c r="C21" s="288"/>
      <c r="D21" s="288"/>
      <c r="E21" s="288"/>
      <c r="F21" s="288"/>
      <c r="G21" s="288"/>
      <c r="H21" s="288"/>
      <c r="I21" s="288"/>
      <c r="J21" s="288"/>
      <c r="K21" s="289"/>
      <c r="L21" s="174">
        <f>IF(BP8="Y",BM12,BA12)</f>
        <v>0</v>
      </c>
      <c r="M21" s="175"/>
      <c r="N21" s="175"/>
      <c r="O21" s="175"/>
      <c r="P21" s="175"/>
      <c r="Q21" s="175"/>
      <c r="R21" s="175"/>
      <c r="S21" s="175"/>
      <c r="T21" s="175"/>
      <c r="U21" s="175"/>
      <c r="V21" s="175"/>
      <c r="W21" s="175"/>
      <c r="X21" s="175"/>
      <c r="Y21" s="175"/>
      <c r="Z21" s="175"/>
      <c r="AA21" s="175"/>
      <c r="AB21" s="175"/>
      <c r="AC21" s="175"/>
      <c r="AD21" s="175"/>
      <c r="AE21" s="175"/>
      <c r="AF21" s="175"/>
      <c r="AG21" s="175"/>
      <c r="AH21" s="175"/>
      <c r="AI21" s="175"/>
      <c r="AJ21" s="175"/>
      <c r="AK21" s="175"/>
      <c r="AL21" s="175"/>
      <c r="AM21" s="175"/>
      <c r="AN21" s="175"/>
      <c r="AO21" s="175"/>
      <c r="AP21" s="175"/>
      <c r="AQ21" s="175"/>
      <c r="AR21" s="176"/>
      <c r="AV21" s="54"/>
      <c r="AW21" s="290" t="s">
        <v>63</v>
      </c>
      <c r="AX21" s="291"/>
      <c r="AY21" s="291"/>
      <c r="AZ21" s="292"/>
      <c r="BA21" s="293">
        <f>CR13</f>
        <v>18674792.67605634</v>
      </c>
      <c r="BB21" s="294"/>
      <c r="BC21" s="294"/>
      <c r="BD21" s="294"/>
      <c r="BE21" s="294"/>
      <c r="BF21" s="295"/>
      <c r="BG21" s="296"/>
      <c r="BH21" s="105"/>
      <c r="BI21" s="290" t="s">
        <v>63</v>
      </c>
      <c r="BJ21" s="291"/>
      <c r="BK21" s="291"/>
      <c r="BL21" s="292"/>
      <c r="BM21" s="293">
        <f>DH13</f>
        <v>18674792.67605634</v>
      </c>
      <c r="BN21" s="294"/>
      <c r="BO21" s="294"/>
      <c r="BP21" s="294"/>
      <c r="BQ21" s="294"/>
      <c r="BR21" s="295"/>
      <c r="BS21" s="296"/>
      <c r="BT21" s="106"/>
      <c r="BU21" s="290" t="s">
        <v>63</v>
      </c>
      <c r="BV21" s="291"/>
      <c r="BW21" s="291"/>
      <c r="BX21" s="292"/>
      <c r="BY21" s="293">
        <f>DX13</f>
        <v>18674792.67605634</v>
      </c>
      <c r="BZ21" s="294"/>
      <c r="CA21" s="294"/>
      <c r="CB21" s="294"/>
      <c r="CC21" s="294"/>
      <c r="CD21" s="295"/>
      <c r="CE21" s="65"/>
      <c r="CK21" s="29"/>
      <c r="CL21" s="30"/>
      <c r="CM21" s="30"/>
      <c r="CN21" s="221" t="s">
        <v>64</v>
      </c>
      <c r="CO21" s="222"/>
      <c r="CP21" s="222"/>
      <c r="CQ21" s="223"/>
      <c r="CR21" s="224">
        <f>BM44</f>
        <v>0</v>
      </c>
      <c r="CS21" s="225"/>
      <c r="CT21" s="225"/>
      <c r="CU21" s="225"/>
      <c r="CV21" s="225"/>
      <c r="CW21" s="226"/>
      <c r="CY21" s="263"/>
      <c r="CZ21" s="263"/>
      <c r="DA21" s="29"/>
      <c r="DB21" s="30"/>
      <c r="DC21" s="30"/>
      <c r="DD21" s="221" t="s">
        <v>64</v>
      </c>
      <c r="DE21" s="222"/>
      <c r="DF21" s="222"/>
      <c r="DG21" s="223"/>
      <c r="DH21" s="224">
        <f t="shared" si="0"/>
        <v>0</v>
      </c>
      <c r="DI21" s="225"/>
      <c r="DJ21" s="225"/>
      <c r="DK21" s="225"/>
      <c r="DL21" s="225"/>
      <c r="DM21" s="226"/>
      <c r="DN21" s="25"/>
      <c r="DO21" s="25"/>
      <c r="DP21" s="26"/>
      <c r="DQ21" s="29"/>
      <c r="DR21" s="30"/>
      <c r="DS21" s="30"/>
      <c r="DT21" s="221" t="s">
        <v>64</v>
      </c>
      <c r="DU21" s="222"/>
      <c r="DV21" s="222"/>
      <c r="DW21" s="223"/>
      <c r="DX21" s="224">
        <f>CR21</f>
        <v>0</v>
      </c>
      <c r="DY21" s="225"/>
      <c r="DZ21" s="225"/>
      <c r="EA21" s="225"/>
      <c r="EB21" s="225"/>
      <c r="EC21" s="226"/>
      <c r="ED21" s="263"/>
      <c r="EE21" s="263"/>
      <c r="EF21" s="26"/>
      <c r="EQ21" s="297" t="s">
        <v>65</v>
      </c>
      <c r="ER21" s="298">
        <v>0.1</v>
      </c>
      <c r="FG21" s="299" t="s">
        <v>65</v>
      </c>
      <c r="FH21" s="300">
        <f>VLOOKUP($BA$26,'정비비(입고)'!$C$25:$M$31,$CR$39,0)</f>
        <v>48375</v>
      </c>
      <c r="FI21" s="300">
        <f>FH21*80%</f>
        <v>38700</v>
      </c>
      <c r="FJ21" s="300">
        <f>VLOOKUP($BA$26,'정비비(실속형)'!$B$4:$AAC$14,$CR$39,0)</f>
        <v>15490.666666666666</v>
      </c>
      <c r="FK21" s="300">
        <f>VLOOKUP($BA$26,'정비비(실속형)'!$M$4:$V$14,$CR$39,0)</f>
        <v>18124</v>
      </c>
      <c r="FL21" s="301">
        <f>VLOOKUP($BA$26,'정비비(실속형)'!$W$4:$AF$14,$CR$39,0)</f>
        <v>17257.066666666666</v>
      </c>
      <c r="FN21" s="299" t="s">
        <v>65</v>
      </c>
      <c r="FO21" s="300">
        <f>VLOOKUP($BM$26,'정비비(입고)'!$C$25:$M$31,$CR$39,0)</f>
        <v>45404</v>
      </c>
      <c r="FP21" s="300">
        <f>VLOOKUP($BM$26,'정비비(입고)'!$C$25:$M$31,$CR$39,0)</f>
        <v>45404</v>
      </c>
      <c r="FQ21" s="300">
        <f>VLOOKUP($BM$26,'정비비(실속형)'!$B$4:$AAC$14,FO18,0)</f>
        <v>15135</v>
      </c>
      <c r="FR21" s="300">
        <f>VLOOKUP($BA$26,'정비비(실속형)'!$M$4:$V$14,$CR$39,0)</f>
        <v>18124</v>
      </c>
      <c r="FS21" s="301">
        <f>VLOOKUP($BA$26,'정비비(실속형)'!$W$4:$AF$14,$CR$39,0)</f>
        <v>17257.066666666666</v>
      </c>
      <c r="FU21" s="299" t="s">
        <v>65</v>
      </c>
      <c r="FV21" s="300" t="e">
        <f>VLOOKUP($BY$26,'정비비(입고)'!#REF!,$CR$39,0)</f>
        <v>#REF!</v>
      </c>
      <c r="FW21" s="300" t="e">
        <f>VLOOKUP($BY$26,'정비비(입고)'!#REF!,$CR$39,0)</f>
        <v>#REF!</v>
      </c>
      <c r="FX21" s="300">
        <f>VLOOKUP($BY$26,'정비비(실속형)'!$B$4:$AAC$14,FV18,0)</f>
        <v>15135</v>
      </c>
      <c r="FY21" s="300">
        <f>VLOOKUP($BY$26,'정비비(실속형)'!$M$4:$V$14,$CR$39,0)</f>
        <v>17768.333333333336</v>
      </c>
      <c r="FZ21" s="301">
        <f>VLOOKUP($BY$26,'정비비(실속형)'!$W$4:$AF$14,$CR$39,0)</f>
        <v>16901.4</v>
      </c>
    </row>
    <row r="22" ht="27" customHeight="1" spans="1:182" x14ac:dyDescent="0.25">
      <c r="A22" s="2"/>
      <c r="B22" s="190" t="s">
        <v>45</v>
      </c>
      <c r="C22" s="191"/>
      <c r="D22" s="191"/>
      <c r="E22" s="302"/>
      <c r="F22" s="303">
        <f>IF(BP8="Y",BK13,AY13)</f>
        <v>0</v>
      </c>
      <c r="G22" s="304"/>
      <c r="H22" s="304"/>
      <c r="I22" s="304"/>
      <c r="J22" s="304"/>
      <c r="K22" s="304"/>
      <c r="L22" s="194">
        <f>IF(BP8="Y",BP13,BD13)</f>
        <v>0</v>
      </c>
      <c r="M22" s="194"/>
      <c r="N22" s="195"/>
      <c r="O22" s="305">
        <f>IF(BP8="Y",BP14,BD14)</f>
        <v>1598</v>
      </c>
      <c r="P22" s="306"/>
      <c r="Q22" s="307"/>
      <c r="R22" s="199" t="s">
        <v>46</v>
      </c>
      <c r="S22" s="200"/>
      <c r="T22" s="200"/>
      <c r="U22" s="200"/>
      <c r="V22" s="201"/>
      <c r="W22" s="202" t="str">
        <f>BA43</f>
        <v>없음</v>
      </c>
      <c r="X22" s="203"/>
      <c r="Y22" s="203"/>
      <c r="Z22" s="203"/>
      <c r="AA22" s="308"/>
      <c r="AB22" s="204" t="s">
        <v>47</v>
      </c>
      <c r="AC22" s="205"/>
      <c r="AD22" s="205"/>
      <c r="AE22" s="205"/>
      <c r="AF22" s="206"/>
      <c r="AG22" s="309" t="str">
        <f>BE41</f>
        <v>없음</v>
      </c>
      <c r="AH22" s="310"/>
      <c r="AI22" s="310"/>
      <c r="AJ22" s="310"/>
      <c r="AK22" s="209">
        <f>BM41</f>
        <v>0.15</v>
      </c>
      <c r="AL22" s="310"/>
      <c r="AM22" s="210" t="str">
        <f>BU41</f>
        <v>없음</v>
      </c>
      <c r="AN22" s="210"/>
      <c r="AO22" s="210"/>
      <c r="AP22" s="210"/>
      <c r="AQ22" s="211">
        <f>CB41</f>
        <v>0.35</v>
      </c>
      <c r="AR22" s="311"/>
      <c r="AV22" s="312"/>
      <c r="AW22" s="313"/>
      <c r="AX22" s="313"/>
      <c r="AY22" s="313"/>
      <c r="AZ22" s="313"/>
      <c r="BA22" s="313"/>
      <c r="BB22" s="313"/>
      <c r="BC22" s="313"/>
      <c r="BD22" s="313"/>
      <c r="BE22" s="313"/>
      <c r="BF22" s="313"/>
      <c r="BG22" s="314"/>
      <c r="BH22" s="315"/>
      <c r="BI22" s="313"/>
      <c r="BJ22" s="313"/>
      <c r="BK22" s="313"/>
      <c r="BL22" s="313"/>
      <c r="BM22" s="313"/>
      <c r="BN22" s="313"/>
      <c r="BO22" s="313"/>
      <c r="BP22" s="313"/>
      <c r="BQ22" s="313"/>
      <c r="BR22" s="313"/>
      <c r="BS22" s="314"/>
      <c r="BT22" s="316"/>
      <c r="BU22" s="313"/>
      <c r="BV22" s="313"/>
      <c r="BW22" s="313"/>
      <c r="BX22" s="313"/>
      <c r="BY22" s="313"/>
      <c r="BZ22" s="313"/>
      <c r="CA22" s="313"/>
      <c r="CB22" s="313"/>
      <c r="CC22" s="313"/>
      <c r="CD22" s="313"/>
      <c r="CE22" s="317"/>
      <c r="CI22" s="318"/>
      <c r="CJ22" s="318"/>
      <c r="CK22" s="29"/>
      <c r="CL22" s="30"/>
      <c r="CM22" s="30"/>
      <c r="CN22" s="319" t="s">
        <v>43</v>
      </c>
      <c r="CO22" s="320"/>
      <c r="CP22" s="320"/>
      <c r="CQ22" s="321"/>
      <c r="CR22" s="322">
        <f>BY44</f>
        <v>0</v>
      </c>
      <c r="CS22" s="323"/>
      <c r="CT22" s="323"/>
      <c r="CU22" s="323"/>
      <c r="CV22" s="323"/>
      <c r="CW22" s="324"/>
      <c r="CY22" s="263"/>
      <c r="CZ22" s="263"/>
      <c r="DA22" s="29"/>
      <c r="DB22" s="30"/>
      <c r="DC22" s="30"/>
      <c r="DD22" s="319" t="s">
        <v>43</v>
      </c>
      <c r="DE22" s="320"/>
      <c r="DF22" s="320"/>
      <c r="DG22" s="321"/>
      <c r="DH22" s="322">
        <f t="shared" si="0"/>
        <v>0</v>
      </c>
      <c r="DI22" s="323"/>
      <c r="DJ22" s="323"/>
      <c r="DK22" s="323"/>
      <c r="DL22" s="323"/>
      <c r="DM22" s="324"/>
      <c r="DO22" s="4"/>
      <c r="DP22" s="263"/>
      <c r="DQ22" s="29"/>
      <c r="DR22" s="30"/>
      <c r="DS22" s="30"/>
      <c r="DT22" s="319" t="s">
        <v>43</v>
      </c>
      <c r="DU22" s="320"/>
      <c r="DV22" s="320"/>
      <c r="DW22" s="321"/>
      <c r="DX22" s="322">
        <f>CR22</f>
        <v>0</v>
      </c>
      <c r="DY22" s="323"/>
      <c r="DZ22" s="323"/>
      <c r="EA22" s="323"/>
      <c r="EB22" s="323"/>
      <c r="EC22" s="324"/>
      <c r="ED22" s="263"/>
      <c r="EE22" s="263"/>
      <c r="EF22" s="26"/>
      <c r="EQ22" s="299" t="s">
        <v>66</v>
      </c>
      <c r="ER22" s="325">
        <v>0.08</v>
      </c>
      <c r="EZ22" s="326" t="s">
        <v>67</v>
      </c>
      <c r="FB22" s="282" t="s">
        <v>68</v>
      </c>
      <c r="FC22" s="327" t="s">
        <v>69</v>
      </c>
      <c r="FG22" s="299" t="s">
        <v>66</v>
      </c>
      <c r="FH22" s="5">
        <f t="shared" ref="FH22:FH27" si="1">FI22+7500</f>
        <v>43416</v>
      </c>
      <c r="FI22" s="5">
        <f>VLOOKUP($BA$26,'정비비(입고)'!$C$11:$M$17,$FH$18,0)</f>
        <v>35916</v>
      </c>
      <c r="FJ22" s="5">
        <f>VLOOKUP($BA$26,'정비비(실속형)'!$B$15:$L$21,$FH$18,0)</f>
        <v>18667</v>
      </c>
      <c r="FK22" s="5">
        <f>VLOOKUP($BA$26,'정비비(실속형)'!$M$15:$UC$21,$CR$39,0)</f>
        <v>18879.166666666668</v>
      </c>
      <c r="FL22" s="328">
        <f>VLOOKUP($BA$26,'정비비(실속형)'!$W$15:$AF$21,$CR$39,0)</f>
        <v>17976.11111111111</v>
      </c>
      <c r="FN22" s="299" t="s">
        <v>66</v>
      </c>
      <c r="FO22" s="5">
        <f t="shared" ref="FO22:FO27" si="2">FP22+7500</f>
        <v>40977</v>
      </c>
      <c r="FP22" s="5">
        <f>VLOOKUP($BM$26,'정비비(입고)'!$C$11:$M$17,FO18,0)</f>
        <v>33477</v>
      </c>
      <c r="FQ22" s="5">
        <f>VLOOKUP($BM$26,'정비비(실속형)'!$B$15:$L$21,FO18,0)</f>
        <v>18655</v>
      </c>
      <c r="FR22" s="5">
        <f>VLOOKUP($BA$26,'정비비(실속형)'!$M$15:$UC$21,$CR$39,0)</f>
        <v>18879.166666666668</v>
      </c>
      <c r="FS22" s="328">
        <f>VLOOKUP($BA$26,'정비비(실속형)'!$W$15:$AF$21,$CR$39,0)</f>
        <v>17976.11111111111</v>
      </c>
      <c r="FU22" s="299" t="s">
        <v>66</v>
      </c>
      <c r="FV22" s="5">
        <f t="shared" ref="FV22:FV27" si="3">FW22+7500</f>
        <v>40977</v>
      </c>
      <c r="FW22" s="5">
        <f>VLOOKUP($BY$26,'정비비(입고)'!$C$11:$M$17,FV18,0)</f>
        <v>33477</v>
      </c>
      <c r="FX22" s="5">
        <f>VLOOKUP($BY$26,'정비비(실속형)'!$B$15:$L$21,FV18,0)</f>
        <v>18655</v>
      </c>
      <c r="FY22" s="5">
        <f>VLOOKUP($BY$26,'정비비(실속형)'!$M$15:$UC$21,$CR$39,0)</f>
        <v>18508.68055555556</v>
      </c>
      <c r="FZ22" s="328">
        <f>VLOOKUP($BY$26,'정비비(실속형)'!$W$15:$AF$21,$CR$39,0)</f>
        <v>17605.625</v>
      </c>
    </row>
    <row r="23" ht="27" customHeight="1" spans="1:182" x14ac:dyDescent="0.25">
      <c r="A23" s="2"/>
      <c r="B23" s="227"/>
      <c r="C23" s="227"/>
      <c r="D23" s="329"/>
      <c r="E23" s="329"/>
      <c r="F23" s="329"/>
      <c r="G23" s="329"/>
      <c r="H23" s="229"/>
      <c r="I23" s="229"/>
      <c r="J23" s="330"/>
      <c r="K23" s="330"/>
      <c r="L23" s="330"/>
      <c r="M23" s="330"/>
      <c r="N23" s="230"/>
      <c r="O23" s="230"/>
      <c r="P23" s="230"/>
      <c r="Q23" s="230"/>
      <c r="R23" s="331"/>
      <c r="S23" s="331"/>
      <c r="T23" s="331"/>
      <c r="U23" s="331"/>
      <c r="V23" s="331"/>
      <c r="W23" s="331"/>
      <c r="X23" s="331"/>
      <c r="Y23" s="331"/>
      <c r="Z23" s="331"/>
      <c r="AA23" s="331"/>
      <c r="AB23" s="331"/>
      <c r="AC23" s="331"/>
      <c r="AD23" s="331"/>
      <c r="AE23" s="331"/>
      <c r="AF23" s="230"/>
      <c r="AG23" s="230"/>
      <c r="AH23" s="230"/>
      <c r="AI23" s="331"/>
      <c r="AJ23" s="331"/>
      <c r="AK23" s="331"/>
      <c r="AL23" s="331"/>
      <c r="AM23" s="331"/>
      <c r="AN23" s="230"/>
      <c r="AO23" s="230"/>
      <c r="AP23" s="230"/>
      <c r="AQ23" s="230"/>
      <c r="AR23" s="230"/>
      <c r="AV23" s="2"/>
      <c r="AW23" s="332"/>
      <c r="AX23" s="332"/>
      <c r="AY23" s="332"/>
      <c r="AZ23" s="332"/>
      <c r="BA23" s="332"/>
      <c r="BB23" s="332"/>
      <c r="BC23" s="332"/>
      <c r="BD23" s="332"/>
      <c r="BE23" s="332"/>
      <c r="BF23" s="332"/>
      <c r="BG23" s="332"/>
      <c r="BH23" s="333"/>
      <c r="BI23" s="332"/>
      <c r="BJ23" s="332"/>
      <c r="BK23" s="332"/>
      <c r="BL23" s="332"/>
      <c r="BM23" s="332"/>
      <c r="BN23" s="332"/>
      <c r="BO23" s="332"/>
      <c r="BP23" s="332"/>
      <c r="BQ23" s="332"/>
      <c r="BR23" s="332"/>
      <c r="BS23" s="332"/>
      <c r="BT23" s="332"/>
      <c r="BU23" s="332"/>
      <c r="BV23" s="332"/>
      <c r="BW23" s="332"/>
      <c r="BX23" s="332"/>
      <c r="BY23" s="332"/>
      <c r="BZ23" s="332"/>
      <c r="CA23" s="332"/>
      <c r="CB23" s="332"/>
      <c r="CC23" s="332"/>
      <c r="CD23" s="332"/>
      <c r="CE23" s="332"/>
      <c r="CH23" s="318"/>
      <c r="CK23" s="29"/>
      <c r="CL23" s="30"/>
      <c r="CM23" s="30"/>
      <c r="CN23" s="334" t="s">
        <v>70</v>
      </c>
      <c r="CO23" s="335"/>
      <c r="CP23" s="335"/>
      <c r="CQ23" s="335"/>
      <c r="CR23" s="336">
        <f>IF(BA42="K Car(외주) 탁송",CX23,IF(BA42="제조사+K Car(외주) 탁송",CX24,0))</f>
        <v>215950</v>
      </c>
      <c r="CS23" s="337"/>
      <c r="CT23" s="337"/>
      <c r="CU23" s="337"/>
      <c r="CV23" s="337"/>
      <c r="CW23" s="338"/>
      <c r="CX23" s="4">
        <f>VLOOKUP(BA10,국산_DB!$B$4:$ZZ$1511,VLOOKUP(BM42,$EZ$40:$FA$51,2,0),0)</f>
        <v>215950</v>
      </c>
      <c r="CY23" s="339"/>
      <c r="CZ23" s="26"/>
      <c r="DA23" s="29"/>
      <c r="DB23" s="30"/>
      <c r="DC23" s="30"/>
      <c r="DD23" s="334" t="s">
        <v>70</v>
      </c>
      <c r="DE23" s="335"/>
      <c r="DF23" s="335"/>
      <c r="DG23" s="335"/>
      <c r="DH23" s="336">
        <f>IF(BA42="K Car(외주) 탁송",IF(BP8="Y",VLOOKUP(BM10,국산_DB!$B$4:$ZZ$1511,VLOOKUP(BM42,$EZ$40:$FA$51,2,0),0),CR23),IF(BA42="제조사+K Car(외주) 탁송",DN23,0))</f>
        <v>215950</v>
      </c>
      <c r="DI23" s="337"/>
      <c r="DJ23" s="337"/>
      <c r="DK23" s="337"/>
      <c r="DL23" s="337"/>
      <c r="DM23" s="338"/>
      <c r="DN23" s="4">
        <f>CX24</f>
        <v>215950</v>
      </c>
      <c r="DO23" s="4"/>
      <c r="DP23" s="263"/>
      <c r="DQ23" s="29"/>
      <c r="DR23" s="30"/>
      <c r="DS23" s="30"/>
      <c r="DT23" s="334" t="s">
        <v>70</v>
      </c>
      <c r="DU23" s="335"/>
      <c r="DV23" s="335"/>
      <c r="DW23" s="335"/>
      <c r="DX23" s="336">
        <f>IF(BA42="K Car(외주) 탁송",IF(CB8="Y",VLOOKUP(BY10,국산_DB!$B$4:$ZZ$1511,VLOOKUP(BM42,$EZ$40:$FA$51,2,0),0),CR23),IF(BA42="제조사+K Car(외주) 탁송",ED23,0))</f>
        <v>215950</v>
      </c>
      <c r="DY23" s="337"/>
      <c r="DZ23" s="337"/>
      <c r="EA23" s="337"/>
      <c r="EB23" s="337"/>
      <c r="EC23" s="338"/>
      <c r="ED23" s="4">
        <f>DN23</f>
        <v>215950</v>
      </c>
      <c r="EE23" s="263"/>
      <c r="EF23" s="26"/>
      <c r="EQ23" s="299" t="s">
        <v>71</v>
      </c>
      <c r="ER23" s="325">
        <v>0.06</v>
      </c>
      <c r="EZ23" s="340" t="s">
        <v>18</v>
      </c>
      <c r="FB23" s="299" t="s">
        <v>72</v>
      </c>
      <c r="FC23" s="341" t="s">
        <v>73</v>
      </c>
      <c r="FG23" s="299" t="s">
        <v>71</v>
      </c>
      <c r="FH23" s="5">
        <f t="shared" si="1"/>
        <v>45486</v>
      </c>
      <c r="FI23" s="5">
        <f>VLOOKUP($BA$26,'정비비(입고)'!$C$18:$M$24,$FH$18,0)</f>
        <v>37986</v>
      </c>
      <c r="FJ23" s="5">
        <f>VLOOKUP($BA$26,'정비비(실속형)'!$B$22:$L$28,$FH$18,0)</f>
        <v>19404</v>
      </c>
      <c r="FK23" s="5">
        <f>VLOOKUP($BA$26,'정비비(실속형)'!$M$22:$V$28,$CR$39,0)</f>
        <v>19700</v>
      </c>
      <c r="FL23" s="328">
        <f>VLOOKUP($BA$26,'정비비(실속형)'!$W$22:$AF$28,$CR$39,0)</f>
        <v>18757.68115942029</v>
      </c>
      <c r="FN23" s="299" t="s">
        <v>71</v>
      </c>
      <c r="FO23" s="5">
        <f t="shared" si="2"/>
        <v>42973</v>
      </c>
      <c r="FP23" s="5">
        <f>VLOOKUP($BM$26,'정비비(입고)'!$C$18:$M$24,FO18,0)</f>
        <v>35473</v>
      </c>
      <c r="FQ23" s="5">
        <f>VLOOKUP($BM$26,'정비비(실속형)'!$B$22:$L$28,FO18,0)</f>
        <v>19400</v>
      </c>
      <c r="FR23" s="5">
        <f>VLOOKUP($BA$26,'정비비(실속형)'!$M$22:$V$28,$CR$39,0)</f>
        <v>19700</v>
      </c>
      <c r="FS23" s="328">
        <f>VLOOKUP($BA$26,'정비비(실속형)'!$W$22:$AF$28,$CR$39,0)</f>
        <v>18757.68115942029</v>
      </c>
      <c r="FU23" s="299" t="s">
        <v>71</v>
      </c>
      <c r="FV23" s="5">
        <f t="shared" si="3"/>
        <v>42973</v>
      </c>
      <c r="FW23" s="5">
        <f>VLOOKUP($BY$26,'정비비(입고)'!$C$18:$M$24,FV18,0)</f>
        <v>35473</v>
      </c>
      <c r="FX23" s="5">
        <f>VLOOKUP($BY$26,'정비비(실속형)'!$B$22:$L$28,FV18,0)</f>
        <v>19400</v>
      </c>
      <c r="FY23" s="5">
        <f>VLOOKUP($BY$26,'정비비(실속형)'!$M$22:$V$28,$CR$39,0)</f>
        <v>19313.40579710145</v>
      </c>
      <c r="FZ23" s="328">
        <f>VLOOKUP($BY$26,'정비비(실속형)'!$W$22:$AF$28,$CR$39,0)</f>
        <v>18371.08695652174</v>
      </c>
    </row>
    <row r="24" ht="27" customHeight="1" spans="1:182" x14ac:dyDescent="0.25">
      <c r="A24" s="2"/>
      <c r="B24" s="342" t="str">
        <f>IF(CB8="Y",BY10,BA10)</f>
        <v>아반떼 1.6 가솔린</v>
      </c>
      <c r="C24" s="343"/>
      <c r="D24" s="343"/>
      <c r="E24" s="343"/>
      <c r="F24" s="343"/>
      <c r="G24" s="343"/>
      <c r="H24" s="343"/>
      <c r="I24" s="343"/>
      <c r="J24" s="343"/>
      <c r="K24" s="343"/>
      <c r="L24" s="344">
        <f>IF(CB8="Y",BY17,BA17)</f>
        <v>20610000</v>
      </c>
      <c r="M24" s="345"/>
      <c r="N24" s="345"/>
      <c r="O24" s="345"/>
      <c r="P24" s="345"/>
      <c r="Q24" s="345"/>
      <c r="R24" s="346">
        <f>BY26</f>
        <v>48</v>
      </c>
      <c r="S24" s="346"/>
      <c r="T24" s="346"/>
      <c r="U24" s="346"/>
      <c r="V24" s="346"/>
      <c r="W24" s="244" t="str">
        <f>VLOOKUP(BY28,$EQ$32:$ES$36,3,0)</f>
        <v>실속형</v>
      </c>
      <c r="X24" s="245"/>
      <c r="Y24" s="245"/>
      <c r="Z24" s="245"/>
      <c r="AA24" s="246"/>
      <c r="AB24" s="347">
        <f>CA29+CA30</f>
        <v>0</v>
      </c>
      <c r="AC24" s="347"/>
      <c r="AD24" s="347"/>
      <c r="AE24" s="347"/>
      <c r="AF24" s="347"/>
      <c r="AG24" s="348">
        <f>CA36</f>
        <v>11747700.000000002</v>
      </c>
      <c r="AH24" s="348"/>
      <c r="AI24" s="348"/>
      <c r="AJ24" s="348"/>
      <c r="AK24" s="349"/>
      <c r="AL24" s="142">
        <f>ROUNDUP(DW51*1.1,-2)</f>
        <v>410500</v>
      </c>
      <c r="AM24" s="143"/>
      <c r="AN24" s="143"/>
      <c r="AO24" s="143"/>
      <c r="AP24" s="143"/>
      <c r="AQ24" s="143"/>
      <c r="AR24" s="144"/>
      <c r="AV24" s="350"/>
      <c r="AW24" s="351"/>
      <c r="AX24" s="351"/>
      <c r="AY24" s="351"/>
      <c r="AZ24" s="351"/>
      <c r="BA24" s="351"/>
      <c r="BB24" s="351"/>
      <c r="BC24" s="351"/>
      <c r="BD24" s="351"/>
      <c r="BE24" s="351"/>
      <c r="BF24" s="351"/>
      <c r="BG24" s="351"/>
      <c r="BH24" s="352"/>
      <c r="BI24" s="351"/>
      <c r="BJ24" s="351"/>
      <c r="BK24" s="351"/>
      <c r="BL24" s="351"/>
      <c r="BM24" s="351"/>
      <c r="BN24" s="351"/>
      <c r="BO24" s="351"/>
      <c r="BP24" s="351"/>
      <c r="BQ24" s="351"/>
      <c r="BR24" s="351"/>
      <c r="BS24" s="351"/>
      <c r="BT24" s="351"/>
      <c r="BU24" s="351"/>
      <c r="BV24" s="351"/>
      <c r="BW24" s="351"/>
      <c r="BX24" s="351"/>
      <c r="BY24" s="351"/>
      <c r="BZ24" s="351"/>
      <c r="CA24" s="351"/>
      <c r="CB24" s="351"/>
      <c r="CC24" s="351"/>
      <c r="CD24" s="351"/>
      <c r="CE24" s="353"/>
      <c r="CK24" s="29"/>
      <c r="CL24" s="30"/>
      <c r="CM24" s="30"/>
      <c r="CN24" s="354" t="s">
        <v>74</v>
      </c>
      <c r="CO24" s="355"/>
      <c r="CP24" s="355"/>
      <c r="CQ24" s="355"/>
      <c r="CR24" s="356">
        <v>42000</v>
      </c>
      <c r="CS24" s="45"/>
      <c r="CT24" s="45"/>
      <c r="CU24" s="45"/>
      <c r="CV24" s="45"/>
      <c r="CW24" s="46"/>
      <c r="CX24" s="4">
        <f>VLOOKUP(BM42,탁송료!$B$20:$C$31,2,0)</f>
        <v>215950</v>
      </c>
      <c r="CY24" s="263"/>
      <c r="CZ24" s="26"/>
      <c r="DA24" s="29"/>
      <c r="DB24" s="30"/>
      <c r="DC24" s="30"/>
      <c r="DD24" s="354" t="s">
        <v>74</v>
      </c>
      <c r="DE24" s="355"/>
      <c r="DF24" s="355"/>
      <c r="DG24" s="355"/>
      <c r="DH24" s="356">
        <v>42000</v>
      </c>
      <c r="DI24" s="45"/>
      <c r="DJ24" s="45"/>
      <c r="DK24" s="45"/>
      <c r="DL24" s="45"/>
      <c r="DM24" s="46"/>
      <c r="DO24" s="4"/>
      <c r="DP24" s="263"/>
      <c r="DQ24" s="29"/>
      <c r="DR24" s="30"/>
      <c r="DS24" s="30"/>
      <c r="DT24" s="354" t="s">
        <v>74</v>
      </c>
      <c r="DU24" s="355"/>
      <c r="DV24" s="355"/>
      <c r="DW24" s="355"/>
      <c r="DX24" s="356">
        <v>42000</v>
      </c>
      <c r="DY24" s="45"/>
      <c r="DZ24" s="45"/>
      <c r="EA24" s="45"/>
      <c r="EB24" s="45"/>
      <c r="EC24" s="46"/>
      <c r="ED24" s="263"/>
      <c r="EE24" s="263"/>
      <c r="EF24" s="25"/>
      <c r="EN24" s="5"/>
      <c r="EO24" s="5"/>
      <c r="EP24" s="5"/>
      <c r="EQ24" s="299" t="s">
        <v>75</v>
      </c>
      <c r="ER24" s="325">
        <v>0.04</v>
      </c>
      <c r="EZ24" s="340" t="s">
        <v>76</v>
      </c>
      <c r="FB24" s="357" t="s">
        <v>69</v>
      </c>
      <c r="FC24" s="358"/>
      <c r="FG24" s="299" t="s">
        <v>75</v>
      </c>
      <c r="FH24" s="5">
        <f t="shared" si="1"/>
        <v>55875</v>
      </c>
      <c r="FI24" s="5">
        <f>VLOOKUP($BA$26,'정비비(입고)'!$C$25:$M$31,$FH$18,0)</f>
        <v>48375</v>
      </c>
      <c r="FJ24" s="5">
        <f>VLOOKUP($BA$26,'정비비(실속형)'!$B$29:$L$35,$FH$18,0)</f>
        <v>20214</v>
      </c>
      <c r="FK24" s="5">
        <f>VLOOKUP($BA$26,'정비비(실속형)'!$M$29:$V$35,$CR$39,0)</f>
        <v>20595.454545454544</v>
      </c>
      <c r="FL24" s="328">
        <f>VLOOKUP($BA$26,'정비비(실속형)'!$W$29:$AF$35,$CR$39,0)</f>
        <v>19610.30303030303</v>
      </c>
      <c r="FN24" s="299" t="s">
        <v>75</v>
      </c>
      <c r="FO24" s="5">
        <f t="shared" si="2"/>
        <v>52904</v>
      </c>
      <c r="FP24" s="5">
        <f>VLOOKUP($BM$26,'정비비(입고)'!$C$25:$M$31,FO18,0)</f>
        <v>45404</v>
      </c>
      <c r="FQ24" s="5">
        <f>VLOOKUP($BM$26,'정비비(실속형)'!$B$29:$L$35,FO18,0)</f>
        <v>20220</v>
      </c>
      <c r="FR24" s="5">
        <f>VLOOKUP($BA$26,'정비비(실속형)'!$M$29:$V$35,$CR$39,0)</f>
        <v>20595.454545454544</v>
      </c>
      <c r="FS24" s="328">
        <f>VLOOKUP($BA$26,'정비비(실속형)'!$W$29:$AF$35,$CR$39,0)</f>
        <v>19610.30303030303</v>
      </c>
      <c r="FU24" s="299" t="s">
        <v>75</v>
      </c>
      <c r="FV24" s="5">
        <f t="shared" si="3"/>
        <v>52904</v>
      </c>
      <c r="FW24" s="5">
        <f>VLOOKUP($BY$26,'정비비(입고)'!$C$25:$M$31,FV18,0)</f>
        <v>45404</v>
      </c>
      <c r="FX24" s="5">
        <f>VLOOKUP($BY$26,'정비비(실속형)'!$B$29:$L$35,FV18,0)</f>
        <v>20220</v>
      </c>
      <c r="FY24" s="5">
        <f>VLOOKUP($BY$26,'정비비(실속형)'!$M$29:$V$35,$CR$39,0)</f>
        <v>20191.28787878788</v>
      </c>
      <c r="FZ24" s="328">
        <f>VLOOKUP($BY$26,'정비비(실속형)'!$W$29:$AF$35,$CR$39,0)</f>
        <v>19206.13636363636</v>
      </c>
    </row>
    <row r="25" ht="27" customHeight="1" spans="1:182" x14ac:dyDescent="0.25">
      <c r="A25" s="2"/>
      <c r="B25" s="147">
        <f>IF(CB8="Y",BY11,BA11)</f>
        <v>0</v>
      </c>
      <c r="C25" s="148"/>
      <c r="D25" s="148"/>
      <c r="E25" s="148"/>
      <c r="F25" s="148"/>
      <c r="G25" s="148"/>
      <c r="H25" s="149"/>
      <c r="I25" s="359" t="str">
        <f>IF(CB8="Y",BW14,AY14)</f>
        <v>가솔린</v>
      </c>
      <c r="J25" s="148"/>
      <c r="K25" s="148"/>
      <c r="L25" s="152">
        <f>IF(CB8="Y",BY16,BA16)</f>
        <v>0</v>
      </c>
      <c r="M25" s="152"/>
      <c r="N25" s="152"/>
      <c r="O25" s="152"/>
      <c r="P25" s="152"/>
      <c r="Q25" s="152"/>
      <c r="R25" s="153" t="str">
        <f>BY27</f>
        <v>년 2만km</v>
      </c>
      <c r="S25" s="153"/>
      <c r="T25" s="153"/>
      <c r="U25" s="153"/>
      <c r="V25" s="153"/>
      <c r="W25" s="154"/>
      <c r="X25" s="155"/>
      <c r="Y25" s="155"/>
      <c r="Z25" s="155"/>
      <c r="AA25" s="156"/>
      <c r="AB25" s="157">
        <f>CA33+CA34</f>
        <v>0</v>
      </c>
      <c r="AC25" s="157"/>
      <c r="AD25" s="157"/>
      <c r="AE25" s="157"/>
      <c r="AF25" s="157"/>
      <c r="AG25" s="158"/>
      <c r="AH25" s="158"/>
      <c r="AI25" s="158"/>
      <c r="AJ25" s="158"/>
      <c r="AK25" s="159"/>
      <c r="AL25" s="160"/>
      <c r="AM25" s="161"/>
      <c r="AN25" s="161"/>
      <c r="AO25" s="161"/>
      <c r="AP25" s="161"/>
      <c r="AQ25" s="161"/>
      <c r="AR25" s="162"/>
      <c r="AV25" s="360"/>
      <c r="AW25" s="361"/>
      <c r="AX25" s="361"/>
      <c r="AY25" s="361"/>
      <c r="AZ25" s="361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8" t="s">
        <v>13</v>
      </c>
      <c r="BN25" s="59"/>
      <c r="BO25" s="60"/>
      <c r="BP25" s="61" t="s">
        <v>14</v>
      </c>
      <c r="BQ25" s="62"/>
      <c r="BR25" s="63"/>
      <c r="BS25" s="55"/>
      <c r="BT25" s="55"/>
      <c r="BU25" s="55"/>
      <c r="BV25" s="55"/>
      <c r="BW25" s="55"/>
      <c r="BX25" s="55"/>
      <c r="BY25" s="58" t="s">
        <v>13</v>
      </c>
      <c r="BZ25" s="59"/>
      <c r="CA25" s="60"/>
      <c r="CB25" s="61" t="s">
        <v>14</v>
      </c>
      <c r="CC25" s="62"/>
      <c r="CD25" s="63"/>
      <c r="CE25" s="362"/>
      <c r="CG25" s="2"/>
      <c r="CK25" s="29"/>
      <c r="CL25" s="30"/>
      <c r="CM25" s="30"/>
      <c r="CN25" s="354" t="s">
        <v>77</v>
      </c>
      <c r="CO25" s="355"/>
      <c r="CP25" s="355"/>
      <c r="CQ25" s="355"/>
      <c r="CR25" s="356">
        <f>IF(CX25&lt;0,0,CX25)</f>
        <v>679083.3700384124</v>
      </c>
      <c r="CS25" s="45"/>
      <c r="CT25" s="45"/>
      <c r="CU25" s="45"/>
      <c r="CV25" s="45"/>
      <c r="CW25" s="46"/>
      <c r="CX25" s="4">
        <f>IF(CP39="HEV",CR14*4%,CR14*4%)</f>
        <v>679083.3700384124</v>
      </c>
      <c r="CY25" s="4"/>
      <c r="CZ25" s="26"/>
      <c r="DA25" s="29"/>
      <c r="DB25" s="30"/>
      <c r="DC25" s="30"/>
      <c r="DD25" s="354" t="s">
        <v>77</v>
      </c>
      <c r="DE25" s="355"/>
      <c r="DF25" s="355"/>
      <c r="DG25" s="355"/>
      <c r="DH25" s="356">
        <f>IF(DN25&lt;0,0,DN25)</f>
        <v>679083.3700384124</v>
      </c>
      <c r="DI25" s="45"/>
      <c r="DJ25" s="45"/>
      <c r="DK25" s="45"/>
      <c r="DL25" s="45"/>
      <c r="DM25" s="46"/>
      <c r="DN25" s="4">
        <f>IF(DF39="HEV",DH14*4%,DH14*4%)</f>
        <v>679083.3700384124</v>
      </c>
      <c r="DO25" s="4"/>
      <c r="DP25" s="263"/>
      <c r="DQ25" s="29"/>
      <c r="DR25" s="30"/>
      <c r="DS25" s="30"/>
      <c r="DT25" s="354" t="s">
        <v>77</v>
      </c>
      <c r="DU25" s="355"/>
      <c r="DV25" s="355"/>
      <c r="DW25" s="355"/>
      <c r="DX25" s="356">
        <f>IF(ED25&lt;0,0,ED25)</f>
        <v>679083.3700384124</v>
      </c>
      <c r="DY25" s="45"/>
      <c r="DZ25" s="45"/>
      <c r="EA25" s="45"/>
      <c r="EB25" s="45"/>
      <c r="EC25" s="46"/>
      <c r="ED25" s="4">
        <f>IF(DV39="HEV",DX14*4%,DX14*4%)</f>
        <v>679083.3700384124</v>
      </c>
      <c r="EE25" s="4"/>
      <c r="EF25" s="2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299" t="s">
        <v>78</v>
      </c>
      <c r="ER25" s="325">
        <v>0.02</v>
      </c>
      <c r="EZ25" s="340" t="s">
        <v>79</v>
      </c>
      <c r="FG25" s="299" t="s">
        <v>78</v>
      </c>
      <c r="FH25" s="5">
        <f t="shared" si="1"/>
        <v>62265</v>
      </c>
      <c r="FI25" s="5">
        <f>VLOOKUP($BA$26,'정비비(입고)'!$C$32:$M$38,$FH$18,0)</f>
        <v>54765</v>
      </c>
      <c r="FJ25" s="5">
        <f>VLOOKUP($BA$26,'정비비(실속형)'!$B$36:$L$42,$FH$18,0)</f>
        <v>20214</v>
      </c>
      <c r="FK25" s="5">
        <f>VLOOKUP($BA$26,'정비비(실속형)'!$M$36:$V$42,$CR$39,0)</f>
        <v>21576.190476190477</v>
      </c>
      <c r="FL25" s="328">
        <f>VLOOKUP($BA$26,'정비비(실속형)'!$W$36:$AF$42,$CR$39,0)</f>
        <v>20544.126984126982</v>
      </c>
      <c r="FN25" s="299" t="s">
        <v>78</v>
      </c>
      <c r="FO25" s="5">
        <f t="shared" si="2"/>
        <v>55346</v>
      </c>
      <c r="FP25" s="5">
        <f>VLOOKUP($BM$26,'정비비(입고)'!$C$32:$M$38,FO18,0)</f>
        <v>47846</v>
      </c>
      <c r="FQ25" s="5">
        <f>VLOOKUP($BM$26,'정비비(실속형)'!$B$36:$L$42,FO18,0)</f>
        <v>20220</v>
      </c>
      <c r="FR25" s="5">
        <f>VLOOKUP($BA$26,'정비비(실속형)'!$M$36:$V$42,$CR$39,0)</f>
        <v>21576.190476190477</v>
      </c>
      <c r="FS25" s="328">
        <f>VLOOKUP($BA$26,'정비비(실속형)'!$W$36:$AF$42,$CR$39,0)</f>
        <v>20544.126984126982</v>
      </c>
      <c r="FU25" s="299" t="s">
        <v>78</v>
      </c>
      <c r="FV25" s="5">
        <f t="shared" si="3"/>
        <v>55346</v>
      </c>
      <c r="FW25" s="5">
        <f>VLOOKUP($BY$26,'정비비(입고)'!$C$31:$M$38,FV18,0)</f>
        <v>47846</v>
      </c>
      <c r="FX25" s="5">
        <f>VLOOKUP($BY$26,'정비비(실속형)'!$B$36:$L$42,FV18,0)</f>
        <v>20220</v>
      </c>
      <c r="FY25" s="5">
        <f>VLOOKUP($BY$26,'정비비(실속형)'!$M$36:$V$42,$CR$39,0)</f>
        <v>21152.777777777777</v>
      </c>
      <c r="FZ25" s="328">
        <f>VLOOKUP($BY$26,'정비비(실속형)'!$W$36:$AF$42,$CR$39,0)</f>
        <v>20120.714285714286</v>
      </c>
    </row>
    <row r="26" ht="27" customHeight="1" spans="1:182" x14ac:dyDescent="0.25">
      <c r="A26" s="2"/>
      <c r="B26" s="363" t="s">
        <v>42</v>
      </c>
      <c r="C26" s="364"/>
      <c r="D26" s="364"/>
      <c r="E26" s="364"/>
      <c r="F26" s="364"/>
      <c r="G26" s="364"/>
      <c r="H26" s="364"/>
      <c r="I26" s="364"/>
      <c r="J26" s="364"/>
      <c r="K26" s="365"/>
      <c r="L26" s="174">
        <f>IF(CB8="Y",BY12,BA12)</f>
        <v>0</v>
      </c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5"/>
      <c r="AC26" s="175"/>
      <c r="AD26" s="175"/>
      <c r="AE26" s="175"/>
      <c r="AF26" s="175"/>
      <c r="AG26" s="175"/>
      <c r="AH26" s="175"/>
      <c r="AI26" s="175"/>
      <c r="AJ26" s="175"/>
      <c r="AK26" s="175"/>
      <c r="AL26" s="175"/>
      <c r="AM26" s="175"/>
      <c r="AN26" s="175"/>
      <c r="AO26" s="175"/>
      <c r="AP26" s="175"/>
      <c r="AQ26" s="175"/>
      <c r="AR26" s="176"/>
      <c r="AV26" s="360"/>
      <c r="AW26" s="366" t="s">
        <v>30</v>
      </c>
      <c r="AX26" s="366"/>
      <c r="AY26" s="366"/>
      <c r="AZ26" s="366"/>
      <c r="BA26" s="367">
        <v>36</v>
      </c>
      <c r="BB26" s="367"/>
      <c r="BC26" s="367"/>
      <c r="BD26" s="367"/>
      <c r="BE26" s="367"/>
      <c r="BF26" s="367"/>
      <c r="BG26" s="368"/>
      <c r="BH26" s="369"/>
      <c r="BI26" s="366" t="s">
        <v>30</v>
      </c>
      <c r="BJ26" s="366"/>
      <c r="BK26" s="366"/>
      <c r="BL26" s="366"/>
      <c r="BM26" s="367">
        <v>48</v>
      </c>
      <c r="BN26" s="367"/>
      <c r="BO26" s="367"/>
      <c r="BP26" s="367"/>
      <c r="BQ26" s="367"/>
      <c r="BR26" s="367"/>
      <c r="BS26" s="368"/>
      <c r="BT26" s="369"/>
      <c r="BU26" s="366" t="s">
        <v>30</v>
      </c>
      <c r="BV26" s="366"/>
      <c r="BW26" s="366"/>
      <c r="BX26" s="366"/>
      <c r="BY26" s="367">
        <v>48</v>
      </c>
      <c r="BZ26" s="367"/>
      <c r="CA26" s="367"/>
      <c r="CB26" s="367"/>
      <c r="CC26" s="367"/>
      <c r="CD26" s="367"/>
      <c r="CE26" s="370"/>
      <c r="CF26" s="2"/>
      <c r="CK26" s="371"/>
      <c r="CL26" s="372"/>
      <c r="CM26" s="372"/>
      <c r="CN26" s="354" t="s">
        <v>4</v>
      </c>
      <c r="CO26" s="355"/>
      <c r="CP26" s="355"/>
      <c r="CQ26" s="355"/>
      <c r="CR26" s="356">
        <f>IF(CN39="완전",0,IF(CX26&lt;0,0,IF(CX28&gt;1300000,CX27-1300000,CX26)))</f>
        <v>772457.3334186941</v>
      </c>
      <c r="CS26" s="45"/>
      <c r="CT26" s="45"/>
      <c r="CU26" s="45"/>
      <c r="CV26" s="45"/>
      <c r="CW26" s="46"/>
      <c r="CX26" s="4">
        <f>IF(CP39="HEV",CR14*BA5*130%-1300000,CR14*BA5*130%)</f>
        <v>772457.3334186941</v>
      </c>
      <c r="CY26" s="4"/>
      <c r="CZ26" s="26"/>
      <c r="DA26" s="371"/>
      <c r="DB26" s="372"/>
      <c r="DC26" s="372"/>
      <c r="DD26" s="354" t="s">
        <v>4</v>
      </c>
      <c r="DE26" s="355"/>
      <c r="DF26" s="355"/>
      <c r="DG26" s="355"/>
      <c r="DH26" s="356">
        <f>IF(DD39="완전",0,IF(DN26&lt;0,0,IF(DN28&gt;1300000,DN27-1300000,DN26)))</f>
        <v>772457.3334186941</v>
      </c>
      <c r="DI26" s="45"/>
      <c r="DJ26" s="45"/>
      <c r="DK26" s="45"/>
      <c r="DL26" s="45"/>
      <c r="DM26" s="46"/>
      <c r="DN26" s="4">
        <f>IF(BP8="Y",IF(DF39="HEV",DH14*(BM5*130%)-1300000,DH14*BM5*130%),DO26)</f>
        <v>772457.3334186941</v>
      </c>
      <c r="DO26" s="4"/>
      <c r="DP26" s="263"/>
      <c r="DQ26" s="371"/>
      <c r="DR26" s="372"/>
      <c r="DS26" s="372"/>
      <c r="DT26" s="354" t="s">
        <v>4</v>
      </c>
      <c r="DU26" s="355"/>
      <c r="DV26" s="355"/>
      <c r="DW26" s="355"/>
      <c r="DX26" s="356">
        <f>IF(DT39="완전",0,IF(ED26&lt;0,0,IF(ED28&gt;1300000,ED27-1300000,ED26)))</f>
        <v>772457.3334186941</v>
      </c>
      <c r="DY26" s="45"/>
      <c r="DZ26" s="45"/>
      <c r="EA26" s="45"/>
      <c r="EB26" s="45"/>
      <c r="EC26" s="46"/>
      <c r="ED26" s="4">
        <f>IF(CB8="Y",IF(DV39="HEV",DX14*(BY5*130%)-1300000,DX14*BY5*130%),EE26)</f>
        <v>772457.3334186941</v>
      </c>
      <c r="EE26" s="4"/>
      <c r="EF26" s="2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299" t="s">
        <v>80</v>
      </c>
      <c r="ER26" s="325">
        <v>0</v>
      </c>
      <c r="EZ26" s="340" t="s">
        <v>81</v>
      </c>
      <c r="FG26" s="299" t="s">
        <v>80</v>
      </c>
      <c r="FH26" s="5">
        <f t="shared" si="1"/>
        <v>74035</v>
      </c>
      <c r="FI26" s="5">
        <f>VLOOKUP($BA$26,'정비비(입고)'!$C$39:$M$45,$FH$18,0)</f>
        <v>66535</v>
      </c>
      <c r="FJ26" s="5">
        <f>VLOOKUP($BA$26,'정비비(실속형)'!$B$43:$L$49,$FH$18,0)</f>
        <v>21915</v>
      </c>
      <c r="FK26" s="5">
        <f>VLOOKUP($BA$26,'정비비(실속형)'!$M$43:$V$49,$CR$39,0)</f>
        <v>22655</v>
      </c>
      <c r="FL26" s="328">
        <f>VLOOKUP($BA$26,'정비비(실속형)'!$W$43:$AF$49,$CR$39,0)</f>
        <v>21571.333333333332</v>
      </c>
      <c r="FN26" s="299" t="s">
        <v>80</v>
      </c>
      <c r="FO26" s="5">
        <f t="shared" si="2"/>
        <v>70941</v>
      </c>
      <c r="FP26" s="5">
        <f>VLOOKUP($BM$26,'정비비(입고)'!$C$39:$M$45,FO18,0)</f>
        <v>63441</v>
      </c>
      <c r="FQ26" s="5">
        <f>VLOOKUP($BM$26,'정비비(실속형)'!$B$43:$L$49,FO18,0)</f>
        <v>21942</v>
      </c>
      <c r="FR26" s="5">
        <f>VLOOKUP($BA$26,'정비비(실속형)'!$M$43:$V$49,$CR$39,0)</f>
        <v>22655</v>
      </c>
      <c r="FS26" s="328">
        <f>VLOOKUP($BA$26,'정비비(실속형)'!$W$43:$AF$49,$CR$39,0)</f>
        <v>21571.333333333332</v>
      </c>
      <c r="FU26" s="299" t="s">
        <v>80</v>
      </c>
      <c r="FV26" s="5">
        <f t="shared" si="3"/>
        <v>70941</v>
      </c>
      <c r="FW26" s="5">
        <f>VLOOKUP($BY$26,'정비비(입고)'!$C$39:$M$45,FV18,0)</f>
        <v>63441</v>
      </c>
      <c r="FX26" s="5">
        <f>VLOOKUP($BY$26,'정비비(실속형)'!$B$43:$L$49,FV18,0)</f>
        <v>21942</v>
      </c>
      <c r="FY26" s="5">
        <f>VLOOKUP($BY$26,'정비비(실속형)'!$M$43:$V$49,$CR$39,0)</f>
        <v>22210.416666666668</v>
      </c>
      <c r="FZ26" s="328">
        <f>VLOOKUP($BY$26,'정비비(실속형)'!$W$43:$AF$49,$CR$39,0)</f>
        <v>21126.75</v>
      </c>
    </row>
    <row r="27" ht="27" customHeight="1" spans="1:182" x14ac:dyDescent="0.25">
      <c r="A27" s="2"/>
      <c r="B27" s="190" t="s">
        <v>45</v>
      </c>
      <c r="C27" s="191"/>
      <c r="D27" s="191"/>
      <c r="E27" s="302"/>
      <c r="F27" s="373">
        <f>IF(CB8="Y",BW13,AY13)</f>
        <v>0</v>
      </c>
      <c r="G27" s="304"/>
      <c r="H27" s="304"/>
      <c r="I27" s="304"/>
      <c r="J27" s="304"/>
      <c r="K27" s="304"/>
      <c r="L27" s="194">
        <f>IF(CB8="Y",CB13,BD13)</f>
        <v>0</v>
      </c>
      <c r="M27" s="194"/>
      <c r="N27" s="374"/>
      <c r="O27" s="375">
        <f>IF(CB8="Y",CB14,BD14)</f>
        <v>1598</v>
      </c>
      <c r="P27" s="306"/>
      <c r="Q27" s="376"/>
      <c r="R27" s="199" t="s">
        <v>46</v>
      </c>
      <c r="S27" s="200"/>
      <c r="T27" s="200"/>
      <c r="U27" s="200"/>
      <c r="V27" s="201"/>
      <c r="W27" s="202" t="str">
        <f>BA43</f>
        <v>없음</v>
      </c>
      <c r="X27" s="203"/>
      <c r="Y27" s="203"/>
      <c r="Z27" s="203"/>
      <c r="AA27" s="377"/>
      <c r="AB27" s="204" t="s">
        <v>47</v>
      </c>
      <c r="AC27" s="205"/>
      <c r="AD27" s="205"/>
      <c r="AE27" s="205"/>
      <c r="AF27" s="206"/>
      <c r="AG27" s="310" t="str">
        <f>BE41</f>
        <v>없음</v>
      </c>
      <c r="AH27" s="310"/>
      <c r="AI27" s="310"/>
      <c r="AJ27" s="310"/>
      <c r="AK27" s="378">
        <f>BM41</f>
        <v>0.15</v>
      </c>
      <c r="AL27" s="379"/>
      <c r="AM27" s="210" t="str">
        <f>BU41</f>
        <v>없음</v>
      </c>
      <c r="AN27" s="210"/>
      <c r="AO27" s="210"/>
      <c r="AP27" s="210"/>
      <c r="AQ27" s="211">
        <f>CB41</f>
        <v>0.35</v>
      </c>
      <c r="AR27" s="311"/>
      <c r="AV27" s="360"/>
      <c r="AW27" s="366" t="s">
        <v>82</v>
      </c>
      <c r="AX27" s="366"/>
      <c r="AY27" s="366"/>
      <c r="AZ27" s="366"/>
      <c r="BA27" s="380" t="s">
        <v>83</v>
      </c>
      <c r="BB27" s="380"/>
      <c r="BC27" s="380"/>
      <c r="BD27" s="380"/>
      <c r="BE27" s="380"/>
      <c r="BF27" s="380"/>
      <c r="BG27" s="368"/>
      <c r="BH27" s="369"/>
      <c r="BI27" s="366" t="s">
        <v>82</v>
      </c>
      <c r="BJ27" s="366"/>
      <c r="BK27" s="366"/>
      <c r="BL27" s="366"/>
      <c r="BM27" s="380" t="s">
        <v>75</v>
      </c>
      <c r="BN27" s="380"/>
      <c r="BO27" s="380"/>
      <c r="BP27" s="380"/>
      <c r="BQ27" s="380"/>
      <c r="BR27" s="380"/>
      <c r="BS27" s="368"/>
      <c r="BT27" s="369"/>
      <c r="BU27" s="366" t="s">
        <v>82</v>
      </c>
      <c r="BV27" s="366"/>
      <c r="BW27" s="366"/>
      <c r="BX27" s="366"/>
      <c r="BY27" s="380" t="s">
        <v>75</v>
      </c>
      <c r="BZ27" s="380"/>
      <c r="CA27" s="380"/>
      <c r="CB27" s="380"/>
      <c r="CC27" s="380"/>
      <c r="CD27" s="380"/>
      <c r="CE27" s="370"/>
      <c r="CK27" s="29"/>
      <c r="CL27" s="30"/>
      <c r="CM27" s="30"/>
      <c r="CN27" s="354" t="s">
        <v>84</v>
      </c>
      <c r="CO27" s="355"/>
      <c r="CP27" s="355"/>
      <c r="CQ27" s="355"/>
      <c r="CR27" s="356">
        <f>(CR28+CR29+CR30+CR31+CR32+CR33)/1.1</f>
        <v>0</v>
      </c>
      <c r="CS27" s="45"/>
      <c r="CT27" s="45"/>
      <c r="CU27" s="45"/>
      <c r="CV27" s="45"/>
      <c r="CW27" s="46"/>
      <c r="CX27" s="4">
        <f>IF(CP39="HEV",CR14*BA6*130%-1300000,CR14*BA6*130%)</f>
        <v>1103510.4763124203</v>
      </c>
      <c r="CY27" s="4"/>
      <c r="CZ27" s="26"/>
      <c r="DA27" s="29"/>
      <c r="DB27" s="30"/>
      <c r="DC27" s="30"/>
      <c r="DD27" s="354" t="s">
        <v>84</v>
      </c>
      <c r="DE27" s="355"/>
      <c r="DF27" s="355"/>
      <c r="DG27" s="355"/>
      <c r="DH27" s="356">
        <f>(DH28+DH29+DH30+DH31+DH32+DH33)/1.1</f>
        <v>0</v>
      </c>
      <c r="DI27" s="45"/>
      <c r="DJ27" s="45"/>
      <c r="DK27" s="45"/>
      <c r="DL27" s="45"/>
      <c r="DM27" s="46"/>
      <c r="DN27" s="4">
        <f>IF(CP39="HEV",DH14*BA6*130%-1300000,DH14*BA6*130%)</f>
        <v>1103510.4763124203</v>
      </c>
      <c r="DO27" s="4"/>
      <c r="DP27" s="263"/>
      <c r="DQ27" s="29"/>
      <c r="DR27" s="30"/>
      <c r="DS27" s="30"/>
      <c r="DT27" s="354" t="s">
        <v>84</v>
      </c>
      <c r="DU27" s="355"/>
      <c r="DV27" s="355"/>
      <c r="DW27" s="355"/>
      <c r="DX27" s="356">
        <f>(DX28+DX29+DX30+DX31+DX32+DX33)/1.1</f>
        <v>0</v>
      </c>
      <c r="DY27" s="45"/>
      <c r="DZ27" s="45"/>
      <c r="EA27" s="45"/>
      <c r="EB27" s="45"/>
      <c r="EC27" s="46"/>
      <c r="ED27" s="4">
        <f>IF(CP39="HEV",DX14*BA6*130%-1300000,DX14*BA6*130%)</f>
        <v>1103510.4763124203</v>
      </c>
      <c r="EE27" s="4"/>
      <c r="EF27" s="26"/>
      <c r="EG27" s="5"/>
      <c r="EH27" s="5"/>
      <c r="EI27" s="5"/>
      <c r="EJ27" s="5"/>
      <c r="EK27" s="5"/>
      <c r="EL27" s="5"/>
      <c r="EM27" s="5"/>
      <c r="EQ27" s="299" t="s">
        <v>85</v>
      </c>
      <c r="ER27" s="325">
        <v>0</v>
      </c>
      <c r="EZ27" s="381" t="s">
        <v>86</v>
      </c>
      <c r="FG27" s="299" t="s">
        <v>85</v>
      </c>
      <c r="FH27" s="5">
        <f t="shared" si="1"/>
        <v>86427</v>
      </c>
      <c r="FI27" s="5">
        <f>VLOOKUP($BA$26,'정비비(입고)'!$C$46:$M$52,$FH$18,0)</f>
        <v>78927</v>
      </c>
      <c r="FJ27" s="5">
        <f>VLOOKUP($BA$26,'정비비(실속형)'!$B$50:$L$56,$FH$18,0)</f>
        <v>23787</v>
      </c>
      <c r="FK27" s="5">
        <f>VLOOKUP($BA$26,'정비비(실속형)'!$M$50:$V$56,$CR$39,0)</f>
        <v>23787.75</v>
      </c>
      <c r="FL27" s="328">
        <f>VLOOKUP($BA$26,'정비비(실속형)'!$W$50:$AF$56,$CR$39,0)</f>
        <v>22649.9</v>
      </c>
      <c r="FN27" s="299" t="s">
        <v>85</v>
      </c>
      <c r="FO27" s="5">
        <f t="shared" si="2"/>
        <v>86427</v>
      </c>
      <c r="FP27" s="5">
        <f>VLOOKUP($BA$26,'정비비(입고)'!$C$46:$M$52,FO18,0)</f>
        <v>78927</v>
      </c>
      <c r="FQ27" s="5">
        <f>VLOOKUP($BA$26,'정비비(실속형)'!$B$50:$L$56,FO18,0)</f>
        <v>23787</v>
      </c>
      <c r="FR27" s="5">
        <f>VLOOKUP($BA$26,'정비비(실속형)'!$M$50:$V$56,$CR$39,0)</f>
        <v>23787.75</v>
      </c>
      <c r="FS27" s="328">
        <f>VLOOKUP($BA$26,'정비비(실속형)'!$W$50:$AF$56,$CR$39,0)</f>
        <v>22649.9</v>
      </c>
      <c r="FU27" s="299" t="s">
        <v>85</v>
      </c>
      <c r="FV27" s="5">
        <f t="shared" si="3"/>
        <v>86181</v>
      </c>
      <c r="FW27" s="5">
        <f>VLOOKUP($BY$26,'정비비(입고)'!$C$46:$M$52,FV18,0)</f>
        <v>78681</v>
      </c>
      <c r="FX27" s="5">
        <f>VLOOKUP($BY$26,'정비비(실속형)'!$B$50:$L$56,FV18,0)</f>
        <v>23836</v>
      </c>
      <c r="FY27" s="5">
        <f>VLOOKUP($BY$26,'정비비(실속형)'!$M$50:$V$56,$CR$39,0)</f>
        <v>23320.937500000004</v>
      </c>
      <c r="FZ27" s="328">
        <f>VLOOKUP($BY$26,'정비비(실속형)'!$W$50:$AF$56,$CR$39,0)</f>
        <v>22183.0875</v>
      </c>
    </row>
    <row r="28" ht="19.15" customHeight="1" spans="1:18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V28" s="360"/>
      <c r="AW28" s="366" t="s">
        <v>31</v>
      </c>
      <c r="AX28" s="366"/>
      <c r="AY28" s="366"/>
      <c r="AZ28" s="366"/>
      <c r="BA28" s="380" t="s">
        <v>60</v>
      </c>
      <c r="BB28" s="380"/>
      <c r="BC28" s="380"/>
      <c r="BD28" s="380"/>
      <c r="BE28" s="380"/>
      <c r="BF28" s="380"/>
      <c r="BG28" s="368"/>
      <c r="BH28" s="369"/>
      <c r="BI28" s="366" t="s">
        <v>31</v>
      </c>
      <c r="BJ28" s="366"/>
      <c r="BK28" s="366"/>
      <c r="BL28" s="366"/>
      <c r="BM28" s="380" t="s">
        <v>60</v>
      </c>
      <c r="BN28" s="380"/>
      <c r="BO28" s="380"/>
      <c r="BP28" s="380"/>
      <c r="BQ28" s="380"/>
      <c r="BR28" s="380"/>
      <c r="BS28" s="368"/>
      <c r="BT28" s="369"/>
      <c r="BU28" s="366" t="s">
        <v>31</v>
      </c>
      <c r="BV28" s="366"/>
      <c r="BW28" s="366"/>
      <c r="BX28" s="366"/>
      <c r="BY28" s="380" t="s">
        <v>60</v>
      </c>
      <c r="BZ28" s="380"/>
      <c r="CA28" s="380"/>
      <c r="CB28" s="380"/>
      <c r="CC28" s="380"/>
      <c r="CD28" s="380"/>
      <c r="CE28" s="370"/>
      <c r="CK28" s="29"/>
      <c r="CL28" s="30"/>
      <c r="CM28" s="30"/>
      <c r="CN28" s="382" t="s">
        <v>87</v>
      </c>
      <c r="CO28" s="383"/>
      <c r="CP28" s="383"/>
      <c r="CQ28" s="384"/>
      <c r="CR28" s="385"/>
      <c r="CS28" s="386"/>
      <c r="CT28" s="386"/>
      <c r="CU28" s="386"/>
      <c r="CV28" s="386"/>
      <c r="CW28" s="387"/>
      <c r="CX28" s="4">
        <f>CX27-CX26</f>
        <v>331053.14289372624</v>
      </c>
      <c r="CY28" s="263"/>
      <c r="CZ28" s="263"/>
      <c r="DA28" s="29"/>
      <c r="DB28" s="30"/>
      <c r="DC28" s="30"/>
      <c r="DD28" s="382" t="s">
        <v>87</v>
      </c>
      <c r="DE28" s="383"/>
      <c r="DF28" s="383"/>
      <c r="DG28" s="384"/>
      <c r="DH28" s="385"/>
      <c r="DI28" s="386"/>
      <c r="DJ28" s="386"/>
      <c r="DK28" s="386"/>
      <c r="DL28" s="386"/>
      <c r="DM28" s="387"/>
      <c r="DN28" s="4">
        <f>DN27-DN26</f>
        <v>331053.14289372624</v>
      </c>
      <c r="DO28" s="4"/>
      <c r="DP28" s="263"/>
      <c r="DQ28" s="29"/>
      <c r="DR28" s="30"/>
      <c r="DS28" s="30"/>
      <c r="DT28" s="382" t="s">
        <v>87</v>
      </c>
      <c r="DU28" s="383"/>
      <c r="DV28" s="383"/>
      <c r="DW28" s="384"/>
      <c r="DX28" s="385"/>
      <c r="DY28" s="386"/>
      <c r="DZ28" s="386"/>
      <c r="EA28" s="386"/>
      <c r="EB28" s="386"/>
      <c r="EC28" s="387"/>
      <c r="ED28" s="4">
        <f>ED27-ED26</f>
        <v>331053.14289372624</v>
      </c>
      <c r="EE28" s="263"/>
      <c r="EF28" s="26"/>
      <c r="EQ28" s="299" t="s">
        <v>88</v>
      </c>
      <c r="ER28" s="325">
        <v>-0.02</v>
      </c>
      <c r="FG28" s="299" t="s">
        <v>88</v>
      </c>
      <c r="FH28" s="300">
        <f>VLOOKUP($BA$26,'정비비(입고)'!$C$32:$L$38,$CR$39,0)</f>
        <v>54765</v>
      </c>
      <c r="FI28" s="300">
        <f>FH28*80%</f>
        <v>43812</v>
      </c>
      <c r="FJ28" s="300">
        <f>VLOOKUP($BA$26,'정비비(실속형)'!$B$57:$AAC$63,$CR$39,0)</f>
        <v>29963</v>
      </c>
      <c r="FK28" s="300">
        <f>VLOOKUP($BA$26,'정비비(실속형)'!$M$57:$V$63,$CR$39,0)</f>
        <v>26166.525</v>
      </c>
      <c r="FL28" s="301">
        <f>VLOOKUP($BA$26,'정비비(실속형)'!$W$57:$AF$63,$CR$39,0)</f>
        <v>24914.890000000003</v>
      </c>
      <c r="FN28" s="299" t="s">
        <v>88</v>
      </c>
      <c r="FO28" s="300">
        <f>VLOOKUP($BA$26,'정비비(입고)'!$C$32:$L$38,$CR$39,0)</f>
        <v>54765</v>
      </c>
      <c r="FP28" s="300">
        <f>FO28*80%</f>
        <v>43812</v>
      </c>
      <c r="FQ28" s="300">
        <f>VLOOKUP($BA$26,'정비비(실속형)'!$B$57:$AAC$63,FO18,0)</f>
        <v>29963</v>
      </c>
      <c r="FR28" s="300">
        <f>VLOOKUP($BA$26,'정비비(실속형)'!$M$57:$V$63,$CR$39,0)</f>
        <v>26166.525</v>
      </c>
      <c r="FS28" s="301">
        <f>VLOOKUP($BA$26,'정비비(실속형)'!$W$57:$AF$63,$CR$39,0)</f>
        <v>24914.890000000003</v>
      </c>
      <c r="FU28" s="299" t="s">
        <v>88</v>
      </c>
      <c r="FV28" s="300">
        <f>VLOOKUP($BY$26,'정비비(입고)'!$C$32:$L$38,$CR$39,0)</f>
        <v>47846</v>
      </c>
      <c r="FW28" s="300">
        <f t="shared" ref="FW28" si="4">FV28*80%</f>
        <v>38276.8</v>
      </c>
      <c r="FX28" s="300">
        <f>VLOOKUP($BY$26,'정비비(실속형)'!$B$57:$AAC$63,FV18,0)</f>
        <v>30087</v>
      </c>
      <c r="FY28" s="300">
        <f>VLOOKUP($BY$26,'정비비(실속형)'!$M$57:$V$63,$CR$39,0)</f>
        <v>25653.031250000007</v>
      </c>
      <c r="FZ28" s="301">
        <f>VLOOKUP($BY$26,'정비비(실속형)'!$W$57:$AF$63,$CR$39,0)</f>
        <v>24401.396250000005</v>
      </c>
    </row>
    <row r="29" ht="19.15" customHeight="1" spans="1:18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V29" s="360"/>
      <c r="AW29" s="366" t="s">
        <v>89</v>
      </c>
      <c r="AX29" s="366"/>
      <c r="AY29" s="366"/>
      <c r="AZ29" s="366"/>
      <c r="BA29" s="388">
        <v>0</v>
      </c>
      <c r="BB29" s="61"/>
      <c r="BC29" s="389">
        <f>BA29*BA17</f>
        <v>0</v>
      </c>
      <c r="BD29" s="390"/>
      <c r="BE29" s="390"/>
      <c r="BF29" s="390"/>
      <c r="BG29" s="391"/>
      <c r="BH29" s="369"/>
      <c r="BI29" s="366" t="s">
        <v>89</v>
      </c>
      <c r="BJ29" s="366"/>
      <c r="BK29" s="366"/>
      <c r="BL29" s="366"/>
      <c r="BM29" s="388">
        <v>0</v>
      </c>
      <c r="BN29" s="61"/>
      <c r="BO29" s="389">
        <f>BM29*BM17</f>
        <v>0</v>
      </c>
      <c r="BP29" s="390"/>
      <c r="BQ29" s="390"/>
      <c r="BR29" s="390"/>
      <c r="BS29" s="391"/>
      <c r="BT29" s="369"/>
      <c r="BU29" s="366" t="s">
        <v>89</v>
      </c>
      <c r="BV29" s="366"/>
      <c r="BW29" s="366"/>
      <c r="BX29" s="366"/>
      <c r="BY29" s="388">
        <v>0</v>
      </c>
      <c r="BZ29" s="61"/>
      <c r="CA29" s="389">
        <f>BY29*BY17</f>
        <v>0</v>
      </c>
      <c r="CB29" s="390"/>
      <c r="CC29" s="390"/>
      <c r="CD29" s="390"/>
      <c r="CE29" s="370"/>
      <c r="CK29" s="29"/>
      <c r="CL29" s="30"/>
      <c r="CM29" s="30"/>
      <c r="CN29" s="221" t="s">
        <v>90</v>
      </c>
      <c r="CO29" s="222"/>
      <c r="CP29" s="222"/>
      <c r="CQ29" s="223"/>
      <c r="CR29" s="224"/>
      <c r="CS29" s="225"/>
      <c r="CT29" s="225"/>
      <c r="CU29" s="225"/>
      <c r="CV29" s="225"/>
      <c r="CW29" s="226"/>
      <c r="CY29" s="263"/>
      <c r="CZ29" s="263"/>
      <c r="DA29" s="29"/>
      <c r="DB29" s="30"/>
      <c r="DC29" s="30"/>
      <c r="DD29" s="221" t="s">
        <v>90</v>
      </c>
      <c r="DE29" s="222"/>
      <c r="DF29" s="222"/>
      <c r="DG29" s="223"/>
      <c r="DH29" s="224"/>
      <c r="DI29" s="225"/>
      <c r="DJ29" s="225"/>
      <c r="DK29" s="225"/>
      <c r="DL29" s="225"/>
      <c r="DM29" s="226"/>
      <c r="DO29" s="4"/>
      <c r="DP29" s="263"/>
      <c r="DQ29" s="29"/>
      <c r="DR29" s="30"/>
      <c r="DS29" s="30"/>
      <c r="DT29" s="221" t="s">
        <v>90</v>
      </c>
      <c r="DU29" s="222"/>
      <c r="DV29" s="222"/>
      <c r="DW29" s="223"/>
      <c r="DX29" s="224"/>
      <c r="DY29" s="225"/>
      <c r="DZ29" s="225"/>
      <c r="EA29" s="225"/>
      <c r="EB29" s="225"/>
      <c r="EC29" s="226"/>
      <c r="ED29" s="263"/>
      <c r="EE29" s="263"/>
      <c r="EF29" s="26"/>
      <c r="EQ29" s="357" t="s">
        <v>83</v>
      </c>
      <c r="ER29" s="392">
        <v>-0.02</v>
      </c>
      <c r="FG29" s="357" t="s">
        <v>83</v>
      </c>
      <c r="FH29" s="393">
        <f>FI29+7500</f>
        <v>94765</v>
      </c>
      <c r="FI29" s="393">
        <f>VLOOKUP($BA$26,'정비비(입고)'!$C$53:$M$59,$FH$18,0)</f>
        <v>87265</v>
      </c>
      <c r="FJ29" s="393">
        <f>VLOOKUP($BA$26,'정비비(실속형)'!$B$57:$L$63,$FH$18,0)</f>
        <v>29963</v>
      </c>
      <c r="FK29" s="393" t="e">
        <f>VLOOKUP($BA$26,'정비비(실속형)'!#REF!,$CR$39,0)</f>
        <v>#REF!</v>
      </c>
      <c r="FL29" s="394" t="e">
        <f>VLOOKUP($BA$26,'정비비(실속형)'!#REF!,$CR$39,0)</f>
        <v>#REF!</v>
      </c>
      <c r="FN29" s="357" t="s">
        <v>83</v>
      </c>
      <c r="FO29" s="393">
        <f>FP29+7500</f>
        <v>89858</v>
      </c>
      <c r="FP29" s="393">
        <f>VLOOKUP($BM$26,'정비비(입고)'!$C$53:$M$59,FO18,0)</f>
        <v>82358</v>
      </c>
      <c r="FQ29" s="393">
        <f>VLOOKUP($BA$26,'정비비(실속형)'!$B$57:$L$63,FO18,0)</f>
        <v>29963</v>
      </c>
      <c r="FR29" s="393" t="e">
        <f>VLOOKUP($BA$26,'정비비(실속형)'!#REF!,$CR$39,0)</f>
        <v>#REF!</v>
      </c>
      <c r="FS29" s="394" t="e">
        <f>VLOOKUP($BA$26,'정비비(실속형)'!#REF!,$CR$39,0)</f>
        <v>#REF!</v>
      </c>
      <c r="FU29" s="357" t="s">
        <v>83</v>
      </c>
      <c r="FV29" s="393">
        <f>FW29+7500</f>
        <v>89858</v>
      </c>
      <c r="FW29" s="393">
        <f>VLOOKUP($BY$26,'정비비(입고)'!$C$53:$M$59,FV18,0)</f>
        <v>82358</v>
      </c>
      <c r="FX29" s="393">
        <f>VLOOKUP($BY$26,'정비비(실속형)'!$B$57:$L$63,FV18,0)</f>
        <v>30087</v>
      </c>
      <c r="FY29" s="393" t="e">
        <f>VLOOKUP($BY$26,'정비비(실속형)'!#REF!,$CR$39,0)</f>
        <v>#REF!</v>
      </c>
      <c r="FZ29" s="394" t="e">
        <f>VLOOKUP($BY$26,'정비비(실속형)'!#REF!,$CR$39,0)</f>
        <v>#REF!</v>
      </c>
    </row>
    <row r="30" ht="19.15" customHeight="1" spans="1:136" x14ac:dyDescent="0.25">
      <c r="A30" s="2"/>
      <c r="B30" s="113" t="s">
        <v>91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14" t="s">
        <v>92</v>
      </c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V30" s="360"/>
      <c r="AW30" s="366" t="s">
        <v>93</v>
      </c>
      <c r="AX30" s="366"/>
      <c r="AY30" s="366"/>
      <c r="AZ30" s="366"/>
      <c r="BA30" s="395">
        <v>0</v>
      </c>
      <c r="BB30" s="396"/>
      <c r="BC30" s="397"/>
      <c r="BD30" s="398"/>
      <c r="BE30" s="398"/>
      <c r="BF30" s="398"/>
      <c r="BG30" s="368"/>
      <c r="BH30" s="369"/>
      <c r="BI30" s="366" t="s">
        <v>93</v>
      </c>
      <c r="BJ30" s="366"/>
      <c r="BK30" s="366"/>
      <c r="BL30" s="366"/>
      <c r="BM30" s="395">
        <f>BO30/BM17</f>
        <v>0</v>
      </c>
      <c r="BN30" s="396"/>
      <c r="BO30" s="397">
        <v>0</v>
      </c>
      <c r="BP30" s="398"/>
      <c r="BQ30" s="398"/>
      <c r="BR30" s="398"/>
      <c r="BS30" s="368"/>
      <c r="BT30" s="369"/>
      <c r="BU30" s="366" t="s">
        <v>93</v>
      </c>
      <c r="BV30" s="366"/>
      <c r="BW30" s="366"/>
      <c r="BX30" s="366"/>
      <c r="BY30" s="395">
        <f>CA30/BY17</f>
        <v>0</v>
      </c>
      <c r="BZ30" s="396"/>
      <c r="CA30" s="397">
        <v>0</v>
      </c>
      <c r="CB30" s="398"/>
      <c r="CC30" s="398"/>
      <c r="CD30" s="398"/>
      <c r="CE30" s="370"/>
      <c r="CK30" s="29"/>
      <c r="CL30" s="30"/>
      <c r="CM30" s="30"/>
      <c r="CN30" s="221" t="s">
        <v>94</v>
      </c>
      <c r="CO30" s="222"/>
      <c r="CP30" s="222"/>
      <c r="CQ30" s="223"/>
      <c r="CR30" s="224"/>
      <c r="CS30" s="225"/>
      <c r="CT30" s="225"/>
      <c r="CU30" s="225"/>
      <c r="CV30" s="225"/>
      <c r="CW30" s="226"/>
      <c r="CY30" s="263"/>
      <c r="CZ30" s="263"/>
      <c r="DA30" s="29"/>
      <c r="DB30" s="30"/>
      <c r="DC30" s="30"/>
      <c r="DD30" s="221" t="s">
        <v>94</v>
      </c>
      <c r="DE30" s="222"/>
      <c r="DF30" s="222"/>
      <c r="DG30" s="223"/>
      <c r="DH30" s="224"/>
      <c r="DI30" s="225"/>
      <c r="DJ30" s="225"/>
      <c r="DK30" s="225"/>
      <c r="DL30" s="225"/>
      <c r="DM30" s="226"/>
      <c r="DO30" s="4"/>
      <c r="DP30" s="263"/>
      <c r="DQ30" s="29"/>
      <c r="DR30" s="30"/>
      <c r="DS30" s="30"/>
      <c r="DT30" s="221" t="s">
        <v>94</v>
      </c>
      <c r="DU30" s="222"/>
      <c r="DV30" s="222"/>
      <c r="DW30" s="223"/>
      <c r="DX30" s="224"/>
      <c r="DY30" s="225"/>
      <c r="DZ30" s="225"/>
      <c r="EA30" s="225"/>
      <c r="EB30" s="225"/>
      <c r="EC30" s="226"/>
      <c r="ED30" s="263"/>
      <c r="EE30" s="263"/>
      <c r="EF30" s="26"/>
    </row>
    <row r="31" ht="19.15" customHeight="1" spans="1:136" x14ac:dyDescent="0.25">
      <c r="A31" s="2"/>
      <c r="B31" s="399" t="s">
        <v>95</v>
      </c>
      <c r="C31" s="400"/>
      <c r="D31" s="400"/>
      <c r="E31" s="400"/>
      <c r="F31" s="400"/>
      <c r="G31" s="400"/>
      <c r="H31" s="400"/>
      <c r="I31" s="401"/>
      <c r="J31" s="402" t="s">
        <v>96</v>
      </c>
      <c r="K31" s="400"/>
      <c r="L31" s="400"/>
      <c r="M31" s="400"/>
      <c r="N31" s="400"/>
      <c r="O31" s="403"/>
      <c r="P31" s="404" t="s">
        <v>97</v>
      </c>
      <c r="Q31" s="400"/>
      <c r="R31" s="400"/>
      <c r="S31" s="400"/>
      <c r="T31" s="405"/>
      <c r="U31" s="406" t="str">
        <f>BN48</f>
        <v>자손</v>
      </c>
      <c r="V31" s="400"/>
      <c r="W31" s="400"/>
      <c r="X31" s="400"/>
      <c r="Y31" s="407"/>
      <c r="Z31" s="408" t="s">
        <v>98</v>
      </c>
      <c r="AA31" s="400"/>
      <c r="AB31" s="400"/>
      <c r="AC31" s="400"/>
      <c r="AD31" s="409"/>
      <c r="AE31" s="410" t="s">
        <v>99</v>
      </c>
      <c r="AF31" s="400"/>
      <c r="AG31" s="400"/>
      <c r="AH31" s="400"/>
      <c r="AI31" s="411"/>
      <c r="AJ31" s="412" t="s">
        <v>100</v>
      </c>
      <c r="AK31" s="413"/>
      <c r="AL31" s="413"/>
      <c r="AM31" s="413"/>
      <c r="AN31" s="414"/>
      <c r="AO31" s="415" t="s">
        <v>101</v>
      </c>
      <c r="AP31" s="416"/>
      <c r="AQ31" s="416"/>
      <c r="AR31" s="417"/>
      <c r="AV31" s="360"/>
      <c r="AW31" s="366" t="s">
        <v>102</v>
      </c>
      <c r="AX31" s="366"/>
      <c r="AY31" s="366"/>
      <c r="AZ31" s="366"/>
      <c r="BA31" s="388">
        <v>0</v>
      </c>
      <c r="BB31" s="61"/>
      <c r="BC31" s="389">
        <f>BA31*BA17</f>
        <v>0</v>
      </c>
      <c r="BD31" s="390"/>
      <c r="BE31" s="390"/>
      <c r="BF31" s="390"/>
      <c r="BG31" s="368"/>
      <c r="BH31" s="369"/>
      <c r="BI31" s="366" t="s">
        <v>102</v>
      </c>
      <c r="BJ31" s="366"/>
      <c r="BK31" s="366"/>
      <c r="BL31" s="366"/>
      <c r="BM31" s="388">
        <v>0</v>
      </c>
      <c r="BN31" s="61"/>
      <c r="BO31" s="389">
        <f>BM31*BM17</f>
        <v>0</v>
      </c>
      <c r="BP31" s="390"/>
      <c r="BQ31" s="390"/>
      <c r="BR31" s="390"/>
      <c r="BS31" s="368"/>
      <c r="BT31" s="369"/>
      <c r="BU31" s="366" t="s">
        <v>102</v>
      </c>
      <c r="BV31" s="366"/>
      <c r="BW31" s="366"/>
      <c r="BX31" s="366"/>
      <c r="BY31" s="388">
        <v>0</v>
      </c>
      <c r="BZ31" s="61"/>
      <c r="CA31" s="389">
        <f>BY31*BY17</f>
        <v>0</v>
      </c>
      <c r="CB31" s="390"/>
      <c r="CC31" s="390"/>
      <c r="CD31" s="390"/>
      <c r="CE31" s="370"/>
      <c r="CK31" s="29"/>
      <c r="CL31" s="30"/>
      <c r="CM31" s="30"/>
      <c r="CN31" s="221" t="s">
        <v>103</v>
      </c>
      <c r="CO31" s="222"/>
      <c r="CP31" s="222"/>
      <c r="CQ31" s="223"/>
      <c r="CR31" s="224"/>
      <c r="CS31" s="225"/>
      <c r="CT31" s="225"/>
      <c r="CU31" s="225"/>
      <c r="CV31" s="225"/>
      <c r="CW31" s="226"/>
      <c r="CY31" s="263"/>
      <c r="CZ31" s="263"/>
      <c r="DA31" s="29"/>
      <c r="DB31" s="30"/>
      <c r="DC31" s="30"/>
      <c r="DD31" s="221" t="s">
        <v>103</v>
      </c>
      <c r="DE31" s="222"/>
      <c r="DF31" s="222"/>
      <c r="DG31" s="223"/>
      <c r="DH31" s="224"/>
      <c r="DI31" s="225"/>
      <c r="DJ31" s="225"/>
      <c r="DK31" s="225"/>
      <c r="DL31" s="225"/>
      <c r="DM31" s="226"/>
      <c r="DN31" s="25"/>
      <c r="DO31" s="25"/>
      <c r="DP31" s="26"/>
      <c r="DQ31" s="29"/>
      <c r="DR31" s="30"/>
      <c r="DS31" s="30"/>
      <c r="DT31" s="221" t="s">
        <v>103</v>
      </c>
      <c r="DU31" s="222"/>
      <c r="DV31" s="222"/>
      <c r="DW31" s="223"/>
      <c r="DX31" s="224"/>
      <c r="DY31" s="225"/>
      <c r="DZ31" s="225"/>
      <c r="EA31" s="225"/>
      <c r="EB31" s="225"/>
      <c r="EC31" s="226"/>
      <c r="ED31" s="263"/>
      <c r="EE31" s="263"/>
      <c r="EF31" s="26"/>
    </row>
    <row r="32" ht="19.15" customHeight="1" spans="1:164" x14ac:dyDescent="0.25">
      <c r="A32" s="2"/>
      <c r="B32" s="418" t="str">
        <f>BA48</f>
        <v>만 26세 이상</v>
      </c>
      <c r="C32" s="419"/>
      <c r="D32" s="419"/>
      <c r="E32" s="419"/>
      <c r="F32" s="419"/>
      <c r="G32" s="419"/>
      <c r="H32" s="419"/>
      <c r="I32" s="420"/>
      <c r="J32" s="421" t="s">
        <v>104</v>
      </c>
      <c r="K32" s="419"/>
      <c r="L32" s="419"/>
      <c r="M32" s="419"/>
      <c r="N32" s="419"/>
      <c r="O32" s="422"/>
      <c r="P32" s="423" t="str">
        <f>BK48</f>
        <v>1억</v>
      </c>
      <c r="Q32" s="419"/>
      <c r="R32" s="419"/>
      <c r="S32" s="419"/>
      <c r="T32" s="424"/>
      <c r="U32" s="425" t="str">
        <f>BR48</f>
        <v>3천</v>
      </c>
      <c r="V32" s="419"/>
      <c r="W32" s="419"/>
      <c r="X32" s="419"/>
      <c r="Y32" s="426"/>
      <c r="Z32" s="427" t="str">
        <f>CB48</f>
        <v>50만</v>
      </c>
      <c r="AA32" s="419"/>
      <c r="AB32" s="419"/>
      <c r="AC32" s="419"/>
      <c r="AD32" s="428"/>
      <c r="AE32" s="429" t="str">
        <f>BA49</f>
        <v>미가입</v>
      </c>
      <c r="AF32" s="419"/>
      <c r="AG32" s="419"/>
      <c r="AH32" s="419"/>
      <c r="AI32" s="430"/>
      <c r="AJ32" s="431" t="s">
        <v>73</v>
      </c>
      <c r="AK32" s="432"/>
      <c r="AL32" s="432"/>
      <c r="AM32" s="432"/>
      <c r="AN32" s="433"/>
      <c r="AO32" s="434" t="s">
        <v>105</v>
      </c>
      <c r="AP32" s="435"/>
      <c r="AQ32" s="435"/>
      <c r="AR32" s="436"/>
      <c r="AV32" s="360"/>
      <c r="AW32" s="366" t="s">
        <v>106</v>
      </c>
      <c r="AX32" s="366"/>
      <c r="AY32" s="366"/>
      <c r="AZ32" s="366"/>
      <c r="BA32" s="395">
        <f>BC32/BA17</f>
        <v>0</v>
      </c>
      <c r="BB32" s="396"/>
      <c r="BC32" s="397"/>
      <c r="BD32" s="398"/>
      <c r="BE32" s="398"/>
      <c r="BF32" s="398"/>
      <c r="BG32" s="368"/>
      <c r="BH32" s="369"/>
      <c r="BI32" s="366" t="s">
        <v>106</v>
      </c>
      <c r="BJ32" s="366"/>
      <c r="BK32" s="366"/>
      <c r="BL32" s="366"/>
      <c r="BM32" s="395">
        <f>BO32/BM17</f>
        <v>0</v>
      </c>
      <c r="BN32" s="396"/>
      <c r="BO32" s="397">
        <v>0</v>
      </c>
      <c r="BP32" s="398"/>
      <c r="BQ32" s="398"/>
      <c r="BR32" s="398"/>
      <c r="BS32" s="368"/>
      <c r="BT32" s="369"/>
      <c r="BU32" s="366" t="s">
        <v>106</v>
      </c>
      <c r="BV32" s="366"/>
      <c r="BW32" s="366"/>
      <c r="BX32" s="366"/>
      <c r="BY32" s="395">
        <f>CA32/BY17</f>
        <v>0</v>
      </c>
      <c r="BZ32" s="396"/>
      <c r="CA32" s="397"/>
      <c r="CB32" s="398"/>
      <c r="CC32" s="398"/>
      <c r="CD32" s="398"/>
      <c r="CE32" s="370"/>
      <c r="CK32" s="29"/>
      <c r="CL32" s="30"/>
      <c r="CM32" s="30"/>
      <c r="CN32" s="221" t="s">
        <v>107</v>
      </c>
      <c r="CO32" s="222"/>
      <c r="CP32" s="222"/>
      <c r="CQ32" s="223"/>
      <c r="CR32" s="224">
        <f>IF(BA9="쌍용",5000,0)</f>
        <v>0</v>
      </c>
      <c r="CS32" s="225"/>
      <c r="CT32" s="225"/>
      <c r="CU32" s="225"/>
      <c r="CV32" s="225"/>
      <c r="CW32" s="226"/>
      <c r="CY32" s="263"/>
      <c r="CZ32" s="263"/>
      <c r="DA32" s="29"/>
      <c r="DB32" s="30"/>
      <c r="DC32" s="30"/>
      <c r="DD32" s="221" t="s">
        <v>107</v>
      </c>
      <c r="DE32" s="222"/>
      <c r="DF32" s="222"/>
      <c r="DG32" s="223"/>
      <c r="DH32" s="224">
        <f>IF(BM9="쌍용",5000,0)</f>
        <v>0</v>
      </c>
      <c r="DI32" s="225"/>
      <c r="DJ32" s="225"/>
      <c r="DK32" s="225"/>
      <c r="DL32" s="225"/>
      <c r="DM32" s="226"/>
      <c r="DN32" s="25"/>
      <c r="DO32" s="25"/>
      <c r="DP32" s="26"/>
      <c r="DQ32" s="29"/>
      <c r="DR32" s="30"/>
      <c r="DS32" s="30"/>
      <c r="DT32" s="221" t="s">
        <v>107</v>
      </c>
      <c r="DU32" s="222"/>
      <c r="DV32" s="222"/>
      <c r="DW32" s="223"/>
      <c r="DX32" s="224">
        <f>IF(BY9="쌍용",5000,0)</f>
        <v>0</v>
      </c>
      <c r="DY32" s="225"/>
      <c r="DZ32" s="225"/>
      <c r="EA32" s="225"/>
      <c r="EB32" s="225"/>
      <c r="EC32" s="226"/>
      <c r="ED32" s="26"/>
      <c r="EE32" s="26"/>
      <c r="EF32" s="26"/>
      <c r="EQ32" s="437" t="s">
        <v>108</v>
      </c>
      <c r="ER32" s="438">
        <v>1</v>
      </c>
      <c r="ES32" s="439" t="s">
        <v>109</v>
      </c>
      <c r="ET32" s="440"/>
      <c r="EU32" s="440"/>
      <c r="FG32" s="282" t="s">
        <v>108</v>
      </c>
      <c r="FH32" s="438">
        <v>2</v>
      </c>
    </row>
    <row r="33" ht="19.15" customHeight="1" spans="1:164" x14ac:dyDescent="0.25">
      <c r="A33" s="2"/>
      <c r="B33" s="441" t="s">
        <v>110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V33" s="360"/>
      <c r="AW33" s="366" t="s">
        <v>111</v>
      </c>
      <c r="AX33" s="366"/>
      <c r="AY33" s="366"/>
      <c r="AZ33" s="366"/>
      <c r="BA33" s="388">
        <v>0</v>
      </c>
      <c r="BB33" s="61"/>
      <c r="BC33" s="389">
        <f>BA33*BA17</f>
        <v>0</v>
      </c>
      <c r="BD33" s="442"/>
      <c r="BE33" s="442"/>
      <c r="BF33" s="442"/>
      <c r="BG33" s="391"/>
      <c r="BH33" s="369"/>
      <c r="BI33" s="366" t="s">
        <v>111</v>
      </c>
      <c r="BJ33" s="366"/>
      <c r="BK33" s="366"/>
      <c r="BL33" s="366"/>
      <c r="BM33" s="388">
        <v>0</v>
      </c>
      <c r="BN33" s="61"/>
      <c r="BO33" s="389">
        <f>BM33*BM17</f>
        <v>0</v>
      </c>
      <c r="BP33" s="390"/>
      <c r="BQ33" s="390"/>
      <c r="BR33" s="390"/>
      <c r="BS33" s="391"/>
      <c r="BT33" s="369"/>
      <c r="BU33" s="366" t="s">
        <v>111</v>
      </c>
      <c r="BV33" s="366"/>
      <c r="BW33" s="366"/>
      <c r="BX33" s="366"/>
      <c r="BY33" s="388">
        <v>0</v>
      </c>
      <c r="BZ33" s="61"/>
      <c r="CA33" s="389">
        <f>BY33*BY17</f>
        <v>0</v>
      </c>
      <c r="CB33" s="390"/>
      <c r="CC33" s="390"/>
      <c r="CD33" s="390"/>
      <c r="CE33" s="370"/>
      <c r="CK33" s="29"/>
      <c r="CL33" s="30"/>
      <c r="CM33" s="30"/>
      <c r="CN33" s="319" t="s">
        <v>112</v>
      </c>
      <c r="CO33" s="320"/>
      <c r="CP33" s="320"/>
      <c r="CQ33" s="321"/>
      <c r="CR33" s="322"/>
      <c r="CS33" s="323"/>
      <c r="CT33" s="323"/>
      <c r="CU33" s="323"/>
      <c r="CV33" s="323"/>
      <c r="CW33" s="324"/>
      <c r="CY33" s="263"/>
      <c r="CZ33" s="263"/>
      <c r="DA33" s="29"/>
      <c r="DB33" s="30"/>
      <c r="DC33" s="30"/>
      <c r="DD33" s="319" t="s">
        <v>112</v>
      </c>
      <c r="DE33" s="320"/>
      <c r="DF33" s="320"/>
      <c r="DG33" s="321"/>
      <c r="DH33" s="322"/>
      <c r="DI33" s="323"/>
      <c r="DJ33" s="323"/>
      <c r="DK33" s="323"/>
      <c r="DL33" s="323"/>
      <c r="DM33" s="324"/>
      <c r="DN33" s="25"/>
      <c r="DO33" s="25"/>
      <c r="DP33" s="26"/>
      <c r="DQ33" s="29"/>
      <c r="DR33" s="30"/>
      <c r="DS33" s="30"/>
      <c r="DT33" s="319" t="s">
        <v>112</v>
      </c>
      <c r="DU33" s="320"/>
      <c r="DV33" s="320"/>
      <c r="DW33" s="321"/>
      <c r="DX33" s="322"/>
      <c r="DY33" s="323"/>
      <c r="DZ33" s="323"/>
      <c r="EA33" s="323"/>
      <c r="EB33" s="323"/>
      <c r="EC33" s="324"/>
      <c r="ED33" s="26"/>
      <c r="EE33" s="26"/>
      <c r="EF33" s="26"/>
      <c r="EQ33" s="439" t="s">
        <v>113</v>
      </c>
      <c r="ER33" s="328">
        <v>2</v>
      </c>
      <c r="ES33" s="1" t="s">
        <v>114</v>
      </c>
      <c r="FG33" s="299" t="s">
        <v>113</v>
      </c>
      <c r="FH33" s="328">
        <v>3</v>
      </c>
    </row>
    <row r="34" ht="19.15" customHeight="1" spans="1:164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V34" s="360"/>
      <c r="AW34" s="366" t="s">
        <v>115</v>
      </c>
      <c r="AX34" s="366"/>
      <c r="AY34" s="366"/>
      <c r="AZ34" s="366"/>
      <c r="BA34" s="395">
        <f>BC34/BA17</f>
        <v>0</v>
      </c>
      <c r="BB34" s="396"/>
      <c r="BC34" s="397"/>
      <c r="BD34" s="398"/>
      <c r="BE34" s="398"/>
      <c r="BF34" s="398"/>
      <c r="BG34" s="368"/>
      <c r="BH34" s="369"/>
      <c r="BI34" s="366" t="s">
        <v>115</v>
      </c>
      <c r="BJ34" s="366"/>
      <c r="BK34" s="366"/>
      <c r="BL34" s="366"/>
      <c r="BM34" s="395">
        <f>BO34/BM17</f>
        <v>0</v>
      </c>
      <c r="BN34" s="396"/>
      <c r="BO34" s="397">
        <v>0</v>
      </c>
      <c r="BP34" s="398"/>
      <c r="BQ34" s="398"/>
      <c r="BR34" s="398"/>
      <c r="BS34" s="368"/>
      <c r="BT34" s="369"/>
      <c r="BU34" s="366" t="s">
        <v>115</v>
      </c>
      <c r="BV34" s="366"/>
      <c r="BW34" s="366"/>
      <c r="BX34" s="366"/>
      <c r="BY34" s="395">
        <f>CA34/BY17</f>
        <v>0</v>
      </c>
      <c r="BZ34" s="396"/>
      <c r="CA34" s="397">
        <v>0</v>
      </c>
      <c r="CB34" s="398"/>
      <c r="CC34" s="398"/>
      <c r="CD34" s="398"/>
      <c r="CE34" s="370"/>
      <c r="CK34" s="443" t="s">
        <v>116</v>
      </c>
      <c r="CL34" s="444"/>
      <c r="CM34" s="444"/>
      <c r="CN34" s="444"/>
      <c r="CO34" s="444"/>
      <c r="CP34" s="444"/>
      <c r="CQ34" s="444"/>
      <c r="CR34" s="445">
        <f>CR14+CR16+CR23/1.1+CR24+CR25+CR26+CR27</f>
        <v>18674215.863508325</v>
      </c>
      <c r="CS34" s="446"/>
      <c r="CT34" s="446"/>
      <c r="CU34" s="446"/>
      <c r="CV34" s="446"/>
      <c r="CW34" s="447"/>
      <c r="CX34" s="25"/>
      <c r="CY34" s="25"/>
      <c r="CZ34" s="26"/>
      <c r="DA34" s="443" t="s">
        <v>116</v>
      </c>
      <c r="DB34" s="444"/>
      <c r="DC34" s="444"/>
      <c r="DD34" s="444"/>
      <c r="DE34" s="444"/>
      <c r="DF34" s="444"/>
      <c r="DG34" s="444"/>
      <c r="DH34" s="445">
        <f>DH14+DH16+DH23/1.1+DH24+DH25+DH26+DH27</f>
        <v>18674215.863508325</v>
      </c>
      <c r="DI34" s="446"/>
      <c r="DJ34" s="446"/>
      <c r="DK34" s="446"/>
      <c r="DL34" s="446"/>
      <c r="DM34" s="447"/>
      <c r="DN34" s="25"/>
      <c r="DO34" s="25"/>
      <c r="DP34" s="26"/>
      <c r="DQ34" s="443" t="s">
        <v>116</v>
      </c>
      <c r="DR34" s="444"/>
      <c r="DS34" s="444"/>
      <c r="DT34" s="444"/>
      <c r="DU34" s="444"/>
      <c r="DV34" s="444"/>
      <c r="DW34" s="444"/>
      <c r="DX34" s="445">
        <f>DX14+DX16+DX23/1.1+DX24+DX25+DX26+DX27</f>
        <v>18674215.863508325</v>
      </c>
      <c r="DY34" s="446"/>
      <c r="DZ34" s="446"/>
      <c r="EA34" s="446"/>
      <c r="EB34" s="446"/>
      <c r="EC34" s="447"/>
      <c r="ED34" s="26"/>
      <c r="EE34" s="26"/>
      <c r="EF34" s="26"/>
      <c r="EQ34" s="439" t="s">
        <v>60</v>
      </c>
      <c r="ER34" s="328">
        <v>3</v>
      </c>
      <c r="ES34" s="1" t="s">
        <v>117</v>
      </c>
      <c r="FG34" s="448" t="s">
        <v>60</v>
      </c>
      <c r="FH34" s="328">
        <v>4</v>
      </c>
    </row>
    <row r="35" ht="19.15" customHeight="1" spans="1:164" x14ac:dyDescent="0.25">
      <c r="A35" s="2"/>
      <c r="B35" s="113" t="s">
        <v>118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449"/>
      <c r="P35" s="449"/>
      <c r="Q35" s="449"/>
      <c r="R35" s="449"/>
      <c r="S35" s="449"/>
      <c r="T35" s="449"/>
      <c r="U35" s="449"/>
      <c r="V35" s="449"/>
      <c r="W35" s="449"/>
      <c r="X35" s="449"/>
      <c r="Y35" s="449"/>
      <c r="Z35" s="449"/>
      <c r="AA35" s="449"/>
      <c r="AB35" s="449"/>
      <c r="AC35" s="449"/>
      <c r="AD35" s="449"/>
      <c r="AE35" s="449"/>
      <c r="AF35" s="449"/>
      <c r="AG35" s="449"/>
      <c r="AH35" s="449"/>
      <c r="AI35" s="449"/>
      <c r="AJ35" s="449"/>
      <c r="AK35" s="449"/>
      <c r="AL35" s="449"/>
      <c r="AM35" s="449"/>
      <c r="AN35" s="449"/>
      <c r="AO35" s="449"/>
      <c r="AP35" s="449"/>
      <c r="AQ35" s="449"/>
      <c r="AR35" s="449"/>
      <c r="AV35" s="360"/>
      <c r="AW35" s="450" t="s">
        <v>119</v>
      </c>
      <c r="AX35" s="451"/>
      <c r="AY35" s="451"/>
      <c r="AZ35" s="452"/>
      <c r="BA35" s="453">
        <f>ROUNDDOWN((BC33+BC34)/BA26,-2)</f>
        <v>0</v>
      </c>
      <c r="BB35" s="454"/>
      <c r="BC35" s="454"/>
      <c r="BD35" s="454"/>
      <c r="BE35" s="454"/>
      <c r="BF35" s="455"/>
      <c r="BG35" s="55"/>
      <c r="BH35" s="55"/>
      <c r="BI35" s="450" t="s">
        <v>119</v>
      </c>
      <c r="BJ35" s="451"/>
      <c r="BK35" s="451"/>
      <c r="BL35" s="452"/>
      <c r="BM35" s="453">
        <f>ROUNDDOWN((BO33+BO34)/BM26,-2)</f>
        <v>0</v>
      </c>
      <c r="BN35" s="454"/>
      <c r="BO35" s="454"/>
      <c r="BP35" s="454"/>
      <c r="BQ35" s="454"/>
      <c r="BR35" s="455"/>
      <c r="BS35" s="55"/>
      <c r="BT35" s="55"/>
      <c r="BU35" s="450" t="s">
        <v>119</v>
      </c>
      <c r="BV35" s="451"/>
      <c r="BW35" s="451"/>
      <c r="BX35" s="452"/>
      <c r="BY35" s="453">
        <f>ROUNDDOWN((CA33+CA34)/BY26,-2)</f>
        <v>0</v>
      </c>
      <c r="BZ35" s="454"/>
      <c r="CA35" s="454"/>
      <c r="CB35" s="454"/>
      <c r="CC35" s="454"/>
      <c r="CD35" s="455"/>
      <c r="CE35" s="370"/>
      <c r="CK35" s="456"/>
      <c r="CL35" s="457"/>
      <c r="CM35" s="457"/>
      <c r="CN35" s="444"/>
      <c r="CO35" s="444"/>
      <c r="CP35" s="444"/>
      <c r="CQ35" s="444"/>
      <c r="CR35" s="458"/>
      <c r="CS35" s="459"/>
      <c r="CT35" s="459"/>
      <c r="CU35" s="459"/>
      <c r="CV35" s="459"/>
      <c r="CW35" s="460"/>
      <c r="CX35" s="25"/>
      <c r="CY35" s="26"/>
      <c r="CZ35" s="26"/>
      <c r="DA35" s="456"/>
      <c r="DB35" s="457"/>
      <c r="DC35" s="457"/>
      <c r="DD35" s="457"/>
      <c r="DE35" s="457"/>
      <c r="DF35" s="457"/>
      <c r="DG35" s="457"/>
      <c r="DH35" s="461"/>
      <c r="DI35" s="462"/>
      <c r="DJ35" s="462"/>
      <c r="DK35" s="462"/>
      <c r="DL35" s="462"/>
      <c r="DM35" s="463"/>
      <c r="DN35" s="25"/>
      <c r="DO35" s="25"/>
      <c r="DP35" s="26"/>
      <c r="DQ35" s="456"/>
      <c r="DR35" s="457"/>
      <c r="DS35" s="457"/>
      <c r="DT35" s="457"/>
      <c r="DU35" s="457"/>
      <c r="DV35" s="457"/>
      <c r="DW35" s="457"/>
      <c r="DX35" s="461"/>
      <c r="DY35" s="462"/>
      <c r="DZ35" s="462"/>
      <c r="EA35" s="462"/>
      <c r="EB35" s="462"/>
      <c r="EC35" s="463"/>
      <c r="ED35" s="26"/>
      <c r="EE35" s="26"/>
      <c r="EF35" s="26"/>
      <c r="EQ35" s="439" t="s">
        <v>61</v>
      </c>
      <c r="ER35" s="328">
        <v>4</v>
      </c>
      <c r="ES35" s="1" t="s">
        <v>120</v>
      </c>
      <c r="FG35" s="448" t="s">
        <v>61</v>
      </c>
      <c r="FH35" s="328">
        <v>5</v>
      </c>
    </row>
    <row r="36" ht="19.15" customHeight="1" spans="1:164" x14ac:dyDescent="0.25">
      <c r="A36" s="2"/>
      <c r="B36" s="464" t="s">
        <v>121</v>
      </c>
      <c r="C36" s="465"/>
      <c r="D36" s="465"/>
      <c r="E36" s="465"/>
      <c r="F36" s="465"/>
      <c r="G36" s="466"/>
      <c r="H36" s="467" t="s">
        <v>122</v>
      </c>
      <c r="I36" s="468"/>
      <c r="J36" s="468"/>
      <c r="K36" s="468"/>
      <c r="L36" s="468"/>
      <c r="M36" s="468"/>
      <c r="N36" s="468"/>
      <c r="O36" s="468"/>
      <c r="P36" s="468"/>
      <c r="Q36" s="469"/>
      <c r="R36" s="470" t="s">
        <v>123</v>
      </c>
      <c r="S36" s="468"/>
      <c r="T36" s="468"/>
      <c r="U36" s="468"/>
      <c r="V36" s="471"/>
      <c r="W36" s="472" t="s">
        <v>124</v>
      </c>
      <c r="X36" s="468"/>
      <c r="Y36" s="468"/>
      <c r="Z36" s="468"/>
      <c r="AA36" s="468"/>
      <c r="AB36" s="473"/>
      <c r="AC36" s="474" t="s">
        <v>125</v>
      </c>
      <c r="AD36" s="468"/>
      <c r="AE36" s="468"/>
      <c r="AF36" s="475"/>
      <c r="AG36" s="476" t="s">
        <v>126</v>
      </c>
      <c r="AH36" s="477"/>
      <c r="AI36" s="477"/>
      <c r="AJ36" s="477"/>
      <c r="AK36" s="478" t="s">
        <v>127</v>
      </c>
      <c r="AL36" s="477"/>
      <c r="AM36" s="477"/>
      <c r="AN36" s="479"/>
      <c r="AO36" s="477" t="s">
        <v>128</v>
      </c>
      <c r="AP36" s="477"/>
      <c r="AQ36" s="477"/>
      <c r="AR36" s="480"/>
      <c r="AV36" s="360"/>
      <c r="AW36" s="366" t="s">
        <v>129</v>
      </c>
      <c r="AX36" s="366"/>
      <c r="AY36" s="366"/>
      <c r="AZ36" s="366"/>
      <c r="BA36" s="396">
        <f>CL78+5%</f>
        <v>0.41</v>
      </c>
      <c r="BB36" s="481"/>
      <c r="BC36" s="482">
        <f>BA36*BA17</f>
        <v>8450100</v>
      </c>
      <c r="BD36" s="482"/>
      <c r="BE36" s="482"/>
      <c r="BF36" s="483"/>
      <c r="BG36" s="391"/>
      <c r="BH36" s="369"/>
      <c r="BI36" s="366" t="s">
        <v>129</v>
      </c>
      <c r="BJ36" s="366"/>
      <c r="BK36" s="366"/>
      <c r="BL36" s="366"/>
      <c r="BM36" s="396">
        <f>CL80+5%</f>
        <v>0.5700000000000001</v>
      </c>
      <c r="BN36" s="481"/>
      <c r="BO36" s="482">
        <f>IF(BP8="y",BM36*BM17,BM36*BA17)</f>
        <v>11747700.000000002</v>
      </c>
      <c r="BP36" s="482"/>
      <c r="BQ36" s="482"/>
      <c r="BR36" s="483"/>
      <c r="BS36" s="391"/>
      <c r="BT36" s="369"/>
      <c r="BU36" s="366" t="s">
        <v>129</v>
      </c>
      <c r="BV36" s="366"/>
      <c r="BW36" s="366"/>
      <c r="BX36" s="366"/>
      <c r="BY36" s="396">
        <f>CL82+5%</f>
        <v>0.5700000000000001</v>
      </c>
      <c r="BZ36" s="481"/>
      <c r="CA36" s="484">
        <f>IF(CB8="y",BY36*BY17,BY36*BA17)</f>
        <v>11747700.000000002</v>
      </c>
      <c r="CB36" s="482"/>
      <c r="CC36" s="482"/>
      <c r="CD36" s="483"/>
      <c r="CE36" s="370"/>
      <c r="CN36" s="485" t="s">
        <v>94</v>
      </c>
      <c r="CO36" s="486"/>
      <c r="CP36" s="486"/>
      <c r="CQ36" s="487"/>
      <c r="CR36" s="488">
        <v>8000</v>
      </c>
      <c r="CS36" s="489"/>
      <c r="CT36" s="489"/>
      <c r="CU36" s="489"/>
      <c r="CV36" s="489"/>
      <c r="CW36" s="490"/>
      <c r="CY36" s="5"/>
      <c r="CZ36" s="5"/>
      <c r="DD36" s="485" t="s">
        <v>94</v>
      </c>
      <c r="DE36" s="486"/>
      <c r="DF36" s="486"/>
      <c r="DG36" s="487"/>
      <c r="DH36" s="488">
        <v>8000</v>
      </c>
      <c r="DI36" s="489"/>
      <c r="DJ36" s="489"/>
      <c r="DK36" s="489"/>
      <c r="DL36" s="489"/>
      <c r="DM36" s="490"/>
      <c r="DP36" s="5"/>
      <c r="DT36" s="485" t="s">
        <v>94</v>
      </c>
      <c r="DU36" s="486"/>
      <c r="DV36" s="486"/>
      <c r="DW36" s="487"/>
      <c r="DX36" s="488">
        <v>8000</v>
      </c>
      <c r="DY36" s="489"/>
      <c r="DZ36" s="489"/>
      <c r="EA36" s="489"/>
      <c r="EB36" s="489"/>
      <c r="EC36" s="490"/>
      <c r="EQ36" s="491" t="s">
        <v>62</v>
      </c>
      <c r="ER36" s="394">
        <v>5</v>
      </c>
      <c r="ES36" s="1" t="s">
        <v>130</v>
      </c>
      <c r="FG36" s="492" t="s">
        <v>62</v>
      </c>
      <c r="FH36" s="394">
        <v>6</v>
      </c>
    </row>
    <row r="37" ht="19.15" customHeight="1" spans="1:164" x14ac:dyDescent="0.25">
      <c r="A37" s="2"/>
      <c r="B37" s="493" t="s">
        <v>109</v>
      </c>
      <c r="C37" s="494"/>
      <c r="D37" s="494"/>
      <c r="E37" s="494"/>
      <c r="F37" s="494"/>
      <c r="G37" s="495"/>
      <c r="H37" s="496" t="s">
        <v>131</v>
      </c>
      <c r="I37" s="497"/>
      <c r="J37" s="497"/>
      <c r="K37" s="497"/>
      <c r="L37" s="497"/>
      <c r="M37" s="497"/>
      <c r="N37" s="497"/>
      <c r="O37" s="497"/>
      <c r="P37" s="497"/>
      <c r="Q37" s="498"/>
      <c r="R37" s="499" t="s">
        <v>132</v>
      </c>
      <c r="S37" s="500"/>
      <c r="T37" s="500"/>
      <c r="U37" s="500"/>
      <c r="V37" s="501"/>
      <c r="W37" s="502" t="s">
        <v>133</v>
      </c>
      <c r="X37" s="500"/>
      <c r="Y37" s="500"/>
      <c r="Z37" s="500"/>
      <c r="AA37" s="500"/>
      <c r="AB37" s="503"/>
      <c r="AC37" s="504" t="s">
        <v>134</v>
      </c>
      <c r="AD37" s="505"/>
      <c r="AE37" s="505"/>
      <c r="AF37" s="506"/>
      <c r="AG37" s="507" t="s">
        <v>135</v>
      </c>
      <c r="AH37" s="508"/>
      <c r="AI37" s="508"/>
      <c r="AJ37" s="508"/>
      <c r="AK37" s="509" t="s">
        <v>135</v>
      </c>
      <c r="AL37" s="510"/>
      <c r="AM37" s="510"/>
      <c r="AN37" s="511"/>
      <c r="AO37" s="509" t="s">
        <v>135</v>
      </c>
      <c r="AP37" s="510"/>
      <c r="AQ37" s="510"/>
      <c r="AR37" s="511"/>
      <c r="AV37" s="360"/>
      <c r="AW37" s="390" t="s">
        <v>136</v>
      </c>
      <c r="AX37" s="390"/>
      <c r="AY37" s="390"/>
      <c r="AZ37" s="390"/>
      <c r="BA37" s="390"/>
      <c r="BB37" s="390"/>
      <c r="BC37" s="398" t="s">
        <v>137</v>
      </c>
      <c r="BD37" s="398"/>
      <c r="BE37" s="398"/>
      <c r="BF37" s="398"/>
      <c r="BG37" s="512"/>
      <c r="BH37" s="55"/>
      <c r="BI37" s="390" t="s">
        <v>136</v>
      </c>
      <c r="BJ37" s="390"/>
      <c r="BK37" s="390"/>
      <c r="BL37" s="390"/>
      <c r="BM37" s="390"/>
      <c r="BN37" s="390"/>
      <c r="BO37" s="398" t="s">
        <v>137</v>
      </c>
      <c r="BP37" s="398"/>
      <c r="BQ37" s="398"/>
      <c r="BR37" s="398"/>
      <c r="BS37" s="512"/>
      <c r="BT37" s="55"/>
      <c r="BU37" s="390" t="s">
        <v>136</v>
      </c>
      <c r="BV37" s="390"/>
      <c r="BW37" s="390"/>
      <c r="BX37" s="390"/>
      <c r="BY37" s="390"/>
      <c r="BZ37" s="390"/>
      <c r="CA37" s="398" t="s">
        <v>137</v>
      </c>
      <c r="CB37" s="398"/>
      <c r="CC37" s="398"/>
      <c r="CD37" s="398"/>
      <c r="CE37" s="370"/>
      <c r="EF37" s="513"/>
      <c r="EN37" s="513"/>
      <c r="EO37" s="513"/>
      <c r="EP37" s="513"/>
      <c r="EQ37" s="513"/>
      <c r="FG37" s="514"/>
      <c r="FH37" s="515"/>
    </row>
    <row r="38" ht="19.15" customHeight="1" spans="1:164" x14ac:dyDescent="0.25">
      <c r="A38" s="2"/>
      <c r="B38" s="516" t="s">
        <v>114</v>
      </c>
      <c r="C38" s="517"/>
      <c r="D38" s="517"/>
      <c r="E38" s="517"/>
      <c r="F38" s="517"/>
      <c r="G38" s="518"/>
      <c r="H38" s="519" t="s">
        <v>138</v>
      </c>
      <c r="I38" s="520"/>
      <c r="J38" s="520"/>
      <c r="K38" s="520"/>
      <c r="L38" s="520"/>
      <c r="M38" s="520"/>
      <c r="N38" s="520"/>
      <c r="O38" s="520"/>
      <c r="P38" s="520"/>
      <c r="Q38" s="521"/>
      <c r="R38" s="522" t="s">
        <v>139</v>
      </c>
      <c r="S38" s="523"/>
      <c r="T38" s="523"/>
      <c r="U38" s="523"/>
      <c r="V38" s="524"/>
      <c r="W38" s="525" t="s">
        <v>133</v>
      </c>
      <c r="X38" s="523"/>
      <c r="Y38" s="523"/>
      <c r="Z38" s="523"/>
      <c r="AA38" s="523"/>
      <c r="AB38" s="526"/>
      <c r="AC38" s="527" t="s">
        <v>134</v>
      </c>
      <c r="AD38" s="528"/>
      <c r="AE38" s="528"/>
      <c r="AF38" s="529"/>
      <c r="AG38" s="530" t="s">
        <v>135</v>
      </c>
      <c r="AH38" s="531"/>
      <c r="AI38" s="531"/>
      <c r="AJ38" s="531"/>
      <c r="AK38" s="532" t="s">
        <v>135</v>
      </c>
      <c r="AL38" s="533"/>
      <c r="AM38" s="533"/>
      <c r="AN38" s="534"/>
      <c r="AO38" s="532" t="s">
        <v>135</v>
      </c>
      <c r="AP38" s="533"/>
      <c r="AQ38" s="533"/>
      <c r="AR38" s="534"/>
      <c r="AV38" s="535"/>
      <c r="AW38" s="536"/>
      <c r="AX38" s="536"/>
      <c r="AY38" s="536"/>
      <c r="AZ38" s="536"/>
      <c r="BA38" s="537"/>
      <c r="BB38" s="537"/>
      <c r="BC38" s="538">
        <f>IF(BC37="장착",VLOOKUP(BA10,국산_DB!$B$4:$Z$1512,10,0),0)</f>
        <v>0</v>
      </c>
      <c r="BD38" s="538"/>
      <c r="BE38" s="538"/>
      <c r="BF38" s="538"/>
      <c r="BG38" s="538"/>
      <c r="BH38" s="539"/>
      <c r="BI38" s="540"/>
      <c r="BJ38" s="540"/>
      <c r="BK38" s="540"/>
      <c r="BL38" s="540"/>
      <c r="BM38" s="538"/>
      <c r="BN38" s="538"/>
      <c r="BO38" s="541">
        <f>IF(BP8="Y",IF(BO37="장착",VLOOKUP(BM10,국산_DB!$B$4:$Z$1512,10,0),0),BC38)</f>
        <v>0</v>
      </c>
      <c r="BP38" s="541"/>
      <c r="BQ38" s="541"/>
      <c r="BR38" s="541"/>
      <c r="BS38" s="538"/>
      <c r="BT38" s="539"/>
      <c r="BU38" s="540"/>
      <c r="BV38" s="540"/>
      <c r="BW38" s="540"/>
      <c r="BX38" s="540"/>
      <c r="BY38" s="538"/>
      <c r="BZ38" s="538"/>
      <c r="CA38" s="541">
        <f>IF(CB8="Y",IF(CA37="장착",VLOOKUP(BY10,국산_DB!$B$4:$Z$1512,10,0),0),BC38)</f>
        <v>0</v>
      </c>
      <c r="CB38" s="541"/>
      <c r="CC38" s="541"/>
      <c r="CD38" s="541"/>
      <c r="CE38" s="542"/>
      <c r="CJ38" s="543" t="s">
        <v>140</v>
      </c>
      <c r="CK38" s="543"/>
      <c r="CL38" s="543" t="s">
        <v>141</v>
      </c>
      <c r="CM38" s="543"/>
      <c r="CN38" s="543" t="s">
        <v>142</v>
      </c>
      <c r="CO38" s="543"/>
      <c r="CP38" s="544" t="s">
        <v>38</v>
      </c>
      <c r="CQ38" s="544"/>
      <c r="CR38" s="545" t="s">
        <v>143</v>
      </c>
      <c r="CS38" s="545"/>
      <c r="CT38" s="543" t="s">
        <v>144</v>
      </c>
      <c r="CU38" s="543"/>
      <c r="CV38" s="543" t="s">
        <v>112</v>
      </c>
      <c r="CW38" s="543"/>
      <c r="CX38" s="546"/>
      <c r="CY38" s="513"/>
      <c r="CZ38" s="543" t="s">
        <v>140</v>
      </c>
      <c r="DA38" s="543"/>
      <c r="DB38" s="543" t="s">
        <v>141</v>
      </c>
      <c r="DC38" s="543"/>
      <c r="DD38" s="543" t="s">
        <v>142</v>
      </c>
      <c r="DE38" s="543"/>
      <c r="DF38" s="544" t="s">
        <v>38</v>
      </c>
      <c r="DG38" s="544"/>
      <c r="DH38" s="545" t="s">
        <v>143</v>
      </c>
      <c r="DI38" s="545"/>
      <c r="DJ38" s="543" t="s">
        <v>144</v>
      </c>
      <c r="DK38" s="543"/>
      <c r="DL38" s="543" t="s">
        <v>112</v>
      </c>
      <c r="DM38" s="543"/>
      <c r="DN38" s="547"/>
      <c r="DO38" s="513"/>
      <c r="DP38" s="548" t="s">
        <v>140</v>
      </c>
      <c r="DQ38" s="549"/>
      <c r="DR38" s="548" t="s">
        <v>141</v>
      </c>
      <c r="DS38" s="549"/>
      <c r="DT38" s="548" t="s">
        <v>142</v>
      </c>
      <c r="DU38" s="549"/>
      <c r="DV38" s="550" t="s">
        <v>38</v>
      </c>
      <c r="DW38" s="551"/>
      <c r="DX38" s="545" t="s">
        <v>143</v>
      </c>
      <c r="DY38" s="545"/>
      <c r="DZ38" s="543" t="s">
        <v>144</v>
      </c>
      <c r="EA38" s="543"/>
      <c r="EB38" s="543" t="s">
        <v>112</v>
      </c>
      <c r="EC38" s="543"/>
      <c r="ED38" s="552"/>
      <c r="EE38" s="513"/>
      <c r="EF38" s="553"/>
      <c r="EG38" s="513"/>
      <c r="EH38" s="513"/>
      <c r="EI38" s="513"/>
      <c r="EJ38" s="513"/>
      <c r="EK38" s="513"/>
      <c r="EL38" s="513"/>
      <c r="EM38" s="513"/>
      <c r="EN38" s="553"/>
      <c r="EO38" s="553"/>
      <c r="EP38" s="553"/>
      <c r="EQ38" s="553"/>
      <c r="FG38" s="1"/>
      <c r="FH38" s="318"/>
    </row>
    <row r="39" ht="18.75" customHeight="1" spans="1:170" x14ac:dyDescent="0.25">
      <c r="A39" s="2"/>
      <c r="B39" s="516" t="s">
        <v>145</v>
      </c>
      <c r="C39" s="517"/>
      <c r="D39" s="517"/>
      <c r="E39" s="517"/>
      <c r="F39" s="517"/>
      <c r="G39" s="518"/>
      <c r="H39" s="519" t="s">
        <v>146</v>
      </c>
      <c r="I39" s="520"/>
      <c r="J39" s="520"/>
      <c r="K39" s="520"/>
      <c r="L39" s="520"/>
      <c r="M39" s="520"/>
      <c r="N39" s="520"/>
      <c r="O39" s="520"/>
      <c r="P39" s="520"/>
      <c r="Q39" s="521"/>
      <c r="R39" s="522" t="s">
        <v>67</v>
      </c>
      <c r="S39" s="523"/>
      <c r="T39" s="523"/>
      <c r="U39" s="523"/>
      <c r="V39" s="524"/>
      <c r="W39" s="525" t="s">
        <v>67</v>
      </c>
      <c r="X39" s="523"/>
      <c r="Y39" s="523"/>
      <c r="Z39" s="523"/>
      <c r="AA39" s="523"/>
      <c r="AB39" s="526"/>
      <c r="AC39" s="527" t="s">
        <v>134</v>
      </c>
      <c r="AD39" s="528"/>
      <c r="AE39" s="528"/>
      <c r="AF39" s="529"/>
      <c r="AG39" s="530" t="s">
        <v>135</v>
      </c>
      <c r="AH39" s="531"/>
      <c r="AI39" s="531"/>
      <c r="AJ39" s="531"/>
      <c r="AK39" s="532" t="s">
        <v>147</v>
      </c>
      <c r="AL39" s="533"/>
      <c r="AM39" s="533"/>
      <c r="AN39" s="534"/>
      <c r="AO39" s="554" t="s">
        <v>147</v>
      </c>
      <c r="AP39" s="555"/>
      <c r="AQ39" s="555"/>
      <c r="AR39" s="556"/>
      <c r="AV39" s="2"/>
      <c r="AW39" s="332"/>
      <c r="AX39" s="332"/>
      <c r="AY39" s="332"/>
      <c r="AZ39" s="332"/>
      <c r="BA39" s="332"/>
      <c r="BB39" s="332"/>
      <c r="BC39" s="332"/>
      <c r="BD39" s="332"/>
      <c r="BE39" s="332"/>
      <c r="BF39" s="332"/>
      <c r="BG39" s="332"/>
      <c r="BH39" s="333"/>
      <c r="BI39" s="332"/>
      <c r="BJ39" s="332"/>
      <c r="BK39" s="332"/>
      <c r="BL39" s="332"/>
      <c r="BM39" s="332"/>
      <c r="BN39" s="332"/>
      <c r="BO39" s="332"/>
      <c r="BP39" s="332"/>
      <c r="BQ39" s="332"/>
      <c r="BR39" s="332"/>
      <c r="BS39" s="332"/>
      <c r="BT39" s="332"/>
      <c r="BU39" s="332"/>
      <c r="BV39" s="332"/>
      <c r="BW39" s="332"/>
      <c r="BX39" s="332"/>
      <c r="BY39" s="332"/>
      <c r="BZ39" s="332"/>
      <c r="CA39" s="332"/>
      <c r="CB39" s="332"/>
      <c r="CC39" s="332"/>
      <c r="CD39" s="332"/>
      <c r="CE39" s="332"/>
      <c r="CJ39" s="557" t="str">
        <f>VLOOKUP(BA10,국산_DB!$B$4:$AAA$1516,3,0)</f>
        <v>V+</v>
      </c>
      <c r="CK39" s="557"/>
      <c r="CL39" s="557" t="str">
        <f>VLOOKUP(BA10,국산_DB!$B$4:$AAA$1516,2,0)</f>
        <v>승용</v>
      </c>
      <c r="CM39" s="557"/>
      <c r="CN39" s="557">
        <f>VLOOKUP(BA10,국산_DB!$B$4:$AAA$1516,8,0)</f>
        <v>0</v>
      </c>
      <c r="CO39" s="557"/>
      <c r="CP39" s="557" t="str">
        <f>VLOOKUP(BA10,국산_DB!$B$4:$AAA$1516,4,0)</f>
        <v>가솔린</v>
      </c>
      <c r="CQ39" s="557"/>
      <c r="CR39" s="557">
        <f>VLOOKUP(BA10,국산_DB!$B$4:ZZ$1514,6,0)</f>
        <v>3</v>
      </c>
      <c r="CS39" s="557"/>
      <c r="CT39" s="557"/>
      <c r="CU39" s="557"/>
      <c r="CV39" s="557"/>
      <c r="CW39" s="557"/>
      <c r="CX39" s="546"/>
      <c r="CY39" s="553"/>
      <c r="CZ39" s="557" t="str">
        <f>IF(BP8="Y",VLOOKUP(BM10,국산_DB!$B$4:$AAA$1516,3,0),CJ39)</f>
        <v>V+</v>
      </c>
      <c r="DA39" s="557"/>
      <c r="DB39" s="557" t="str">
        <f>IF(BP8="Y",VLOOKUP(BM10,국산_DB!$B$4:$AAA$1516,2,0),CL39)</f>
        <v>승용</v>
      </c>
      <c r="DC39" s="557"/>
      <c r="DD39" s="557">
        <f>IF(BP8="Y",VLOOKUP(BM10,국산_DB!$B$4:$AAA$1516,8,0),CN39)</f>
        <v>0</v>
      </c>
      <c r="DE39" s="557"/>
      <c r="DF39" s="557" t="str">
        <f>IF(BP8="Y",VLOOKUP(BM10,국산_DB!$B$4:$AAA$1516,4,0),CP39)</f>
        <v>가솔린</v>
      </c>
      <c r="DG39" s="557"/>
      <c r="DH39" s="557">
        <f>IF(BP8="Y",VLOOKUP(BM10,국산_DB!$B$4:AAP$1514,6,0),CR39)</f>
        <v>3</v>
      </c>
      <c r="DI39" s="557"/>
      <c r="DJ39" s="557"/>
      <c r="DK39" s="557"/>
      <c r="DL39" s="557"/>
      <c r="DM39" s="557"/>
      <c r="DN39" s="558"/>
      <c r="DO39" s="553"/>
      <c r="DP39" s="559" t="str">
        <f>IF(CB8="Y",VLOOKUP(BY10,국산_DB!$B$4:$AAA$1516,3,0),CJ39)</f>
        <v>V+</v>
      </c>
      <c r="DQ39" s="560"/>
      <c r="DR39" s="559" t="str">
        <f>IF(CB8="Y",VLOOKUP(BY10,국산_DB!$B$4:$AAA$1516,2,0),CL39)</f>
        <v>승용</v>
      </c>
      <c r="DS39" s="560"/>
      <c r="DT39" s="559">
        <f>IF(CB8="Y",VLOOKUP(BY10,국산_DB!$B$4:$AAA$1516,8,0),CN39)</f>
        <v>0</v>
      </c>
      <c r="DU39" s="560"/>
      <c r="DV39" s="559" t="str">
        <f>IF(CB8="Y",VLOOKUP(BY10,국산_DB!$B$4:$AAA$1516,4,0),CP39)</f>
        <v>가솔린</v>
      </c>
      <c r="DW39" s="560"/>
      <c r="DX39" s="559">
        <f>IF(CB8="Y",VLOOKUP(BY10,국산_DB!$B$4:ABF$1514,6,0),CR39)</f>
        <v>3</v>
      </c>
      <c r="DY39" s="560"/>
      <c r="DZ39" s="557"/>
      <c r="EA39" s="557"/>
      <c r="EB39" s="557"/>
      <c r="EC39" s="557"/>
      <c r="ED39" s="561"/>
      <c r="EE39" s="553"/>
      <c r="EG39" s="553"/>
      <c r="EH39" s="553"/>
      <c r="EI39" s="553"/>
      <c r="EJ39" s="553"/>
      <c r="EK39" s="553"/>
      <c r="EL39" s="553"/>
      <c r="EM39" s="553"/>
      <c r="FG39" s="1"/>
      <c r="FH39" s="297" t="s">
        <v>148</v>
      </c>
      <c r="FI39" s="514"/>
      <c r="FJ39" s="327"/>
      <c r="FL39" s="297" t="s">
        <v>149</v>
      </c>
      <c r="FM39" s="514"/>
      <c r="FN39" s="327"/>
    </row>
    <row r="40" ht="19.15" customHeight="1" spans="1:170" x14ac:dyDescent="0.25">
      <c r="A40" s="2"/>
      <c r="B40" s="516"/>
      <c r="C40" s="517"/>
      <c r="D40" s="517"/>
      <c r="E40" s="517"/>
      <c r="F40" s="517"/>
      <c r="G40" s="518"/>
      <c r="H40" s="519"/>
      <c r="I40" s="520"/>
      <c r="J40" s="520"/>
      <c r="K40" s="520"/>
      <c r="L40" s="520"/>
      <c r="M40" s="520"/>
      <c r="N40" s="520"/>
      <c r="O40" s="520"/>
      <c r="P40" s="520"/>
      <c r="Q40" s="521"/>
      <c r="R40" s="522"/>
      <c r="S40" s="523"/>
      <c r="T40" s="523"/>
      <c r="U40" s="523"/>
      <c r="V40" s="524"/>
      <c r="W40" s="525"/>
      <c r="X40" s="523"/>
      <c r="Y40" s="523"/>
      <c r="Z40" s="523"/>
      <c r="AA40" s="523"/>
      <c r="AB40" s="526"/>
      <c r="AC40" s="527"/>
      <c r="AD40" s="528"/>
      <c r="AE40" s="528"/>
      <c r="AF40" s="529"/>
      <c r="AG40" s="530"/>
      <c r="AH40" s="531"/>
      <c r="AI40" s="531"/>
      <c r="AJ40" s="531"/>
      <c r="AK40" s="532"/>
      <c r="AL40" s="533"/>
      <c r="AM40" s="533"/>
      <c r="AN40" s="534"/>
      <c r="AO40" s="554"/>
      <c r="AP40" s="555"/>
      <c r="AQ40" s="555"/>
      <c r="AR40" s="556"/>
      <c r="AV40" s="562"/>
      <c r="AW40" s="563" t="s">
        <v>150</v>
      </c>
      <c r="AX40" s="563"/>
      <c r="AY40" s="563"/>
      <c r="AZ40" s="563"/>
      <c r="BA40" s="563"/>
      <c r="BB40" s="563"/>
      <c r="BC40" s="563"/>
      <c r="BD40" s="563"/>
      <c r="BE40" s="563"/>
      <c r="BF40" s="563"/>
      <c r="BG40" s="563"/>
      <c r="BH40" s="563"/>
      <c r="BI40" s="563"/>
      <c r="BJ40" s="563"/>
      <c r="BK40" s="563"/>
      <c r="BL40" s="563"/>
      <c r="BM40" s="564"/>
      <c r="BN40" s="564"/>
      <c r="BO40" s="564"/>
      <c r="BP40" s="564"/>
      <c r="BQ40" s="564"/>
      <c r="BR40" s="564"/>
      <c r="BS40" s="564"/>
      <c r="BT40" s="564"/>
      <c r="BU40" s="564"/>
      <c r="BV40" s="564"/>
      <c r="BW40" s="565"/>
      <c r="BX40" s="565"/>
      <c r="BY40" s="565"/>
      <c r="BZ40" s="565"/>
      <c r="CA40" s="565"/>
      <c r="CB40" s="565"/>
      <c r="CC40" s="565"/>
      <c r="CD40" s="565"/>
      <c r="CE40" s="566"/>
      <c r="CY40" s="3"/>
      <c r="DA40" s="1"/>
      <c r="DN40" s="567"/>
      <c r="DO40" s="3"/>
      <c r="DP40" s="5"/>
      <c r="EZ40" s="568" t="s">
        <v>151</v>
      </c>
      <c r="FA40" s="569">
        <v>11</v>
      </c>
      <c r="FE40" s="282" t="s">
        <v>152</v>
      </c>
      <c r="FF40" s="438">
        <f>(400000-50000)/42</f>
        <v>8333.333333333334</v>
      </c>
      <c r="FG40" s="570"/>
      <c r="FH40" s="299"/>
      <c r="FI40" s="1"/>
      <c r="FJ40" s="341"/>
      <c r="FL40" s="299"/>
      <c r="FM40" s="1"/>
      <c r="FN40" s="341"/>
    </row>
    <row r="41" ht="19.15" customHeight="1" spans="1:170" x14ac:dyDescent="0.25">
      <c r="A41" s="2"/>
      <c r="B41" s="571"/>
      <c r="C41" s="572"/>
      <c r="D41" s="572"/>
      <c r="E41" s="572"/>
      <c r="F41" s="572"/>
      <c r="G41" s="573"/>
      <c r="H41" s="574"/>
      <c r="I41" s="575"/>
      <c r="J41" s="575"/>
      <c r="K41" s="575"/>
      <c r="L41" s="575"/>
      <c r="M41" s="575"/>
      <c r="N41" s="575"/>
      <c r="O41" s="575"/>
      <c r="P41" s="575"/>
      <c r="Q41" s="576"/>
      <c r="R41" s="577"/>
      <c r="S41" s="578"/>
      <c r="T41" s="578"/>
      <c r="U41" s="578"/>
      <c r="V41" s="579"/>
      <c r="W41" s="580"/>
      <c r="X41" s="578"/>
      <c r="Y41" s="578"/>
      <c r="Z41" s="578"/>
      <c r="AA41" s="578"/>
      <c r="AB41" s="581"/>
      <c r="AC41" s="582"/>
      <c r="AD41" s="583"/>
      <c r="AE41" s="583"/>
      <c r="AF41" s="584"/>
      <c r="AG41" s="585"/>
      <c r="AH41" s="586"/>
      <c r="AI41" s="586"/>
      <c r="AJ41" s="586"/>
      <c r="AK41" s="587"/>
      <c r="AL41" s="588"/>
      <c r="AM41" s="588"/>
      <c r="AN41" s="589"/>
      <c r="AO41" s="590"/>
      <c r="AP41" s="591"/>
      <c r="AQ41" s="591"/>
      <c r="AR41" s="592"/>
      <c r="AV41" s="593"/>
      <c r="AW41" s="594" t="s">
        <v>153</v>
      </c>
      <c r="AX41" s="594"/>
      <c r="AY41" s="594"/>
      <c r="AZ41" s="594"/>
      <c r="BA41" s="390" t="s">
        <v>154</v>
      </c>
      <c r="BB41" s="390"/>
      <c r="BC41" s="390"/>
      <c r="BD41" s="390"/>
      <c r="BE41" s="380" t="s">
        <v>67</v>
      </c>
      <c r="BF41" s="380"/>
      <c r="BG41" s="380"/>
      <c r="BH41" s="380"/>
      <c r="BI41" s="380"/>
      <c r="BJ41" s="380"/>
      <c r="BK41" s="380"/>
      <c r="BL41" s="380"/>
      <c r="BM41" s="388">
        <v>0.15</v>
      </c>
      <c r="BN41" s="380"/>
      <c r="BO41" s="380"/>
      <c r="BP41" s="390" t="s">
        <v>155</v>
      </c>
      <c r="BQ41" s="390"/>
      <c r="BR41" s="390"/>
      <c r="BS41" s="390"/>
      <c r="BT41" s="390"/>
      <c r="BU41" s="380" t="s">
        <v>67</v>
      </c>
      <c r="BV41" s="380"/>
      <c r="BW41" s="380"/>
      <c r="BX41" s="380"/>
      <c r="BY41" s="380"/>
      <c r="BZ41" s="380"/>
      <c r="CA41" s="380"/>
      <c r="CB41" s="388">
        <v>0.35</v>
      </c>
      <c r="CC41" s="380"/>
      <c r="CD41" s="380"/>
      <c r="CE41" s="595"/>
      <c r="CJ41" s="596" t="s">
        <v>156</v>
      </c>
      <c r="CK41" s="596"/>
      <c r="CL41" s="544" t="s">
        <v>157</v>
      </c>
      <c r="CM41" s="544"/>
      <c r="CN41" s="544" t="s">
        <v>158</v>
      </c>
      <c r="CO41" s="544"/>
      <c r="CP41" s="544" t="s">
        <v>159</v>
      </c>
      <c r="CQ41" s="544"/>
      <c r="CR41" s="544" t="s">
        <v>160</v>
      </c>
      <c r="CS41" s="544"/>
      <c r="CT41" s="544" t="s">
        <v>161</v>
      </c>
      <c r="CU41" s="550"/>
      <c r="CV41" s="597" t="s">
        <v>162</v>
      </c>
      <c r="CW41" s="598"/>
      <c r="CX41" s="599"/>
      <c r="CY41" s="600"/>
      <c r="CZ41" s="596" t="s">
        <v>156</v>
      </c>
      <c r="DA41" s="596"/>
      <c r="DB41" s="544" t="s">
        <v>157</v>
      </c>
      <c r="DC41" s="544"/>
      <c r="DD41" s="544" t="s">
        <v>163</v>
      </c>
      <c r="DE41" s="544"/>
      <c r="DF41" s="544" t="s">
        <v>159</v>
      </c>
      <c r="DG41" s="544"/>
      <c r="DH41" s="544" t="s">
        <v>160</v>
      </c>
      <c r="DI41" s="544"/>
      <c r="DJ41" s="544" t="s">
        <v>161</v>
      </c>
      <c r="DK41" s="550"/>
      <c r="DL41" s="597" t="s">
        <v>162</v>
      </c>
      <c r="DM41" s="598"/>
      <c r="DN41" s="601"/>
      <c r="DO41" s="600"/>
      <c r="DP41" s="596" t="s">
        <v>156</v>
      </c>
      <c r="DQ41" s="596"/>
      <c r="DR41" s="544" t="s">
        <v>157</v>
      </c>
      <c r="DS41" s="544"/>
      <c r="DT41" s="544" t="s">
        <v>163</v>
      </c>
      <c r="DU41" s="544"/>
      <c r="DV41" s="544" t="s">
        <v>159</v>
      </c>
      <c r="DW41" s="544"/>
      <c r="DX41" s="544" t="s">
        <v>160</v>
      </c>
      <c r="DY41" s="544"/>
      <c r="DZ41" s="544" t="s">
        <v>161</v>
      </c>
      <c r="EA41" s="550"/>
      <c r="EB41" s="597" t="s">
        <v>162</v>
      </c>
      <c r="EC41" s="598"/>
      <c r="ED41" s="30"/>
      <c r="ER41" s="282" t="s">
        <v>18</v>
      </c>
      <c r="ES41" s="602">
        <v>0.005</v>
      </c>
      <c r="EZ41" s="603" t="s">
        <v>164</v>
      </c>
      <c r="FA41" s="604">
        <v>12</v>
      </c>
      <c r="FE41" s="299" t="s">
        <v>165</v>
      </c>
      <c r="FF41" s="328">
        <f>(400000-100000)/42</f>
        <v>7142.857142857143</v>
      </c>
      <c r="FH41" s="605"/>
      <c r="FI41" s="1" t="s">
        <v>166</v>
      </c>
      <c r="FJ41" s="341" t="s">
        <v>167</v>
      </c>
      <c r="FL41" s="605"/>
      <c r="FM41" s="1" t="s">
        <v>166</v>
      </c>
      <c r="FN41" s="341" t="s">
        <v>167</v>
      </c>
    </row>
    <row r="42" ht="19.15" customHeight="1" spans="1:17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V42" s="593"/>
      <c r="AW42" s="606" t="s">
        <v>168</v>
      </c>
      <c r="AX42" s="606"/>
      <c r="AY42" s="606"/>
      <c r="AZ42" s="606"/>
      <c r="BA42" s="380" t="s">
        <v>169</v>
      </c>
      <c r="BB42" s="380"/>
      <c r="BC42" s="380"/>
      <c r="BD42" s="380"/>
      <c r="BE42" s="380"/>
      <c r="BF42" s="380"/>
      <c r="BG42" s="380"/>
      <c r="BH42" s="380"/>
      <c r="BI42" s="390" t="s">
        <v>170</v>
      </c>
      <c r="BJ42" s="390"/>
      <c r="BK42" s="390"/>
      <c r="BL42" s="390"/>
      <c r="BM42" s="380" t="s">
        <v>151</v>
      </c>
      <c r="BN42" s="380"/>
      <c r="BO42" s="380"/>
      <c r="BP42" s="380"/>
      <c r="BQ42" s="607" t="s">
        <v>171</v>
      </c>
      <c r="BR42" s="608"/>
      <c r="BS42" s="608"/>
      <c r="BT42" s="608"/>
      <c r="BU42" s="608"/>
      <c r="BV42" s="608"/>
      <c r="BW42" s="608"/>
      <c r="BX42" s="608"/>
      <c r="BY42" s="166">
        <f>VLOOKUP($BA$10,국산_DB!Z3:AC165,4,0)</f>
        <v>0</v>
      </c>
      <c r="BZ42" s="167"/>
      <c r="CA42" s="167"/>
      <c r="CB42" s="167"/>
      <c r="CC42" s="167"/>
      <c r="CD42" s="168"/>
      <c r="CE42" s="595"/>
      <c r="CJ42" s="596"/>
      <c r="CK42" s="596"/>
      <c r="CL42" s="609">
        <f>VLOOKUP(BA26,잔가테이블!$A$4:$L$87,VLOOKUP(CJ39,잔가테이블!$N$3:$O$13,2,0),0)</f>
        <v>0.38</v>
      </c>
      <c r="CM42" s="609"/>
      <c r="CN42" s="609">
        <f>VLOOKUP(BA27,$EQ$21:$ER$29,2,0)</f>
        <v>-0.02</v>
      </c>
      <c r="CO42" s="609"/>
      <c r="CP42" s="609">
        <f>BA65</f>
        <v>0</v>
      </c>
      <c r="CQ42" s="609"/>
      <c r="CR42" s="609"/>
      <c r="CS42" s="609"/>
      <c r="CT42" s="609"/>
      <c r="CU42" s="610"/>
      <c r="CV42" s="611">
        <f>CL42+CN42+CP42+CR42+CT42</f>
        <v>0.36</v>
      </c>
      <c r="CW42" s="612"/>
      <c r="CX42" s="599"/>
      <c r="CY42" s="613"/>
      <c r="CZ42" s="596"/>
      <c r="DA42" s="596"/>
      <c r="DB42" s="609">
        <f>VLOOKUP(BM26,잔가테이블!$A$4:$L$87,VLOOKUP(CZ39,잔가테이블!$N$3:$O$13,2,0),0)</f>
        <v>0.48</v>
      </c>
      <c r="DC42" s="609"/>
      <c r="DD42" s="609">
        <f>VLOOKUP(BM27,$EQ$21:$ER$29,2,0)</f>
        <v>0.04</v>
      </c>
      <c r="DE42" s="609"/>
      <c r="DF42" s="609">
        <f>BE65</f>
        <v>0</v>
      </c>
      <c r="DG42" s="609"/>
      <c r="DH42" s="609"/>
      <c r="DI42" s="609"/>
      <c r="DJ42" s="609"/>
      <c r="DK42" s="610"/>
      <c r="DL42" s="611">
        <f>DB42+DD42+DF42+DH42+DJ42</f>
        <v>0.52</v>
      </c>
      <c r="DM42" s="612"/>
      <c r="DN42" s="614"/>
      <c r="DO42" s="613"/>
      <c r="DP42" s="596"/>
      <c r="DQ42" s="596"/>
      <c r="DR42" s="609">
        <f>VLOOKUP(BY26,잔가테이블!$A$4:$L$87,VLOOKUP(DP39,잔가테이블!$N$3:$O$13,2,0),0)</f>
        <v>0.48</v>
      </c>
      <c r="DS42" s="609"/>
      <c r="DT42" s="609">
        <f>VLOOKUP(BY27,$EQ$21:$ER$29,2,0)</f>
        <v>0.04</v>
      </c>
      <c r="DU42" s="609"/>
      <c r="DV42" s="609">
        <f>BJ65</f>
        <v>0</v>
      </c>
      <c r="DW42" s="609"/>
      <c r="DX42" s="609"/>
      <c r="DY42" s="609"/>
      <c r="DZ42" s="609"/>
      <c r="EA42" s="610"/>
      <c r="EB42" s="611">
        <f>DR42+DT42+DV42+DX42+DZ42</f>
        <v>0.52</v>
      </c>
      <c r="EC42" s="612"/>
      <c r="ED42" s="615"/>
      <c r="ER42" s="299" t="s">
        <v>76</v>
      </c>
      <c r="ES42" s="616">
        <v>0.005</v>
      </c>
      <c r="EZ42" s="603" t="s">
        <v>172</v>
      </c>
      <c r="FA42" s="604">
        <v>13</v>
      </c>
      <c r="FE42" s="299" t="s">
        <v>173</v>
      </c>
      <c r="FF42" s="328">
        <f>(400000-200000)/42</f>
        <v>4761.9047619047615</v>
      </c>
      <c r="FH42" s="605" t="s">
        <v>174</v>
      </c>
      <c r="FI42" s="5">
        <f>IF(BA48="만 26세 이상",VLOOKUP(CL39,'보험료(공제)'!$D$4:$E$7,2,0),VLOOKUP(CL39,'보험료(공제)'!$D$4:$F$7,3,0))</f>
        <v>306070</v>
      </c>
      <c r="FJ42" s="328">
        <f>FI42</f>
        <v>306070</v>
      </c>
      <c r="FL42" s="605" t="s">
        <v>174</v>
      </c>
      <c r="FM42" s="5">
        <f>IF(BA48="만 26세 이상",VLOOKUP(CL39,'보험료(공제)'!$N$4:$O$7,2,0),VLOOKUP(CL39,'보험료(공제)'!$N$4:$P$7,3,0))</f>
        <v>303460</v>
      </c>
      <c r="FN42" s="328">
        <f>FM42</f>
        <v>303460</v>
      </c>
    </row>
    <row r="43" ht="19.15" customHeight="1" spans="1:170" x14ac:dyDescent="0.25">
      <c r="A43" s="2"/>
      <c r="B43" s="113" t="s">
        <v>175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49"/>
      <c r="P43" s="449"/>
      <c r="Q43" s="449"/>
      <c r="R43" s="449"/>
      <c r="S43" s="449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J43" s="449"/>
      <c r="AK43" s="449"/>
      <c r="AL43" s="449"/>
      <c r="AM43" s="449"/>
      <c r="AN43" s="449"/>
      <c r="AO43" s="449"/>
      <c r="AP43" s="449"/>
      <c r="AQ43" s="449"/>
      <c r="AR43" s="2"/>
      <c r="AV43" s="593"/>
      <c r="AW43" s="366" t="s">
        <v>46</v>
      </c>
      <c r="AX43" s="366"/>
      <c r="AY43" s="366"/>
      <c r="AZ43" s="366"/>
      <c r="BA43" s="380" t="s">
        <v>67</v>
      </c>
      <c r="BB43" s="380"/>
      <c r="BC43" s="380"/>
      <c r="BD43" s="380"/>
      <c r="BE43" s="380"/>
      <c r="BF43" s="380"/>
      <c r="BG43" s="380"/>
      <c r="BH43" s="380"/>
      <c r="BI43" s="607" t="s">
        <v>176</v>
      </c>
      <c r="BJ43" s="608"/>
      <c r="BK43" s="608"/>
      <c r="BL43" s="617"/>
      <c r="BM43" s="61" t="s">
        <v>67</v>
      </c>
      <c r="BN43" s="62"/>
      <c r="BO43" s="62"/>
      <c r="BP43" s="62"/>
      <c r="BQ43" s="62"/>
      <c r="BR43" s="62"/>
      <c r="BS43" s="62"/>
      <c r="BT43" s="62"/>
      <c r="BU43" s="290" t="s">
        <v>177</v>
      </c>
      <c r="BV43" s="291"/>
      <c r="BW43" s="291"/>
      <c r="BX43" s="292"/>
      <c r="BY43" s="618">
        <v>0</v>
      </c>
      <c r="BZ43" s="618"/>
      <c r="CA43" s="618"/>
      <c r="CB43" s="618"/>
      <c r="CC43" s="618"/>
      <c r="CD43" s="618"/>
      <c r="CE43" s="595"/>
      <c r="ER43" s="299" t="s">
        <v>79</v>
      </c>
      <c r="ES43" s="325">
        <v>0.01</v>
      </c>
      <c r="EZ43" s="603" t="s">
        <v>178</v>
      </c>
      <c r="FA43" s="604">
        <v>14</v>
      </c>
      <c r="FE43" s="299" t="s">
        <v>179</v>
      </c>
      <c r="FF43" s="328">
        <f>(400000-300000)/42</f>
        <v>2380.9523809523807</v>
      </c>
      <c r="FH43" s="299" t="s">
        <v>97</v>
      </c>
      <c r="FI43" s="5">
        <f>IF(BA48="만 26세 이상",VLOOKUP(CL39,'보험료(공제)'!$D$11:$H$13,VLOOKUP(BK48,'보험료(공제)'!$J$11:$K$14,2,0),0),VLOOKUP(CL39,'보험료(공제)'!$D$17:$H$19,VLOOKUP(BK48,'보험료(공제)'!$J$11:$K$14,2,0),0))</f>
        <v>206150</v>
      </c>
      <c r="FJ43" s="328">
        <f>FI43</f>
        <v>206150</v>
      </c>
      <c r="FL43" s="299" t="s">
        <v>97</v>
      </c>
      <c r="FM43" s="5">
        <f>IF(BA48="만 26세 이상",VLOOKUP(CL39,'보험료(공제)'!$N$11:$R$13,VLOOKUP(BK48,'보험료(공제)'!$T$11:$U$14,2,0),0),VLOOKUP(CL39,'보험료(공제)'!$N$17:$R$19,VLOOKUP(BK48,'보험료(공제)'!$J$11:$K$14,2,0),0))</f>
        <v>204390</v>
      </c>
      <c r="FN43" s="328">
        <f>FM43</f>
        <v>204390</v>
      </c>
    </row>
    <row r="44" ht="19.15" customHeight="1" spans="1:170" x14ac:dyDescent="0.25">
      <c r="A44" s="2"/>
      <c r="B44" s="619" t="s">
        <v>180</v>
      </c>
      <c r="C44" s="620"/>
      <c r="D44" s="620"/>
      <c r="E44" s="620"/>
      <c r="F44" s="621"/>
      <c r="G44" s="621"/>
      <c r="H44" s="621"/>
      <c r="I44" s="621"/>
      <c r="J44" s="622"/>
      <c r="K44" s="622"/>
      <c r="L44" s="622"/>
      <c r="M44" s="622"/>
      <c r="N44" s="622"/>
      <c r="O44" s="622"/>
      <c r="P44" s="622"/>
      <c r="Q44" s="622"/>
      <c r="R44" s="622"/>
      <c r="S44" s="622"/>
      <c r="T44" s="622"/>
      <c r="U44" s="622"/>
      <c r="V44" s="622"/>
      <c r="W44" s="622"/>
      <c r="X44" s="622"/>
      <c r="Y44" s="622"/>
      <c r="Z44" s="622"/>
      <c r="AA44" s="622"/>
      <c r="AB44" s="622"/>
      <c r="AC44" s="622"/>
      <c r="AD44" s="622"/>
      <c r="AE44" s="622"/>
      <c r="AF44" s="622"/>
      <c r="AG44" s="622"/>
      <c r="AH44" s="622"/>
      <c r="AI44" s="623"/>
      <c r="AJ44" s="623"/>
      <c r="AK44" s="623"/>
      <c r="AL44" s="623"/>
      <c r="AM44" s="623"/>
      <c r="AN44" s="623"/>
      <c r="AO44" s="623"/>
      <c r="AP44" s="623"/>
      <c r="AQ44" s="623"/>
      <c r="AR44" s="2"/>
      <c r="AS44" s="2"/>
      <c r="AT44" s="2"/>
      <c r="AU44" s="2"/>
      <c r="AV44" s="593"/>
      <c r="AW44" s="366" t="s">
        <v>181</v>
      </c>
      <c r="AX44" s="366"/>
      <c r="AY44" s="366"/>
      <c r="AZ44" s="366"/>
      <c r="BA44" s="61" t="s">
        <v>67</v>
      </c>
      <c r="BB44" s="62"/>
      <c r="BC44" s="62"/>
      <c r="BD44" s="62"/>
      <c r="BE44" s="62"/>
      <c r="BF44" s="62"/>
      <c r="BG44" s="62"/>
      <c r="BH44" s="63"/>
      <c r="BI44" s="390" t="s">
        <v>182</v>
      </c>
      <c r="BJ44" s="390"/>
      <c r="BK44" s="390"/>
      <c r="BL44" s="390"/>
      <c r="BM44" s="624">
        <v>0</v>
      </c>
      <c r="BN44" s="625"/>
      <c r="BO44" s="625"/>
      <c r="BP44" s="625"/>
      <c r="BQ44" s="625"/>
      <c r="BR44" s="625"/>
      <c r="BS44" s="625"/>
      <c r="BT44" s="625"/>
      <c r="BU44" s="127" t="s">
        <v>43</v>
      </c>
      <c r="BV44" s="626"/>
      <c r="BW44" s="626"/>
      <c r="BX44" s="128"/>
      <c r="BY44" s="167">
        <v>0</v>
      </c>
      <c r="BZ44" s="167"/>
      <c r="CA44" s="167"/>
      <c r="CB44" s="167"/>
      <c r="CC44" s="167"/>
      <c r="CD44" s="168"/>
      <c r="CE44" s="595"/>
      <c r="CF44" s="2"/>
      <c r="CJ44" s="627" t="s">
        <v>183</v>
      </c>
      <c r="CK44" s="627"/>
      <c r="CL44" s="627"/>
      <c r="CM44" s="627"/>
      <c r="CN44" s="627"/>
      <c r="CO44" s="627"/>
      <c r="CP44" s="627"/>
      <c r="CQ44" s="627"/>
      <c r="CR44" s="627"/>
      <c r="CS44" s="627"/>
      <c r="CT44" s="627"/>
      <c r="CU44" s="627"/>
      <c r="CV44" s="627"/>
      <c r="CW44" s="627"/>
      <c r="CZ44" s="627" t="s">
        <v>183</v>
      </c>
      <c r="DA44" s="627"/>
      <c r="DB44" s="627"/>
      <c r="DC44" s="627"/>
      <c r="DD44" s="627"/>
      <c r="DE44" s="627"/>
      <c r="DF44" s="627"/>
      <c r="DG44" s="627"/>
      <c r="DH44" s="627"/>
      <c r="DI44" s="627"/>
      <c r="DJ44" s="627"/>
      <c r="DK44" s="627"/>
      <c r="DL44" s="627"/>
      <c r="DM44" s="627"/>
      <c r="DP44" s="627" t="s">
        <v>183</v>
      </c>
      <c r="DQ44" s="627"/>
      <c r="DR44" s="627"/>
      <c r="DS44" s="627"/>
      <c r="DT44" s="627"/>
      <c r="DU44" s="627"/>
      <c r="DV44" s="627"/>
      <c r="DW44" s="627"/>
      <c r="DX44" s="627"/>
      <c r="DY44" s="627"/>
      <c r="DZ44" s="627"/>
      <c r="EA44" s="627"/>
      <c r="EB44" s="627"/>
      <c r="EC44" s="627"/>
      <c r="ER44" s="299" t="s">
        <v>81</v>
      </c>
      <c r="ES44" s="325">
        <v>0.01</v>
      </c>
      <c r="EZ44" s="603" t="s">
        <v>184</v>
      </c>
      <c r="FA44" s="604">
        <v>15</v>
      </c>
      <c r="FE44" s="299" t="s">
        <v>185</v>
      </c>
      <c r="FF44" s="328">
        <v>0</v>
      </c>
      <c r="FH44" s="299" t="s">
        <v>186</v>
      </c>
      <c r="FI44" s="5">
        <f>IF(BA48="만 26세 이상",VLOOKUP(CL39,'보험료(공제)'!$D$24:$G$26,VLOOKUP(BR48,'보험료(공제)'!$J$23:$K$25,2,0),0),VLOOKUP(CL39,'보험료(공제)'!$D$30:$G$32,VLOOKUP(BR48,'보험료(공제)'!$J$23:$K$25,2,0),0))</f>
        <v>8880</v>
      </c>
      <c r="FJ44" s="328" t="e">
        <f>IF(BA48="만 26세 이상",VLOOKUP(CL39,'보험료(공제)'!$C$52:$E$54,VLOOKUP(BR48,'보험료(공제)'!$G$52:$H$53,2,0),0),VLOOKUP(CL39,'보험료(공제)'!$C$57:$E$59,VLOOKUP(BR48,'보험료(공제)'!$G$52:$H$53,2,0),0))</f>
        <v>#N/A</v>
      </c>
      <c r="FL44" s="299" t="s">
        <v>186</v>
      </c>
      <c r="FM44" s="5">
        <f>IF(BA48="만 26세 이상",VLOOKUP(CL39,'보험료(공제)'!$N$24:$Q$26,VLOOKUP(BR48,'보험료(공제)'!$T$23:$U$25,2,0),0),VLOOKUP(CL39,'보험료(공제)'!$N$30:$Q$32,VLOOKUP(BR48,'보험료(공제)'!$T$23:$U$25,2,0),0))</f>
        <v>8780</v>
      </c>
      <c r="FN44" s="328" t="e">
        <f>IF(BA48="만 26세 이상",VLOOKUP(CL39,'보험료(공제)'!$M$52:$O$54,VLOOKUP(BR48,'보험료(공제)'!$Q$52:$R$53,2,0),0),VLOOKUP(CL39,'보험료(공제)'!$M$57:$O$59,VLOOKUP(BR48,'보험료(공제)'!$Q$52:$R$53,2,0),0))</f>
        <v>#N/A</v>
      </c>
    </row>
    <row r="45" ht="19.15" customHeight="1" spans="1:170" x14ac:dyDescent="0.25">
      <c r="A45" s="2"/>
      <c r="B45" s="619" t="s">
        <v>187</v>
      </c>
      <c r="C45" s="620"/>
      <c r="D45" s="620"/>
      <c r="E45" s="620"/>
      <c r="F45" s="621"/>
      <c r="G45" s="621"/>
      <c r="H45" s="621"/>
      <c r="I45" s="621"/>
      <c r="J45" s="628"/>
      <c r="K45" s="628"/>
      <c r="L45" s="628"/>
      <c r="M45" s="628"/>
      <c r="N45" s="628"/>
      <c r="O45" s="628"/>
      <c r="P45" s="628"/>
      <c r="Q45" s="628"/>
      <c r="R45" s="628"/>
      <c r="S45" s="628"/>
      <c r="T45" s="621"/>
      <c r="U45" s="621"/>
      <c r="V45" s="621"/>
      <c r="W45" s="621"/>
      <c r="X45" s="621"/>
      <c r="Y45" s="621"/>
      <c r="Z45" s="621"/>
      <c r="AA45" s="621"/>
      <c r="AB45" s="621"/>
      <c r="AC45" s="621"/>
      <c r="AD45" s="621"/>
      <c r="AE45" s="621"/>
      <c r="AF45" s="622"/>
      <c r="AG45" s="622"/>
      <c r="AH45" s="622"/>
      <c r="AI45" s="629"/>
      <c r="AJ45" s="629"/>
      <c r="AK45" s="629"/>
      <c r="AL45" s="629"/>
      <c r="AM45" s="629"/>
      <c r="AN45" s="629"/>
      <c r="AO45" s="629"/>
      <c r="AP45" s="629"/>
      <c r="AQ45" s="629"/>
      <c r="AR45" s="449"/>
      <c r="AV45" s="630"/>
      <c r="AW45" s="631"/>
      <c r="AX45" s="631"/>
      <c r="AY45" s="631"/>
      <c r="AZ45" s="631"/>
      <c r="BA45" s="632"/>
      <c r="BB45" s="632"/>
      <c r="BC45" s="632"/>
      <c r="BD45" s="632"/>
      <c r="BE45" s="632"/>
      <c r="BF45" s="632"/>
      <c r="BG45" s="632"/>
      <c r="BH45" s="632"/>
      <c r="BI45" s="632"/>
      <c r="BJ45" s="632"/>
      <c r="BK45" s="632"/>
      <c r="BL45" s="632"/>
      <c r="BM45" s="632"/>
      <c r="BN45" s="632"/>
      <c r="BO45" s="632"/>
      <c r="BP45" s="632"/>
      <c r="BQ45" s="632"/>
      <c r="BR45" s="632"/>
      <c r="BS45" s="632"/>
      <c r="BT45" s="632"/>
      <c r="BU45" s="632"/>
      <c r="BV45" s="632"/>
      <c r="BW45" s="632"/>
      <c r="BX45" s="632"/>
      <c r="BY45" s="632"/>
      <c r="BZ45" s="632"/>
      <c r="CA45" s="632"/>
      <c r="CB45" s="632"/>
      <c r="CC45" s="632"/>
      <c r="CD45" s="632"/>
      <c r="CE45" s="633"/>
      <c r="CJ45" s="627"/>
      <c r="CK45" s="627"/>
      <c r="CL45" s="627"/>
      <c r="CM45" s="627"/>
      <c r="CN45" s="627"/>
      <c r="CO45" s="627"/>
      <c r="CP45" s="627"/>
      <c r="CQ45" s="627"/>
      <c r="CR45" s="627"/>
      <c r="CS45" s="627"/>
      <c r="CT45" s="627"/>
      <c r="CU45" s="627"/>
      <c r="CV45" s="627"/>
      <c r="CW45" s="627"/>
      <c r="CZ45" s="627"/>
      <c r="DA45" s="627"/>
      <c r="DB45" s="627"/>
      <c r="DC45" s="627"/>
      <c r="DD45" s="627"/>
      <c r="DE45" s="627"/>
      <c r="DF45" s="627"/>
      <c r="DG45" s="627"/>
      <c r="DH45" s="627"/>
      <c r="DI45" s="627"/>
      <c r="DJ45" s="627"/>
      <c r="DK45" s="627"/>
      <c r="DL45" s="627"/>
      <c r="DM45" s="627"/>
      <c r="DP45" s="627"/>
      <c r="DQ45" s="627"/>
      <c r="DR45" s="627"/>
      <c r="DS45" s="627"/>
      <c r="DT45" s="627"/>
      <c r="DU45" s="627"/>
      <c r="DV45" s="627"/>
      <c r="DW45" s="627"/>
      <c r="DX45" s="627"/>
      <c r="DY45" s="627"/>
      <c r="DZ45" s="627"/>
      <c r="EA45" s="627"/>
      <c r="EB45" s="627"/>
      <c r="EC45" s="627"/>
      <c r="ER45" s="357" t="s">
        <v>86</v>
      </c>
      <c r="ES45" s="392">
        <v>0.01</v>
      </c>
      <c r="EZ45" s="603" t="s">
        <v>188</v>
      </c>
      <c r="FA45" s="604">
        <v>16</v>
      </c>
      <c r="FE45" s="357" t="s">
        <v>189</v>
      </c>
      <c r="FF45" s="394">
        <v>0</v>
      </c>
      <c r="FH45" s="299" t="s">
        <v>190</v>
      </c>
      <c r="FI45" s="5">
        <f>IF(BA48="만 26세 이상",VLOOKUP(CL39,'보험료(공제)'!$D$38:$E$40,2,0),VLOOKUP(CL39,'보험료(공제)'!$D$38:$F$40,3,0))</f>
        <v>21160</v>
      </c>
      <c r="FJ45" s="328">
        <f>FI45</f>
        <v>21160</v>
      </c>
      <c r="FL45" s="299" t="s">
        <v>190</v>
      </c>
      <c r="FM45" s="5">
        <f>IF(BA48="만 26세 이상",VLOOKUP(CL39,'보험료(공제)'!$N$38:$O$40,2,0),VLOOKUP(CL39,'보험료(공제)'!$N$38:$P$40,3,0))</f>
        <v>20980</v>
      </c>
      <c r="FN45" s="328">
        <f>FM45</f>
        <v>20980</v>
      </c>
    </row>
    <row r="46" ht="19.15" customHeight="1" spans="1:170" x14ac:dyDescent="0.25">
      <c r="A46" s="2"/>
      <c r="B46" s="619" t="s">
        <v>191</v>
      </c>
      <c r="C46" s="634"/>
      <c r="D46" s="634"/>
      <c r="E46" s="634"/>
      <c r="F46" s="621"/>
      <c r="G46" s="621"/>
      <c r="H46" s="621"/>
      <c r="I46" s="621"/>
      <c r="J46" s="628"/>
      <c r="K46" s="628"/>
      <c r="L46" s="628"/>
      <c r="M46" s="628"/>
      <c r="N46" s="628"/>
      <c r="O46" s="628"/>
      <c r="P46" s="628"/>
      <c r="Q46" s="628"/>
      <c r="R46" s="628"/>
      <c r="S46" s="628"/>
      <c r="T46" s="621"/>
      <c r="U46" s="621"/>
      <c r="V46" s="621"/>
      <c r="W46" s="621"/>
      <c r="X46" s="621"/>
      <c r="Y46" s="621"/>
      <c r="Z46" s="621"/>
      <c r="AA46" s="621"/>
      <c r="AB46" s="621"/>
      <c r="AC46" s="621"/>
      <c r="AD46" s="621"/>
      <c r="AE46" s="621"/>
      <c r="AF46" s="622"/>
      <c r="AG46" s="622"/>
      <c r="AH46" s="622"/>
      <c r="AI46" s="629"/>
      <c r="AJ46" s="629"/>
      <c r="AK46" s="629"/>
      <c r="AL46" s="629"/>
      <c r="AM46" s="629"/>
      <c r="AN46" s="629"/>
      <c r="AO46" s="629"/>
      <c r="AP46" s="629"/>
      <c r="AQ46" s="629"/>
      <c r="AR46" s="623"/>
      <c r="AS46" s="635"/>
      <c r="AT46" s="635"/>
      <c r="AV46" s="636">
        <f>VLOOKUP(BA10,국산_DB!$B$4:$ZZ$1511,23,0)</f>
        <v>201600</v>
      </c>
      <c r="AW46" s="636"/>
      <c r="AX46" s="636"/>
      <c r="AY46" s="636"/>
      <c r="AZ46" s="636">
        <f>VLOOKUP(BM10,국산_DB!$B$4:$ZZ$1511,23,0)</f>
        <v>201600</v>
      </c>
      <c r="BA46" s="636"/>
      <c r="BB46" s="636"/>
      <c r="BC46" s="636">
        <f>VLOOKUP(BY10,국산_DB!$B$4:$ZZ$1511,23,0)</f>
        <v>201600</v>
      </c>
      <c r="BD46" s="636"/>
      <c r="BE46" s="636"/>
      <c r="BF46" s="636"/>
      <c r="BG46" s="27"/>
      <c r="BH46" s="27"/>
      <c r="BI46" s="27"/>
      <c r="BJ46" s="27"/>
      <c r="BK46" s="27"/>
      <c r="BL46" s="27"/>
      <c r="BM46" s="27"/>
      <c r="BN46" s="637"/>
      <c r="BO46" s="637"/>
      <c r="BP46" s="637"/>
      <c r="BQ46" s="636">
        <f>IF(BA44="추가(1세트/2짝)",AV46+(BA26/12*2*20000),IF(BA44="추가(2세트/4짝)",AV46*2+(BA26/12*2*20000),0))</f>
        <v>0</v>
      </c>
      <c r="BR46" s="636"/>
      <c r="BS46" s="636"/>
      <c r="BT46" s="637"/>
      <c r="BU46" s="636">
        <f>IF(BA44="추가(1세트/2짝)",AV46+(BM26/12*2*20000),IF(BA44="추가(2세트/4짝)",AV46*2+(BM26/12*2*20000),0))</f>
        <v>0</v>
      </c>
      <c r="BV46" s="636"/>
      <c r="BW46" s="636"/>
      <c r="BX46" s="637"/>
      <c r="BY46" s="636">
        <f>IF(BA44="추가(1세트/2짝)",AV46+(BY26/12*2*20000),IF(BA44="추가(2세트/4짝)",AV46*2+(BY26/12*2*20000),0))</f>
        <v>0</v>
      </c>
      <c r="BZ46" s="636"/>
      <c r="CA46" s="636"/>
      <c r="CB46" s="636">
        <f>(BQ46+BU46+BY46)/3</f>
        <v>0</v>
      </c>
      <c r="CC46" s="636"/>
      <c r="CD46" s="636"/>
      <c r="CE46" s="636"/>
      <c r="CJ46" s="638">
        <f>IF(BA55&lt;=4%,2.5%,IF(AND(BA55&gt;4%,BA55&lt;=6%),3%,IF(AND(BA55&gt;6%,BA55&lt;=8%),3.5%,IF(AND(BA55&gt;8%,BA55&lt;=10%),4%,IF(BA55&gt;10%,4.5%,0%)))))</f>
        <v>0.025</v>
      </c>
      <c r="CK46" s="638"/>
      <c r="CL46" s="638"/>
      <c r="CM46" s="639"/>
      <c r="CN46" s="640" t="s">
        <v>192</v>
      </c>
      <c r="CO46" s="640"/>
      <c r="CP46" s="640"/>
      <c r="CQ46" s="640"/>
      <c r="CR46" s="640"/>
      <c r="CS46" s="640"/>
      <c r="CT46" s="640"/>
      <c r="CU46" s="641">
        <f>IF(BU55&lt;=5%,2.5%,IF(BU55&lt;=6%,3%,IF(BU55&lt;=7%,3.5%,IF(BU55&lt;=8%,4%,IF(BU55&lt;=9%,4.5%,5%)))))</f>
        <v>0.025</v>
      </c>
      <c r="CV46" s="641"/>
      <c r="CW46" s="641"/>
      <c r="CZ46" s="638">
        <f>IF(BA57&lt;=4%,2.5%,IF(AND(BA57&gt;4%,BA57&lt;=6%),3%,IF(AND(BA57&gt;6%,BA57&lt;=8%),3.5%,IF(AND(BA57&gt;8%,BA57&lt;=10%),4%,IF(BA57&gt;10%,4.5%,0%)))))</f>
        <v>0.025</v>
      </c>
      <c r="DA46" s="638"/>
      <c r="DB46" s="638"/>
      <c r="DC46" s="639"/>
      <c r="DD46" s="640" t="s">
        <v>192</v>
      </c>
      <c r="DE46" s="640"/>
      <c r="DF46" s="640"/>
      <c r="DG46" s="640"/>
      <c r="DH46" s="640"/>
      <c r="DI46" s="640"/>
      <c r="DJ46" s="640"/>
      <c r="DK46" s="641">
        <f>IF(BU57&lt;=5%,2.5%,IF(BU57&lt;=6%,3%,IF(BU57&lt;=7%,3.5%,IF(BU57&lt;=8%,4%,IF(BU57&lt;=9%,4.5%,5%)))))</f>
        <v>0.025</v>
      </c>
      <c r="DL46" s="641"/>
      <c r="DM46" s="641"/>
      <c r="DO46" s="642"/>
      <c r="DP46" s="643">
        <f>IF(BA59&lt;=4%,2.5%,IF(AND(BA59&gt;4%,BA59&lt;=6%),3%,IF(AND(BA59&gt;6%,BA59&lt;=8%),3.5%,IF(AND(BA59&gt;8%,BA59&lt;=10%),4%,IF(BA59&gt;10%,4.5%,0%)))))</f>
        <v>0.025</v>
      </c>
      <c r="DQ46" s="643"/>
      <c r="DR46" s="643"/>
      <c r="DS46" s="644"/>
      <c r="DT46" s="640" t="s">
        <v>192</v>
      </c>
      <c r="DU46" s="640"/>
      <c r="DV46" s="640"/>
      <c r="DW46" s="640"/>
      <c r="DX46" s="640"/>
      <c r="DY46" s="640"/>
      <c r="DZ46" s="640"/>
      <c r="EA46" s="641">
        <f>IF(BU59&lt;=5%,2.5%,IF(BU59&lt;=6%,3%,IF(BU59&lt;=7%,3.5%,IF(BU59&lt;=8%,4%,IF(BU59&lt;=9%,4.5%,5%)))))</f>
        <v>0.025</v>
      </c>
      <c r="EB46" s="641"/>
      <c r="EC46" s="641"/>
      <c r="EZ46" s="603" t="s">
        <v>193</v>
      </c>
      <c r="FA46" s="604">
        <v>17</v>
      </c>
      <c r="FH46" s="299" t="s">
        <v>101</v>
      </c>
      <c r="FI46" s="5">
        <v>15560</v>
      </c>
      <c r="FJ46" s="328">
        <f>FI46</f>
        <v>15560</v>
      </c>
      <c r="FL46" s="299" t="s">
        <v>101</v>
      </c>
      <c r="FM46" s="5">
        <v>15560</v>
      </c>
      <c r="FN46" s="328">
        <f>FM46</f>
        <v>15560</v>
      </c>
    </row>
    <row r="47" ht="19.15" customHeight="1" spans="1:170" x14ac:dyDescent="0.25">
      <c r="A47" s="2"/>
      <c r="B47" s="619" t="s">
        <v>194</v>
      </c>
      <c r="C47" s="620"/>
      <c r="D47" s="620"/>
      <c r="E47" s="620"/>
      <c r="F47" s="621"/>
      <c r="G47" s="621"/>
      <c r="H47" s="621"/>
      <c r="I47" s="621"/>
      <c r="J47" s="628"/>
      <c r="K47" s="628"/>
      <c r="L47" s="628"/>
      <c r="M47" s="628"/>
      <c r="N47" s="628"/>
      <c r="O47" s="628"/>
      <c r="P47" s="628"/>
      <c r="Q47" s="628"/>
      <c r="R47" s="628"/>
      <c r="S47" s="628"/>
      <c r="T47" s="621"/>
      <c r="U47" s="621"/>
      <c r="V47" s="621"/>
      <c r="W47" s="621"/>
      <c r="X47" s="621"/>
      <c r="Y47" s="621"/>
      <c r="Z47" s="621"/>
      <c r="AA47" s="621"/>
      <c r="AB47" s="621"/>
      <c r="AC47" s="621"/>
      <c r="AD47" s="621"/>
      <c r="AE47" s="621"/>
      <c r="AF47" s="622"/>
      <c r="AG47" s="622"/>
      <c r="AH47" s="622"/>
      <c r="AI47" s="629"/>
      <c r="AJ47" s="629"/>
      <c r="AK47" s="629"/>
      <c r="AL47" s="629"/>
      <c r="AM47" s="629"/>
      <c r="AN47" s="629"/>
      <c r="AO47" s="629"/>
      <c r="AP47" s="629"/>
      <c r="AQ47" s="629"/>
      <c r="AR47" s="629"/>
      <c r="AS47" s="635"/>
      <c r="AT47" s="635"/>
      <c r="AV47" s="562"/>
      <c r="AW47" s="565"/>
      <c r="AX47" s="565"/>
      <c r="AY47" s="565"/>
      <c r="AZ47" s="565"/>
      <c r="BA47" s="565"/>
      <c r="BB47" s="565"/>
      <c r="BC47" s="565"/>
      <c r="BD47" s="565"/>
      <c r="BE47" s="565"/>
      <c r="BF47" s="565"/>
      <c r="BG47" s="565"/>
      <c r="BH47" s="565"/>
      <c r="BI47" s="565"/>
      <c r="BJ47" s="565"/>
      <c r="BK47" s="565"/>
      <c r="BL47" s="565"/>
      <c r="BM47" s="565"/>
      <c r="BN47" s="565"/>
      <c r="BO47" s="565"/>
      <c r="BP47" s="565"/>
      <c r="BQ47" s="565"/>
      <c r="BR47" s="565"/>
      <c r="BS47" s="565"/>
      <c r="BT47" s="565"/>
      <c r="BU47" s="565"/>
      <c r="BV47" s="565"/>
      <c r="BW47" s="565"/>
      <c r="BX47" s="565"/>
      <c r="BY47" s="565"/>
      <c r="BZ47" s="565"/>
      <c r="CA47" s="565"/>
      <c r="CB47" s="565"/>
      <c r="CC47" s="565"/>
      <c r="CD47" s="565"/>
      <c r="CE47" s="566"/>
      <c r="CJ47" s="645"/>
      <c r="CK47" s="645"/>
      <c r="CL47" s="645"/>
      <c r="CM47" s="646"/>
      <c r="CN47" s="647"/>
      <c r="CO47" s="647"/>
      <c r="CP47" s="647"/>
      <c r="CQ47" s="647"/>
      <c r="CR47" s="647"/>
      <c r="CS47" s="647"/>
      <c r="CT47" s="647"/>
      <c r="CU47" s="648"/>
      <c r="CV47" s="648"/>
      <c r="CW47" s="648"/>
      <c r="CZ47" s="645"/>
      <c r="DA47" s="645"/>
      <c r="DB47" s="645"/>
      <c r="DC47" s="646"/>
      <c r="DD47" s="647"/>
      <c r="DE47" s="647"/>
      <c r="DF47" s="647"/>
      <c r="DG47" s="647"/>
      <c r="DH47" s="647"/>
      <c r="DI47" s="647"/>
      <c r="DJ47" s="647"/>
      <c r="DK47" s="648"/>
      <c r="DL47" s="648"/>
      <c r="DM47" s="648"/>
      <c r="DO47" s="642"/>
      <c r="DP47" s="649"/>
      <c r="DQ47" s="649"/>
      <c r="DR47" s="649"/>
      <c r="DS47" s="650"/>
      <c r="DT47" s="647"/>
      <c r="DU47" s="647"/>
      <c r="DV47" s="647"/>
      <c r="DW47" s="647"/>
      <c r="DX47" s="647"/>
      <c r="DY47" s="647"/>
      <c r="DZ47" s="647"/>
      <c r="EA47" s="648"/>
      <c r="EB47" s="648"/>
      <c r="EC47" s="648"/>
      <c r="EZ47" s="603" t="s">
        <v>195</v>
      </c>
      <c r="FA47" s="604">
        <v>18</v>
      </c>
      <c r="FH47" s="651" t="s">
        <v>196</v>
      </c>
      <c r="FI47" s="5">
        <v>15000</v>
      </c>
      <c r="FJ47" s="328">
        <f>FI47</f>
        <v>15000</v>
      </c>
      <c r="FL47" s="651" t="s">
        <v>196</v>
      </c>
      <c r="FM47" s="5">
        <v>15000</v>
      </c>
      <c r="FN47" s="328">
        <f>FM47</f>
        <v>15000</v>
      </c>
    </row>
    <row r="48" ht="19.15" customHeight="1" spans="1:170" x14ac:dyDescent="0.25">
      <c r="A48" s="2"/>
      <c r="B48" s="619" t="s">
        <v>197</v>
      </c>
      <c r="C48" s="620"/>
      <c r="D48" s="620"/>
      <c r="E48" s="620"/>
      <c r="F48" s="621"/>
      <c r="G48" s="621"/>
      <c r="H48" s="621"/>
      <c r="I48" s="621"/>
      <c r="J48" s="628"/>
      <c r="K48" s="628"/>
      <c r="L48" s="628"/>
      <c r="M48" s="628"/>
      <c r="N48" s="628"/>
      <c r="O48" s="628"/>
      <c r="P48" s="628"/>
      <c r="Q48" s="628"/>
      <c r="R48" s="628"/>
      <c r="S48" s="628"/>
      <c r="T48" s="621"/>
      <c r="U48" s="621"/>
      <c r="V48" s="621"/>
      <c r="W48" s="621"/>
      <c r="X48" s="621"/>
      <c r="Y48" s="621"/>
      <c r="Z48" s="621"/>
      <c r="AA48" s="621"/>
      <c r="AB48" s="621"/>
      <c r="AC48" s="621"/>
      <c r="AD48" s="621"/>
      <c r="AE48" s="621"/>
      <c r="AF48" s="622"/>
      <c r="AG48" s="622"/>
      <c r="AH48" s="622"/>
      <c r="AI48" s="629"/>
      <c r="AJ48" s="629"/>
      <c r="AK48" s="629"/>
      <c r="AL48" s="629"/>
      <c r="AM48" s="629"/>
      <c r="AN48" s="629"/>
      <c r="AO48" s="629"/>
      <c r="AP48" s="629"/>
      <c r="AQ48" s="629"/>
      <c r="AR48" s="629"/>
      <c r="AS48" s="635"/>
      <c r="AT48" s="635"/>
      <c r="AV48" s="593"/>
      <c r="AW48" s="366" t="s">
        <v>198</v>
      </c>
      <c r="AX48" s="366"/>
      <c r="AY48" s="366"/>
      <c r="AZ48" s="450"/>
      <c r="BA48" s="652" t="s">
        <v>199</v>
      </c>
      <c r="BB48" s="380"/>
      <c r="BC48" s="380"/>
      <c r="BD48" s="380"/>
      <c r="BE48" s="380"/>
      <c r="BF48" s="390" t="s">
        <v>97</v>
      </c>
      <c r="BG48" s="390"/>
      <c r="BH48" s="390"/>
      <c r="BI48" s="390"/>
      <c r="BJ48" s="390"/>
      <c r="BK48" s="63" t="s">
        <v>69</v>
      </c>
      <c r="BL48" s="380"/>
      <c r="BM48" s="380"/>
      <c r="BN48" s="380" t="s">
        <v>200</v>
      </c>
      <c r="BO48" s="380"/>
      <c r="BP48" s="380"/>
      <c r="BQ48" s="61"/>
      <c r="BR48" s="380" t="s">
        <v>68</v>
      </c>
      <c r="BS48" s="380"/>
      <c r="BT48" s="380"/>
      <c r="BU48" s="380"/>
      <c r="BV48" s="390" t="s">
        <v>98</v>
      </c>
      <c r="BW48" s="390"/>
      <c r="BX48" s="390"/>
      <c r="BY48" s="390"/>
      <c r="BZ48" s="390"/>
      <c r="CA48" s="607"/>
      <c r="CB48" s="380" t="s">
        <v>189</v>
      </c>
      <c r="CC48" s="380"/>
      <c r="CD48" s="380"/>
      <c r="CE48" s="595"/>
      <c r="CJ48" s="653" t="s">
        <v>201</v>
      </c>
      <c r="CK48" s="654"/>
      <c r="CL48" s="654"/>
      <c r="CM48" s="655"/>
      <c r="CN48" s="656">
        <f>CN52-CN53-CN54-CN56</f>
        <v>466855.39658770803</v>
      </c>
      <c r="CO48" s="656"/>
      <c r="CP48" s="656"/>
      <c r="CQ48" s="656"/>
      <c r="CR48" s="656"/>
      <c r="CS48" s="656"/>
      <c r="CT48" s="656"/>
      <c r="CU48" s="657">
        <f>CN48/CR34</f>
        <v>0.024999999999999994</v>
      </c>
      <c r="CV48" s="657"/>
      <c r="CW48" s="658"/>
      <c r="CZ48" s="653" t="s">
        <v>201</v>
      </c>
      <c r="DA48" s="654"/>
      <c r="DB48" s="654"/>
      <c r="DC48" s="655"/>
      <c r="DD48" s="659">
        <f>DD52-DD53-DD54-DD56</f>
        <v>466855.39658770803</v>
      </c>
      <c r="DE48" s="660"/>
      <c r="DF48" s="660"/>
      <c r="DG48" s="660"/>
      <c r="DH48" s="660"/>
      <c r="DI48" s="660"/>
      <c r="DJ48" s="661"/>
      <c r="DK48" s="662">
        <f>DD48/DH34</f>
        <v>0.024999999999999994</v>
      </c>
      <c r="DL48" s="663"/>
      <c r="DM48" s="664"/>
      <c r="DO48" s="665"/>
      <c r="DP48" s="653" t="s">
        <v>201</v>
      </c>
      <c r="DQ48" s="654"/>
      <c r="DR48" s="654"/>
      <c r="DS48" s="655"/>
      <c r="DT48" s="659">
        <f>DT52-DT53-DT54-DT56</f>
        <v>466855.39658770803</v>
      </c>
      <c r="DU48" s="660"/>
      <c r="DV48" s="660"/>
      <c r="DW48" s="660"/>
      <c r="DX48" s="660"/>
      <c r="DY48" s="660"/>
      <c r="DZ48" s="661"/>
      <c r="EA48" s="662">
        <f>DT48/DX34</f>
        <v>0.024999999999999994</v>
      </c>
      <c r="EB48" s="663"/>
      <c r="EC48" s="664"/>
      <c r="EZ48" s="603" t="s">
        <v>202</v>
      </c>
      <c r="FA48" s="604">
        <v>19</v>
      </c>
      <c r="FH48" s="357" t="s">
        <v>162</v>
      </c>
      <c r="FI48" s="666">
        <f>SUM(FI42:FI47)</f>
        <v>572820</v>
      </c>
      <c r="FJ48" s="667" t="e">
        <f>SUM(FJ42:FJ47)</f>
        <v>#N/A</v>
      </c>
      <c r="FL48" s="357" t="s">
        <v>162</v>
      </c>
      <c r="FM48" s="666">
        <f>SUM(FM42:FM47)</f>
        <v>568170</v>
      </c>
      <c r="FN48" s="667" t="e">
        <f>SUM(FN42:FN47)</f>
        <v>#N/A</v>
      </c>
    </row>
    <row r="49" ht="21.5" customHeight="1" spans="1:157" x14ac:dyDescent="0.25">
      <c r="A49" s="2"/>
      <c r="B49" s="619"/>
      <c r="C49" s="620"/>
      <c r="D49" s="620"/>
      <c r="E49" s="620"/>
      <c r="F49" s="621"/>
      <c r="G49" s="621"/>
      <c r="H49" s="621"/>
      <c r="I49" s="621"/>
      <c r="J49" s="628"/>
      <c r="K49" s="628"/>
      <c r="L49" s="628"/>
      <c r="M49" s="628"/>
      <c r="N49" s="628"/>
      <c r="O49" s="628"/>
      <c r="P49" s="628"/>
      <c r="Q49" s="628"/>
      <c r="R49" s="628"/>
      <c r="S49" s="628"/>
      <c r="T49" s="621"/>
      <c r="U49" s="621"/>
      <c r="V49" s="621"/>
      <c r="W49" s="621"/>
      <c r="X49" s="621"/>
      <c r="Y49" s="621"/>
      <c r="Z49" s="621"/>
      <c r="AA49" s="621"/>
      <c r="AB49" s="621"/>
      <c r="AC49" s="621"/>
      <c r="AD49" s="621"/>
      <c r="AE49" s="621"/>
      <c r="AF49" s="622"/>
      <c r="AG49" s="622"/>
      <c r="AH49" s="622"/>
      <c r="AI49" s="629"/>
      <c r="AJ49" s="629"/>
      <c r="AK49" s="629"/>
      <c r="AL49" s="629"/>
      <c r="AM49" s="629"/>
      <c r="AN49" s="629"/>
      <c r="AO49" s="629"/>
      <c r="AP49" s="629"/>
      <c r="AQ49" s="629"/>
      <c r="AR49" s="629"/>
      <c r="AS49" s="635"/>
      <c r="AT49" s="635"/>
      <c r="AV49" s="593"/>
      <c r="AW49" s="366" t="s">
        <v>203</v>
      </c>
      <c r="AX49" s="366"/>
      <c r="AY49" s="366"/>
      <c r="AZ49" s="450"/>
      <c r="BA49" s="668" t="s">
        <v>204</v>
      </c>
      <c r="BB49" s="62"/>
      <c r="BC49" s="62"/>
      <c r="BD49" s="62"/>
      <c r="BE49" s="63"/>
      <c r="BF49" s="607" t="s">
        <v>205</v>
      </c>
      <c r="BG49" s="608"/>
      <c r="BH49" s="608"/>
      <c r="BI49" s="608"/>
      <c r="BJ49" s="617"/>
      <c r="BK49" s="390" t="s">
        <v>206</v>
      </c>
      <c r="BL49" s="390"/>
      <c r="BM49" s="390"/>
      <c r="BN49" s="390"/>
      <c r="BO49" s="390"/>
      <c r="BP49" s="390"/>
      <c r="BQ49" s="390"/>
      <c r="BR49" s="390"/>
      <c r="BS49" s="390"/>
      <c r="BT49" s="390"/>
      <c r="BU49" s="390"/>
      <c r="BV49" s="390"/>
      <c r="BW49" s="390"/>
      <c r="BX49" s="390"/>
      <c r="BY49" s="390"/>
      <c r="BZ49" s="390"/>
      <c r="CA49" s="390"/>
      <c r="CB49" s="390"/>
      <c r="CC49" s="390"/>
      <c r="CD49" s="390"/>
      <c r="CE49" s="595"/>
      <c r="CJ49" s="669"/>
      <c r="CK49" s="670"/>
      <c r="CL49" s="670"/>
      <c r="CM49" s="671"/>
      <c r="CN49" s="672"/>
      <c r="CO49" s="672"/>
      <c r="CP49" s="672"/>
      <c r="CQ49" s="672"/>
      <c r="CR49" s="672"/>
      <c r="CS49" s="672"/>
      <c r="CT49" s="672"/>
      <c r="CU49" s="673"/>
      <c r="CV49" s="673"/>
      <c r="CW49" s="674"/>
      <c r="CZ49" s="669"/>
      <c r="DA49" s="670"/>
      <c r="DB49" s="670"/>
      <c r="DC49" s="671"/>
      <c r="DD49" s="675"/>
      <c r="DE49" s="676"/>
      <c r="DF49" s="676"/>
      <c r="DG49" s="676"/>
      <c r="DH49" s="676"/>
      <c r="DI49" s="676"/>
      <c r="DJ49" s="677"/>
      <c r="DK49" s="678"/>
      <c r="DL49" s="679"/>
      <c r="DM49" s="680"/>
      <c r="DO49" s="665"/>
      <c r="DP49" s="669"/>
      <c r="DQ49" s="670"/>
      <c r="DR49" s="670"/>
      <c r="DS49" s="671"/>
      <c r="DT49" s="675"/>
      <c r="DU49" s="676"/>
      <c r="DV49" s="676"/>
      <c r="DW49" s="676"/>
      <c r="DX49" s="676"/>
      <c r="DY49" s="676"/>
      <c r="DZ49" s="677"/>
      <c r="EA49" s="678"/>
      <c r="EB49" s="679"/>
      <c r="EC49" s="680"/>
      <c r="EZ49" s="603" t="s">
        <v>207</v>
      </c>
      <c r="FA49" s="604">
        <v>20</v>
      </c>
    </row>
    <row r="50" ht="18.65" customHeight="1" spans="1:170" x14ac:dyDescent="0.25">
      <c r="A50" s="2"/>
      <c r="B50" s="681"/>
      <c r="C50" s="620"/>
      <c r="D50" s="620"/>
      <c r="E50" s="620"/>
      <c r="F50" s="621"/>
      <c r="G50" s="621"/>
      <c r="H50" s="621"/>
      <c r="I50" s="621"/>
      <c r="J50" s="628"/>
      <c r="K50" s="628"/>
      <c r="L50" s="628"/>
      <c r="M50" s="628"/>
      <c r="N50" s="628"/>
      <c r="O50" s="628"/>
      <c r="P50" s="628"/>
      <c r="Q50" s="628"/>
      <c r="R50" s="628"/>
      <c r="S50" s="628"/>
      <c r="T50" s="621"/>
      <c r="U50" s="621"/>
      <c r="V50" s="621"/>
      <c r="W50" s="621"/>
      <c r="X50" s="621"/>
      <c r="Y50" s="621"/>
      <c r="Z50" s="621"/>
      <c r="AA50" s="621"/>
      <c r="AB50" s="621"/>
      <c r="AC50" s="621"/>
      <c r="AD50" s="621"/>
      <c r="AE50" s="621"/>
      <c r="AF50" s="622"/>
      <c r="AG50" s="622"/>
      <c r="AH50" s="622"/>
      <c r="AI50" s="629"/>
      <c r="AJ50" s="629"/>
      <c r="AK50" s="629"/>
      <c r="AL50" s="629"/>
      <c r="AM50" s="629"/>
      <c r="AN50" s="629"/>
      <c r="AO50" s="629"/>
      <c r="AP50" s="629"/>
      <c r="AQ50" s="629"/>
      <c r="AR50" s="629"/>
      <c r="AS50" s="635"/>
      <c r="AT50" s="635"/>
      <c r="AV50" s="630"/>
      <c r="AW50" s="631"/>
      <c r="AX50" s="631"/>
      <c r="AY50" s="631"/>
      <c r="AZ50" s="631"/>
      <c r="BA50" s="632"/>
      <c r="BB50" s="632"/>
      <c r="BC50" s="632"/>
      <c r="BD50" s="632"/>
      <c r="BE50" s="632"/>
      <c r="BF50" s="632"/>
      <c r="BG50" s="632"/>
      <c r="BH50" s="632"/>
      <c r="BI50" s="632"/>
      <c r="BJ50" s="632"/>
      <c r="BK50" s="632"/>
      <c r="BL50" s="632"/>
      <c r="BM50" s="632"/>
      <c r="BN50" s="632"/>
      <c r="BO50" s="632"/>
      <c r="BP50" s="632"/>
      <c r="BQ50" s="632"/>
      <c r="BR50" s="632"/>
      <c r="BS50" s="632"/>
      <c r="BT50" s="632"/>
      <c r="BU50" s="632"/>
      <c r="BV50" s="632"/>
      <c r="BW50" s="632"/>
      <c r="BX50" s="632"/>
      <c r="BY50" s="632"/>
      <c r="BZ50" s="632"/>
      <c r="CA50" s="632"/>
      <c r="CB50" s="632"/>
      <c r="CC50" s="632"/>
      <c r="CD50" s="632"/>
      <c r="CE50" s="633"/>
      <c r="CJ50" s="682" t="s">
        <v>208</v>
      </c>
      <c r="CK50" s="683"/>
      <c r="CL50" s="683"/>
      <c r="CM50" s="684"/>
      <c r="CN50" s="685">
        <f>((CR34*CU46)+CN53+CN54+CN56)/12</f>
        <v>395651.69895593263</v>
      </c>
      <c r="CO50" s="686"/>
      <c r="CP50" s="686"/>
      <c r="CQ50" s="686"/>
      <c r="CR50" s="686"/>
      <c r="CS50" s="686"/>
      <c r="CT50" s="687"/>
      <c r="CU50" s="688">
        <f>ROUNDUP(CN50*1.1,-2)</f>
        <v>435300</v>
      </c>
      <c r="CV50" s="688"/>
      <c r="CW50" s="688"/>
      <c r="CX50" s="689" t="s">
        <v>209</v>
      </c>
      <c r="CY50" s="5"/>
      <c r="CZ50" s="682" t="s">
        <v>208</v>
      </c>
      <c r="DA50" s="683"/>
      <c r="DB50" s="683"/>
      <c r="DC50" s="684"/>
      <c r="DD50" s="685">
        <f>((DH34*DK46)+DD53+DD54+DD56)/12</f>
        <v>373158.84081145976</v>
      </c>
      <c r="DE50" s="686"/>
      <c r="DF50" s="686"/>
      <c r="DG50" s="686"/>
      <c r="DH50" s="686"/>
      <c r="DI50" s="686"/>
      <c r="DJ50" s="687"/>
      <c r="DK50" s="690">
        <f>ROUNDUP(DD50*1.1,-2)</f>
        <v>410500</v>
      </c>
      <c r="DL50" s="691"/>
      <c r="DM50" s="692"/>
      <c r="DN50" s="693" t="s">
        <v>209</v>
      </c>
      <c r="DP50" s="682" t="s">
        <v>208</v>
      </c>
      <c r="DQ50" s="683"/>
      <c r="DR50" s="683"/>
      <c r="DS50" s="684"/>
      <c r="DT50" s="685">
        <f>((DX34*EA46)+DT53+DT54+DT56)/12</f>
        <v>373158.84081145976</v>
      </c>
      <c r="DU50" s="686"/>
      <c r="DV50" s="686"/>
      <c r="DW50" s="686"/>
      <c r="DX50" s="686"/>
      <c r="DY50" s="686"/>
      <c r="DZ50" s="687"/>
      <c r="EA50" s="690">
        <f>ROUNDUP(DT50*1.1,-2)</f>
        <v>410500</v>
      </c>
      <c r="EB50" s="691"/>
      <c r="EC50" s="692"/>
      <c r="ED50" s="5" t="s">
        <v>209</v>
      </c>
      <c r="EZ50" s="603" t="s">
        <v>210</v>
      </c>
      <c r="FA50" s="604">
        <v>21</v>
      </c>
      <c r="FH50" s="297" t="s">
        <v>148</v>
      </c>
      <c r="FI50" s="514" t="s">
        <v>53</v>
      </c>
      <c r="FJ50" s="327"/>
      <c r="FL50" s="297" t="s">
        <v>149</v>
      </c>
      <c r="FM50" s="514" t="s">
        <v>53</v>
      </c>
      <c r="FN50" s="327"/>
    </row>
    <row r="51" ht="18.65" customHeight="1" spans="1:170" x14ac:dyDescent="0.25">
      <c r="A51" s="2"/>
      <c r="B51" s="113" t="s">
        <v>211</v>
      </c>
      <c r="C51" s="620"/>
      <c r="D51" s="620"/>
      <c r="E51" s="620"/>
      <c r="F51" s="621"/>
      <c r="G51" s="621"/>
      <c r="H51" s="621"/>
      <c r="I51" s="621"/>
      <c r="J51" s="628"/>
      <c r="K51" s="628"/>
      <c r="L51" s="628"/>
      <c r="M51" s="628"/>
      <c r="N51" s="628"/>
      <c r="O51" s="628"/>
      <c r="P51" s="628"/>
      <c r="Q51" s="628"/>
      <c r="R51" s="628"/>
      <c r="S51" s="628"/>
      <c r="T51" s="621"/>
      <c r="U51" s="621"/>
      <c r="V51" s="621"/>
      <c r="W51" s="621"/>
      <c r="X51" s="621"/>
      <c r="Y51" s="621"/>
      <c r="Z51" s="621"/>
      <c r="AA51" s="621"/>
      <c r="AB51" s="621"/>
      <c r="AC51" s="621"/>
      <c r="AD51" s="621"/>
      <c r="AE51" s="621"/>
      <c r="AF51" s="622"/>
      <c r="AG51" s="622"/>
      <c r="AH51" s="622"/>
      <c r="AI51" s="629"/>
      <c r="AJ51" s="629"/>
      <c r="AK51" s="629"/>
      <c r="AL51" s="629"/>
      <c r="AM51" s="629"/>
      <c r="AN51" s="629"/>
      <c r="AO51" s="629"/>
      <c r="AP51" s="629"/>
      <c r="AQ51" s="629"/>
      <c r="AR51" s="629"/>
      <c r="AS51" s="635"/>
      <c r="AT51" s="635"/>
      <c r="CJ51" s="682" t="s">
        <v>212</v>
      </c>
      <c r="CK51" s="683"/>
      <c r="CL51" s="683"/>
      <c r="CM51" s="684"/>
      <c r="CN51" s="694">
        <f>BA35</f>
        <v>0</v>
      </c>
      <c r="CO51" s="695"/>
      <c r="CP51" s="695"/>
      <c r="CQ51" s="694">
        <f>IF(CN50-(CN51/1.1)&lt;0,1000,CN50-(CN51/1.1))</f>
        <v>395651.69895593263</v>
      </c>
      <c r="CR51" s="695"/>
      <c r="CS51" s="695"/>
      <c r="CT51" s="696"/>
      <c r="CU51" s="697">
        <f>ROUNDUP(CQ51*1.1,-2)</f>
        <v>435300</v>
      </c>
      <c r="CV51" s="698"/>
      <c r="CW51" s="699"/>
      <c r="CY51" s="5"/>
      <c r="CZ51" s="682" t="s">
        <v>212</v>
      </c>
      <c r="DA51" s="683"/>
      <c r="DB51" s="683"/>
      <c r="DC51" s="684"/>
      <c r="DD51" s="700">
        <f>BM35</f>
        <v>0</v>
      </c>
      <c r="DE51" s="701"/>
      <c r="DF51" s="701"/>
      <c r="DG51" s="694">
        <f>IF(DD50-(DD51/1.1)&lt;0,1000,DD50-(DD51/1.1))</f>
        <v>373158.84081145976</v>
      </c>
      <c r="DH51" s="695"/>
      <c r="DI51" s="695"/>
      <c r="DJ51" s="696"/>
      <c r="DK51" s="697">
        <f>ROUNDUP(DG51*1.1,-2)</f>
        <v>410500</v>
      </c>
      <c r="DL51" s="698"/>
      <c r="DM51" s="699"/>
      <c r="DP51" s="682" t="s">
        <v>212</v>
      </c>
      <c r="DQ51" s="683"/>
      <c r="DR51" s="683"/>
      <c r="DS51" s="684"/>
      <c r="DT51" s="700">
        <f>BY35</f>
        <v>0</v>
      </c>
      <c r="DU51" s="701"/>
      <c r="DV51" s="701"/>
      <c r="DW51" s="694">
        <f>IF(DT50-(DT51/1.1)&lt;0,1000,DT50-(DT51/1.1))</f>
        <v>373158.84081145976</v>
      </c>
      <c r="DX51" s="695"/>
      <c r="DY51" s="695"/>
      <c r="DZ51" s="696"/>
      <c r="EA51" s="697">
        <f>ROUNDUP(DW51*1.1,-2)</f>
        <v>410500</v>
      </c>
      <c r="EB51" s="698"/>
      <c r="EC51" s="699"/>
      <c r="ED51" s="5"/>
      <c r="EZ51" s="702" t="s">
        <v>213</v>
      </c>
      <c r="FA51" s="703">
        <v>22</v>
      </c>
      <c r="FH51" s="299"/>
      <c r="FI51" s="1"/>
      <c r="FJ51" s="341"/>
      <c r="FL51" s="299"/>
      <c r="FM51" s="1"/>
      <c r="FN51" s="341"/>
    </row>
    <row r="52" ht="18" customHeight="1" spans="1:170" x14ac:dyDescent="0.25">
      <c r="A52" s="2"/>
      <c r="B52" s="704" t="s">
        <v>214</v>
      </c>
      <c r="C52" s="704"/>
      <c r="D52" s="704"/>
      <c r="E52" s="704"/>
      <c r="F52" s="704"/>
      <c r="G52" s="705" t="s">
        <v>215</v>
      </c>
      <c r="H52" s="705"/>
      <c r="I52" s="705"/>
      <c r="J52" s="705"/>
      <c r="K52" s="705"/>
      <c r="L52" s="705"/>
      <c r="M52" s="705"/>
      <c r="N52" s="705"/>
      <c r="O52" s="705"/>
      <c r="P52" s="705"/>
      <c r="Q52" s="705"/>
      <c r="R52" s="705"/>
      <c r="S52" s="705"/>
      <c r="T52" s="705"/>
      <c r="U52" s="705"/>
      <c r="V52" s="705"/>
      <c r="W52" s="705"/>
      <c r="X52" s="705"/>
      <c r="Y52" s="705"/>
      <c r="Z52" s="705"/>
      <c r="AA52" s="705"/>
      <c r="AB52" s="705"/>
      <c r="AC52" s="705"/>
      <c r="AD52" s="705"/>
      <c r="AE52" s="705"/>
      <c r="AF52" s="705"/>
      <c r="AG52" s="705"/>
      <c r="AH52" s="705"/>
      <c r="AI52" s="705"/>
      <c r="AJ52" s="705"/>
      <c r="AK52" s="705"/>
      <c r="AL52" s="705"/>
      <c r="AM52" s="705"/>
      <c r="AN52" s="705"/>
      <c r="AO52" s="705"/>
      <c r="AP52" s="705"/>
      <c r="AQ52" s="705"/>
      <c r="AR52" s="705"/>
      <c r="AS52" s="706"/>
      <c r="AT52" s="706"/>
      <c r="AV52" s="562"/>
      <c r="AW52" s="707"/>
      <c r="AX52" s="707"/>
      <c r="AY52" s="707"/>
      <c r="AZ52" s="707"/>
      <c r="BA52" s="565"/>
      <c r="BB52" s="565"/>
      <c r="BC52" s="565"/>
      <c r="BD52" s="565"/>
      <c r="BE52" s="565"/>
      <c r="BF52" s="565"/>
      <c r="BG52" s="565"/>
      <c r="BH52" s="565"/>
      <c r="BI52" s="565"/>
      <c r="BJ52" s="565"/>
      <c r="BK52" s="565"/>
      <c r="BL52" s="565"/>
      <c r="BM52" s="565"/>
      <c r="BN52" s="565"/>
      <c r="BO52" s="565"/>
      <c r="BP52" s="565"/>
      <c r="BQ52" s="565"/>
      <c r="BR52" s="565"/>
      <c r="BS52" s="565"/>
      <c r="BT52" s="565"/>
      <c r="BU52" s="565"/>
      <c r="BV52" s="565"/>
      <c r="BW52" s="565"/>
      <c r="BX52" s="565"/>
      <c r="BY52" s="565"/>
      <c r="BZ52" s="565"/>
      <c r="CA52" s="565"/>
      <c r="CB52" s="565"/>
      <c r="CC52" s="565"/>
      <c r="CD52" s="565"/>
      <c r="CE52" s="566"/>
      <c r="CJ52" s="708" t="s">
        <v>216</v>
      </c>
      <c r="CK52" s="709"/>
      <c r="CL52" s="709"/>
      <c r="CM52" s="710"/>
      <c r="CN52" s="711">
        <f>CN50*12</f>
        <v>4747820.387471192</v>
      </c>
      <c r="CO52" s="712"/>
      <c r="CP52" s="712"/>
      <c r="CQ52" s="712"/>
      <c r="CR52" s="712"/>
      <c r="CS52" s="712"/>
      <c r="CT52" s="713"/>
      <c r="CU52" s="714">
        <f>CN52/$CR$34</f>
        <v>0.25424469879610884</v>
      </c>
      <c r="CV52" s="715"/>
      <c r="CW52" s="716"/>
      <c r="CZ52" s="708" t="s">
        <v>216</v>
      </c>
      <c r="DA52" s="709"/>
      <c r="DB52" s="709"/>
      <c r="DC52" s="710"/>
      <c r="DD52" s="717">
        <f>DD50*12</f>
        <v>4477906.089737517</v>
      </c>
      <c r="DE52" s="718"/>
      <c r="DF52" s="718"/>
      <c r="DG52" s="718"/>
      <c r="DH52" s="718"/>
      <c r="DI52" s="718"/>
      <c r="DJ52" s="719"/>
      <c r="DK52" s="720">
        <f>DD52/$DH$34</f>
        <v>0.23979084971850875</v>
      </c>
      <c r="DL52" s="721"/>
      <c r="DM52" s="722"/>
      <c r="DO52" s="723"/>
      <c r="DP52" s="708" t="s">
        <v>216</v>
      </c>
      <c r="DQ52" s="709"/>
      <c r="DR52" s="709"/>
      <c r="DS52" s="710"/>
      <c r="DT52" s="717">
        <f>DT50*12</f>
        <v>4477906.089737517</v>
      </c>
      <c r="DU52" s="718"/>
      <c r="DV52" s="718"/>
      <c r="DW52" s="718"/>
      <c r="DX52" s="718"/>
      <c r="DY52" s="718"/>
      <c r="DZ52" s="719"/>
      <c r="EA52" s="720">
        <f>DT52/$DX$34</f>
        <v>0.23979084971850875</v>
      </c>
      <c r="EB52" s="721"/>
      <c r="EC52" s="722"/>
      <c r="FH52" s="605"/>
      <c r="FI52" s="1" t="s">
        <v>166</v>
      </c>
      <c r="FJ52" s="341" t="s">
        <v>167</v>
      </c>
      <c r="FL52" s="605"/>
      <c r="FM52" s="1" t="s">
        <v>166</v>
      </c>
      <c r="FN52" s="341" t="s">
        <v>167</v>
      </c>
    </row>
    <row r="53" ht="19.9" customHeight="1" spans="1:170" x14ac:dyDescent="0.25">
      <c r="A53" s="2"/>
      <c r="B53" s="704"/>
      <c r="C53" s="704"/>
      <c r="D53" s="704"/>
      <c r="E53" s="704"/>
      <c r="F53" s="704"/>
      <c r="G53" s="705"/>
      <c r="H53" s="705"/>
      <c r="I53" s="705"/>
      <c r="J53" s="705"/>
      <c r="K53" s="705"/>
      <c r="L53" s="705"/>
      <c r="M53" s="705"/>
      <c r="N53" s="705"/>
      <c r="O53" s="705"/>
      <c r="P53" s="705"/>
      <c r="Q53" s="705"/>
      <c r="R53" s="705"/>
      <c r="S53" s="705"/>
      <c r="T53" s="705"/>
      <c r="U53" s="705"/>
      <c r="V53" s="705"/>
      <c r="W53" s="705"/>
      <c r="X53" s="705"/>
      <c r="Y53" s="705"/>
      <c r="Z53" s="705"/>
      <c r="AA53" s="705"/>
      <c r="AB53" s="705"/>
      <c r="AC53" s="705"/>
      <c r="AD53" s="705"/>
      <c r="AE53" s="705"/>
      <c r="AF53" s="705"/>
      <c r="AG53" s="705"/>
      <c r="AH53" s="705"/>
      <c r="AI53" s="705"/>
      <c r="AJ53" s="705"/>
      <c r="AK53" s="705"/>
      <c r="AL53" s="705"/>
      <c r="AM53" s="705"/>
      <c r="AN53" s="705"/>
      <c r="AO53" s="705"/>
      <c r="AP53" s="705"/>
      <c r="AQ53" s="705"/>
      <c r="AR53" s="705"/>
      <c r="AS53" s="706"/>
      <c r="AT53" s="706"/>
      <c r="AV53" s="593"/>
      <c r="AW53" s="724" t="s">
        <v>217</v>
      </c>
      <c r="AX53" s="725"/>
      <c r="AY53" s="725"/>
      <c r="AZ53" s="726"/>
      <c r="BA53" s="725" t="s">
        <v>218</v>
      </c>
      <c r="BB53" s="725"/>
      <c r="BC53" s="725"/>
      <c r="BD53" s="725"/>
      <c r="BE53" s="725"/>
      <c r="BF53" s="727">
        <v>0.1</v>
      </c>
      <c r="BG53" s="727"/>
      <c r="BH53" s="727"/>
      <c r="BI53" s="727"/>
      <c r="BJ53" s="727"/>
      <c r="BK53" s="725" t="s">
        <v>219</v>
      </c>
      <c r="BL53" s="725"/>
      <c r="BM53" s="725"/>
      <c r="BN53" s="725"/>
      <c r="BO53" s="725"/>
      <c r="BP53" s="728"/>
      <c r="BQ53" s="729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730"/>
      <c r="CJ53" s="731" t="s">
        <v>220</v>
      </c>
      <c r="CK53" s="732"/>
      <c r="CL53" s="732"/>
      <c r="CM53" s="733"/>
      <c r="CN53" s="734">
        <f>CS60</f>
        <v>961140</v>
      </c>
      <c r="CO53" s="735"/>
      <c r="CP53" s="735"/>
      <c r="CQ53" s="735"/>
      <c r="CR53" s="735"/>
      <c r="CS53" s="735"/>
      <c r="CT53" s="736"/>
      <c r="CU53" s="720">
        <f>CN53/$CR$34</f>
        <v>0.051468827768997985</v>
      </c>
      <c r="CV53" s="721"/>
      <c r="CW53" s="722"/>
      <c r="CZ53" s="731" t="s">
        <v>220</v>
      </c>
      <c r="DA53" s="732"/>
      <c r="DB53" s="732"/>
      <c r="DC53" s="733"/>
      <c r="DD53" s="717">
        <f>DI60</f>
        <v>844224</v>
      </c>
      <c r="DE53" s="718"/>
      <c r="DF53" s="718"/>
      <c r="DG53" s="718"/>
      <c r="DH53" s="718"/>
      <c r="DI53" s="718"/>
      <c r="DJ53" s="719"/>
      <c r="DK53" s="720">
        <f>DD53/$DH$34</f>
        <v>0.04520800263692548</v>
      </c>
      <c r="DL53" s="721"/>
      <c r="DM53" s="722"/>
      <c r="DO53" s="723"/>
      <c r="DP53" s="731" t="s">
        <v>220</v>
      </c>
      <c r="DQ53" s="732"/>
      <c r="DR53" s="732"/>
      <c r="DS53" s="733"/>
      <c r="DT53" s="717">
        <f>DY60</f>
        <v>844224</v>
      </c>
      <c r="DU53" s="718"/>
      <c r="DV53" s="718"/>
      <c r="DW53" s="718"/>
      <c r="DX53" s="718"/>
      <c r="DY53" s="718"/>
      <c r="DZ53" s="719"/>
      <c r="EA53" s="720">
        <f>DT53/$DX$34</f>
        <v>0.04520800263692548</v>
      </c>
      <c r="EB53" s="721"/>
      <c r="EC53" s="722"/>
      <c r="FH53" s="605" t="s">
        <v>174</v>
      </c>
      <c r="FI53" s="5">
        <f>IF(BA48="만 26세 이상",VLOOKUP(DB39,'보험료(공제)'!$D$4:$E$7,2,0),VLOOKUP(DB39,'보험료(공제)'!$D$4:$F$7,3,0))</f>
        <v>306070</v>
      </c>
      <c r="FJ53" s="328">
        <f>FI53</f>
        <v>306070</v>
      </c>
      <c r="FL53" s="605" t="s">
        <v>174</v>
      </c>
      <c r="FM53" s="5">
        <f>IF(BA48="만 26세 이상",VLOOKUP(DB39,'보험료(공제)'!$N$4:$O$7,2,0),VLOOKUP(DB39,'보험료(공제)'!$N$4:$P$7,3,0))</f>
        <v>303460</v>
      </c>
      <c r="FN53" s="328">
        <f>FM53</f>
        <v>303460</v>
      </c>
    </row>
    <row r="54" ht="18" customHeight="1" spans="1:170" x14ac:dyDescent="0.25">
      <c r="A54" s="2"/>
      <c r="B54" s="704" t="s">
        <v>221</v>
      </c>
      <c r="C54" s="704"/>
      <c r="D54" s="704"/>
      <c r="E54" s="704"/>
      <c r="F54" s="704"/>
      <c r="G54" s="705" t="s">
        <v>222</v>
      </c>
      <c r="H54" s="705"/>
      <c r="I54" s="705"/>
      <c r="J54" s="705"/>
      <c r="K54" s="705"/>
      <c r="L54" s="705"/>
      <c r="M54" s="705"/>
      <c r="N54" s="705"/>
      <c r="O54" s="705"/>
      <c r="P54" s="705"/>
      <c r="Q54" s="705"/>
      <c r="R54" s="705"/>
      <c r="S54" s="705"/>
      <c r="T54" s="705"/>
      <c r="U54" s="705"/>
      <c r="V54" s="705"/>
      <c r="W54" s="705"/>
      <c r="X54" s="705"/>
      <c r="Y54" s="705"/>
      <c r="Z54" s="705"/>
      <c r="AA54" s="705"/>
      <c r="AB54" s="705"/>
      <c r="AC54" s="705"/>
      <c r="AD54" s="705"/>
      <c r="AE54" s="705"/>
      <c r="AF54" s="705"/>
      <c r="AG54" s="705"/>
      <c r="AH54" s="705"/>
      <c r="AI54" s="705"/>
      <c r="AJ54" s="705"/>
      <c r="AK54" s="705"/>
      <c r="AL54" s="705"/>
      <c r="AM54" s="705"/>
      <c r="AN54" s="705"/>
      <c r="AO54" s="705"/>
      <c r="AP54" s="705"/>
      <c r="AQ54" s="705"/>
      <c r="AR54" s="705"/>
      <c r="AS54" s="706"/>
      <c r="AT54" s="706"/>
      <c r="AV54" s="593"/>
      <c r="AW54" s="737" t="s">
        <v>0</v>
      </c>
      <c r="AX54" s="738"/>
      <c r="AY54" s="738"/>
      <c r="AZ54" s="739"/>
      <c r="BA54" s="740" t="s">
        <v>223</v>
      </c>
      <c r="BB54" s="740"/>
      <c r="BC54" s="740"/>
      <c r="BD54" s="740"/>
      <c r="BE54" s="740"/>
      <c r="BF54" s="740"/>
      <c r="BG54" s="740"/>
      <c r="BH54" s="740"/>
      <c r="BI54" s="740"/>
      <c r="BJ54" s="740"/>
      <c r="BK54" s="740" t="s">
        <v>224</v>
      </c>
      <c r="BL54" s="740"/>
      <c r="BM54" s="740"/>
      <c r="BN54" s="740"/>
      <c r="BO54" s="740"/>
      <c r="BP54" s="740"/>
      <c r="BQ54" s="741"/>
      <c r="BR54" s="741"/>
      <c r="BS54" s="741"/>
      <c r="BT54" s="742"/>
      <c r="BU54" s="743" t="s">
        <v>225</v>
      </c>
      <c r="BV54" s="741"/>
      <c r="BW54" s="741"/>
      <c r="BX54" s="741"/>
      <c r="BY54" s="741"/>
      <c r="BZ54" s="741"/>
      <c r="CA54" s="741"/>
      <c r="CB54" s="741"/>
      <c r="CC54" s="741"/>
      <c r="CD54" s="744"/>
      <c r="CE54" s="595"/>
      <c r="CJ54" s="731" t="s">
        <v>226</v>
      </c>
      <c r="CK54" s="732"/>
      <c r="CL54" s="732"/>
      <c r="CM54" s="733"/>
      <c r="CN54" s="734">
        <f>(CR34-(CN78/1.1))/(BA26/12)</f>
        <v>2385824.9908834836</v>
      </c>
      <c r="CO54" s="735"/>
      <c r="CP54" s="735"/>
      <c r="CQ54" s="735"/>
      <c r="CR54" s="735"/>
      <c r="CS54" s="735"/>
      <c r="CT54" s="736"/>
      <c r="CU54" s="720">
        <f>CN54/$CR$34</f>
        <v>0.12776038406762097</v>
      </c>
      <c r="CV54" s="721"/>
      <c r="CW54" s="722"/>
      <c r="CZ54" s="731" t="s">
        <v>226</v>
      </c>
      <c r="DA54" s="732"/>
      <c r="DB54" s="732"/>
      <c r="DC54" s="733"/>
      <c r="DD54" s="717">
        <f>(DH34-(CN80/1.1))/(BM26/12)</f>
        <v>2232826.693149809</v>
      </c>
      <c r="DE54" s="718"/>
      <c r="DF54" s="718"/>
      <c r="DG54" s="718"/>
      <c r="DH54" s="718"/>
      <c r="DI54" s="718"/>
      <c r="DJ54" s="719"/>
      <c r="DK54" s="720">
        <f>DD54/$DH$34</f>
        <v>0.11956736012209337</v>
      </c>
      <c r="DL54" s="721"/>
      <c r="DM54" s="722"/>
      <c r="DO54" s="723"/>
      <c r="DP54" s="731" t="s">
        <v>226</v>
      </c>
      <c r="DQ54" s="732"/>
      <c r="DR54" s="732"/>
      <c r="DS54" s="733"/>
      <c r="DT54" s="717">
        <f>(DX34-(CN82/1.1))/(BY26/12)</f>
        <v>2232826.693149809</v>
      </c>
      <c r="DU54" s="718"/>
      <c r="DV54" s="718"/>
      <c r="DW54" s="718"/>
      <c r="DX54" s="718"/>
      <c r="DY54" s="718"/>
      <c r="DZ54" s="719"/>
      <c r="EA54" s="720">
        <f>DT54/$DX$34</f>
        <v>0.11956736012209337</v>
      </c>
      <c r="EB54" s="721"/>
      <c r="EC54" s="722"/>
      <c r="FH54" s="299" t="s">
        <v>97</v>
      </c>
      <c r="FI54" s="5">
        <f>IF(BA48="만 26세 이상",VLOOKUP(DB39,'보험료(공제)'!$D$11:$H$13,VLOOKUP(BK48,'보험료(공제)'!$J$11:$K$14,2,0),0),VLOOKUP(DB39,'보험료(공제)'!$D$17:$H$19,VLOOKUP(BK48,'보험료(공제)'!$J$11:$K$14,2,0),0))</f>
        <v>206150</v>
      </c>
      <c r="FJ54" s="328">
        <f>FI54</f>
        <v>206150</v>
      </c>
      <c r="FL54" s="299" t="s">
        <v>97</v>
      </c>
      <c r="FM54" s="5">
        <f>IF(BA48="만 26세 이상",VLOOKUP(DB39,'보험료(공제)'!$N$11:$R$13,VLOOKUP(BK48,'보험료(공제)'!$T$11:$U$14,2,0),0),VLOOKUP(DB39,'보험료(공제)'!$N$17:$R$19,VLOOKUP(BK48,'보험료(공제)'!$J$11:$K$14,2,0),0))</f>
        <v>204390</v>
      </c>
      <c r="FN54" s="328">
        <f>FM54</f>
        <v>204390</v>
      </c>
    </row>
    <row r="55" ht="17.5" customHeight="1" spans="1:170" x14ac:dyDescent="0.25">
      <c r="A55" s="2"/>
      <c r="B55" s="704"/>
      <c r="C55" s="704"/>
      <c r="D55" s="704"/>
      <c r="E55" s="704"/>
      <c r="F55" s="704"/>
      <c r="G55" s="705"/>
      <c r="H55" s="705"/>
      <c r="I55" s="705"/>
      <c r="J55" s="705"/>
      <c r="K55" s="705"/>
      <c r="L55" s="705"/>
      <c r="M55" s="705"/>
      <c r="N55" s="705"/>
      <c r="O55" s="705"/>
      <c r="P55" s="705"/>
      <c r="Q55" s="705"/>
      <c r="R55" s="705"/>
      <c r="S55" s="705"/>
      <c r="T55" s="705"/>
      <c r="U55" s="705"/>
      <c r="V55" s="705"/>
      <c r="W55" s="705"/>
      <c r="X55" s="705"/>
      <c r="Y55" s="705"/>
      <c r="Z55" s="705"/>
      <c r="AA55" s="705"/>
      <c r="AB55" s="705"/>
      <c r="AC55" s="705"/>
      <c r="AD55" s="705"/>
      <c r="AE55" s="705"/>
      <c r="AF55" s="705"/>
      <c r="AG55" s="705"/>
      <c r="AH55" s="705"/>
      <c r="AI55" s="705"/>
      <c r="AJ55" s="705"/>
      <c r="AK55" s="705"/>
      <c r="AL55" s="705"/>
      <c r="AM55" s="705"/>
      <c r="AN55" s="705"/>
      <c r="AO55" s="705"/>
      <c r="AP55" s="705"/>
      <c r="AQ55" s="705"/>
      <c r="AR55" s="705"/>
      <c r="AV55" s="593"/>
      <c r="AW55" s="737"/>
      <c r="AX55" s="738"/>
      <c r="AY55" s="738"/>
      <c r="AZ55" s="739"/>
      <c r="BA55" s="745">
        <v>0</v>
      </c>
      <c r="BB55" s="746"/>
      <c r="BC55" s="746"/>
      <c r="BD55" s="746"/>
      <c r="BE55" s="747">
        <f>IF(BA55&gt;12%,"초과",ROUNDDOWN(BA55*BA17,-3))</f>
        <v>0</v>
      </c>
      <c r="BF55" s="748"/>
      <c r="BG55" s="748"/>
      <c r="BH55" s="748"/>
      <c r="BI55" s="748"/>
      <c r="BJ55" s="749"/>
      <c r="BK55" s="745">
        <v>0</v>
      </c>
      <c r="BL55" s="746"/>
      <c r="BM55" s="746"/>
      <c r="BN55" s="746"/>
      <c r="BO55" s="747">
        <f>IF(BK55&gt;10%,"초과",ROUND(BK55*BA17,-3))</f>
        <v>0</v>
      </c>
      <c r="BP55" s="748"/>
      <c r="BQ55" s="748"/>
      <c r="BR55" s="748"/>
      <c r="BS55" s="748"/>
      <c r="BT55" s="750"/>
      <c r="BU55" s="751">
        <f>IF(OR((BA55+BK55)&gt;10%,BO55="초과"),"초과",BA55+BK55)</f>
        <v>0</v>
      </c>
      <c r="BV55" s="752"/>
      <c r="BW55" s="752"/>
      <c r="BX55" s="753"/>
      <c r="BY55" s="754">
        <f>IF(BU55="초과","초과",BE55+BO55)</f>
        <v>0</v>
      </c>
      <c r="BZ55" s="755"/>
      <c r="CA55" s="755"/>
      <c r="CB55" s="755"/>
      <c r="CC55" s="755"/>
      <c r="CD55" s="756"/>
      <c r="CE55" s="595"/>
      <c r="CJ55" s="731" t="s">
        <v>227</v>
      </c>
      <c r="CK55" s="732"/>
      <c r="CL55" s="732"/>
      <c r="CM55" s="733"/>
      <c r="CN55" s="720"/>
      <c r="CO55" s="721"/>
      <c r="CP55" s="721"/>
      <c r="CQ55" s="721"/>
      <c r="CR55" s="721"/>
      <c r="CS55" s="721"/>
      <c r="CT55" s="722"/>
      <c r="CU55" s="720">
        <f>(CN52-CN53-CN54)/CR34</f>
        <v>0.0750154869594899</v>
      </c>
      <c r="CV55" s="721"/>
      <c r="CW55" s="722"/>
      <c r="CZ55" s="731" t="s">
        <v>227</v>
      </c>
      <c r="DA55" s="732"/>
      <c r="DB55" s="732"/>
      <c r="DC55" s="733"/>
      <c r="DD55" s="717"/>
      <c r="DE55" s="718"/>
      <c r="DF55" s="718"/>
      <c r="DG55" s="718"/>
      <c r="DH55" s="718"/>
      <c r="DI55" s="718"/>
      <c r="DJ55" s="719"/>
      <c r="DK55" s="720">
        <f>(DD52-DD53-DD54)/DH34</f>
        <v>0.0750154869594899</v>
      </c>
      <c r="DL55" s="721"/>
      <c r="DM55" s="722"/>
      <c r="DO55" s="723"/>
      <c r="DP55" s="731" t="s">
        <v>227</v>
      </c>
      <c r="DQ55" s="732"/>
      <c r="DR55" s="732"/>
      <c r="DS55" s="733"/>
      <c r="DT55" s="717"/>
      <c r="DU55" s="718"/>
      <c r="DV55" s="718"/>
      <c r="DW55" s="718"/>
      <c r="DX55" s="718"/>
      <c r="DY55" s="718"/>
      <c r="DZ55" s="719"/>
      <c r="EA55" s="720">
        <f>(DT52-DT53-DT54)/DX34</f>
        <v>0.0750154869594899</v>
      </c>
      <c r="EB55" s="721"/>
      <c r="EC55" s="722"/>
      <c r="FH55" s="299" t="s">
        <v>186</v>
      </c>
      <c r="FI55" s="5">
        <f>IF(BA48="만 26세 이상",VLOOKUP(DB39,'보험료(공제)'!$D$24:$G$26,VLOOKUP(BR48,'보험료(공제)'!$J$23:$K$25,2,0),0),VLOOKUP(DB39,'보험료(공제)'!$D$30:$G$32,VLOOKUP(BR48,'보험료(공제)'!$J$23:$K$25,2,0),0))</f>
        <v>8880</v>
      </c>
      <c r="FJ55" s="328" t="e">
        <f>IF(BA48="만 26세 이상",VLOOKUP(DB39,'보험료(공제)'!$C$52:$E$54,VLOOKUP(BR48,'보험료(공제)'!$G$52:$H$53,2,0),0),VLOOKUP(DB39,'보험료(공제)'!$C$57:$E$59,VLOOKUP(BR48,'보험료(공제)'!$G$52:$H$53,2,0),0))</f>
        <v>#N/A</v>
      </c>
      <c r="FL55" s="299" t="s">
        <v>186</v>
      </c>
      <c r="FM55" s="5">
        <f>IF(BA48="만 26세 이상",VLOOKUP(DB39,'보험료(공제)'!$N$24:$Q$26,VLOOKUP(BR48,'보험료(공제)'!$T$23:$U$25,2,0),0),VLOOKUP(DB39,'보험료(공제)'!$N$30:$Q$32,VLOOKUP(BR48,'보험료(공제)'!$T$23:$U$25,2,0),0))</f>
        <v>8780</v>
      </c>
      <c r="FN55" s="328" t="e">
        <f>IF(BA48="만 26세 이상",VLOOKUP(DB39,'보험료(공제)'!$M$52:$O$54,VLOOKUP(BR48,'보험료(공제)'!$Q$52:$R$53,2,0),0),VLOOKUP(DB39,'보험료(공제)'!$M$57:$O$59,VLOOKUP(BR48,'보험료(공제)'!$Q$52:$R$53,2,0),0))</f>
        <v>#N/A</v>
      </c>
    </row>
    <row r="56" ht="18" customHeight="1" spans="1:170" x14ac:dyDescent="0.25">
      <c r="A56" s="2"/>
      <c r="B56" s="704" t="s">
        <v>228</v>
      </c>
      <c r="C56" s="704"/>
      <c r="D56" s="704"/>
      <c r="E56" s="704"/>
      <c r="F56" s="704"/>
      <c r="G56" s="705" t="s">
        <v>229</v>
      </c>
      <c r="H56" s="705"/>
      <c r="I56" s="705"/>
      <c r="J56" s="705"/>
      <c r="K56" s="705"/>
      <c r="L56" s="705"/>
      <c r="M56" s="705"/>
      <c r="N56" s="705"/>
      <c r="O56" s="705"/>
      <c r="P56" s="705"/>
      <c r="Q56" s="705"/>
      <c r="R56" s="705"/>
      <c r="S56" s="705"/>
      <c r="T56" s="705"/>
      <c r="U56" s="705"/>
      <c r="V56" s="705"/>
      <c r="W56" s="705"/>
      <c r="X56" s="705"/>
      <c r="Y56" s="705"/>
      <c r="Z56" s="705"/>
      <c r="AA56" s="705"/>
      <c r="AB56" s="705"/>
      <c r="AC56" s="705"/>
      <c r="AD56" s="705"/>
      <c r="AE56" s="705"/>
      <c r="AF56" s="705"/>
      <c r="AG56" s="705"/>
      <c r="AH56" s="705"/>
      <c r="AI56" s="705"/>
      <c r="AJ56" s="705"/>
      <c r="AK56" s="705"/>
      <c r="AL56" s="705"/>
      <c r="AM56" s="705"/>
      <c r="AN56" s="705"/>
      <c r="AO56" s="705"/>
      <c r="AP56" s="705"/>
      <c r="AQ56" s="705"/>
      <c r="AR56" s="705"/>
      <c r="AV56" s="593"/>
      <c r="AW56" s="757" t="s">
        <v>1</v>
      </c>
      <c r="AX56" s="758"/>
      <c r="AY56" s="758"/>
      <c r="AZ56" s="759"/>
      <c r="BA56" s="740" t="s">
        <v>223</v>
      </c>
      <c r="BB56" s="740"/>
      <c r="BC56" s="740"/>
      <c r="BD56" s="740"/>
      <c r="BE56" s="740"/>
      <c r="BF56" s="740"/>
      <c r="BG56" s="740"/>
      <c r="BH56" s="740"/>
      <c r="BI56" s="740"/>
      <c r="BJ56" s="740"/>
      <c r="BK56" s="740" t="s">
        <v>224</v>
      </c>
      <c r="BL56" s="740"/>
      <c r="BM56" s="740"/>
      <c r="BN56" s="740"/>
      <c r="BO56" s="740"/>
      <c r="BP56" s="740"/>
      <c r="BQ56" s="740"/>
      <c r="BR56" s="740"/>
      <c r="BS56" s="740"/>
      <c r="BT56" s="737"/>
      <c r="BU56" s="760" t="s">
        <v>225</v>
      </c>
      <c r="BV56" s="761"/>
      <c r="BW56" s="761"/>
      <c r="BX56" s="761"/>
      <c r="BY56" s="761"/>
      <c r="BZ56" s="761"/>
      <c r="CA56" s="761"/>
      <c r="CB56" s="761"/>
      <c r="CC56" s="761"/>
      <c r="CD56" s="762"/>
      <c r="CE56" s="595"/>
      <c r="CJ56" s="763" t="s">
        <v>230</v>
      </c>
      <c r="CK56" s="764"/>
      <c r="CL56" s="764"/>
      <c r="CM56" s="765"/>
      <c r="CN56" s="717">
        <f>CS70</f>
        <v>934000</v>
      </c>
      <c r="CO56" s="718"/>
      <c r="CP56" s="718"/>
      <c r="CQ56" s="718"/>
      <c r="CR56" s="718"/>
      <c r="CS56" s="718"/>
      <c r="CT56" s="719"/>
      <c r="CU56" s="720">
        <f>CN56/$CR$34</f>
        <v>0.050015486959489895</v>
      </c>
      <c r="CV56" s="721"/>
      <c r="CW56" s="722"/>
      <c r="CZ56" s="763" t="s">
        <v>230</v>
      </c>
      <c r="DA56" s="764"/>
      <c r="DB56" s="764"/>
      <c r="DC56" s="765"/>
      <c r="DD56" s="717">
        <f>DI70</f>
        <v>934000</v>
      </c>
      <c r="DE56" s="718"/>
      <c r="DF56" s="718"/>
      <c r="DG56" s="718"/>
      <c r="DH56" s="718"/>
      <c r="DI56" s="718"/>
      <c r="DJ56" s="719"/>
      <c r="DK56" s="720">
        <f>DD56/$DH$34</f>
        <v>0.050015486959489895</v>
      </c>
      <c r="DL56" s="721"/>
      <c r="DM56" s="722"/>
      <c r="DO56" s="723"/>
      <c r="DP56" s="763" t="s">
        <v>230</v>
      </c>
      <c r="DQ56" s="764"/>
      <c r="DR56" s="764"/>
      <c r="DS56" s="765"/>
      <c r="DT56" s="717">
        <f>DY70</f>
        <v>934000</v>
      </c>
      <c r="DU56" s="718"/>
      <c r="DV56" s="718"/>
      <c r="DW56" s="718"/>
      <c r="DX56" s="718"/>
      <c r="DY56" s="718"/>
      <c r="DZ56" s="719"/>
      <c r="EA56" s="720">
        <f>DT56/$DX$34</f>
        <v>0.050015486959489895</v>
      </c>
      <c r="EB56" s="721"/>
      <c r="EC56" s="722"/>
      <c r="FH56" s="299" t="s">
        <v>190</v>
      </c>
      <c r="FI56" s="5">
        <f>IF(BA48="만 26세 이상",VLOOKUP(DB39,'보험료(공제)'!$D$38:$E$40,2,0),VLOOKUP(DB39,'보험료(공제)'!$D$38:$F$40,3,0))</f>
        <v>21160</v>
      </c>
      <c r="FJ56" s="328">
        <f>FI56</f>
        <v>21160</v>
      </c>
      <c r="FL56" s="299" t="s">
        <v>190</v>
      </c>
      <c r="FM56" s="5">
        <f>IF(BA48="만 26세 이상",VLOOKUP(DB39,'보험료(공제)'!$N$38:$O$40,2,0),VLOOKUP(DB39,'보험료(공제)'!$N$38:$P$40,3,0))</f>
        <v>20980</v>
      </c>
      <c r="FN56" s="328">
        <f>FM56</f>
        <v>20980</v>
      </c>
    </row>
    <row r="57" ht="18" customHeight="1" spans="1:170" x14ac:dyDescent="0.25">
      <c r="A57" s="2"/>
      <c r="B57" s="704"/>
      <c r="C57" s="704"/>
      <c r="D57" s="704"/>
      <c r="E57" s="704"/>
      <c r="F57" s="704"/>
      <c r="G57" s="705"/>
      <c r="H57" s="705"/>
      <c r="I57" s="705"/>
      <c r="J57" s="705"/>
      <c r="K57" s="705"/>
      <c r="L57" s="705"/>
      <c r="M57" s="705"/>
      <c r="N57" s="705"/>
      <c r="O57" s="705"/>
      <c r="P57" s="705"/>
      <c r="Q57" s="705"/>
      <c r="R57" s="705"/>
      <c r="S57" s="705"/>
      <c r="T57" s="705"/>
      <c r="U57" s="705"/>
      <c r="V57" s="705"/>
      <c r="W57" s="705"/>
      <c r="X57" s="705"/>
      <c r="Y57" s="705"/>
      <c r="Z57" s="705"/>
      <c r="AA57" s="705"/>
      <c r="AB57" s="705"/>
      <c r="AC57" s="705"/>
      <c r="AD57" s="705"/>
      <c r="AE57" s="705"/>
      <c r="AF57" s="705"/>
      <c r="AG57" s="705"/>
      <c r="AH57" s="705"/>
      <c r="AI57" s="705"/>
      <c r="AJ57" s="705"/>
      <c r="AK57" s="705"/>
      <c r="AL57" s="705"/>
      <c r="AM57" s="705"/>
      <c r="AN57" s="705"/>
      <c r="AO57" s="705"/>
      <c r="AP57" s="705"/>
      <c r="AQ57" s="705"/>
      <c r="AR57" s="705"/>
      <c r="AV57" s="593"/>
      <c r="AW57" s="766"/>
      <c r="AX57" s="767"/>
      <c r="AY57" s="767"/>
      <c r="AZ57" s="768"/>
      <c r="BA57" s="745">
        <v>0</v>
      </c>
      <c r="BB57" s="746"/>
      <c r="BC57" s="746"/>
      <c r="BD57" s="746"/>
      <c r="BE57" s="747">
        <f>IF(BP8="Y",IF(BA57&gt;12%,"초과",ROUNDDOWN(BA57*BM17,-3)),ROUNDDOWN(BA57*BA17,-3))</f>
        <v>0</v>
      </c>
      <c r="BF57" s="748"/>
      <c r="BG57" s="748"/>
      <c r="BH57" s="748"/>
      <c r="BI57" s="748"/>
      <c r="BJ57" s="749"/>
      <c r="BK57" s="745">
        <v>0</v>
      </c>
      <c r="BL57" s="746"/>
      <c r="BM57" s="746"/>
      <c r="BN57" s="746"/>
      <c r="BO57" s="747">
        <f>IF(BP8="Y",IF(BK57&gt;10%,"초과",ROUND(BK57*BM17,-3)),ROUNDDOWN(BK57*BA17,-3))</f>
        <v>0</v>
      </c>
      <c r="BP57" s="748"/>
      <c r="BQ57" s="748"/>
      <c r="BR57" s="748"/>
      <c r="BS57" s="748"/>
      <c r="BT57" s="750"/>
      <c r="BU57" s="769">
        <f>IF(OR((BA57+BK57)&gt;10%,BO57="초과"),"초과",BA57+BK57)</f>
        <v>0</v>
      </c>
      <c r="BV57" s="770"/>
      <c r="BW57" s="770"/>
      <c r="BX57" s="771"/>
      <c r="BY57" s="772">
        <f>IF(BU57="초과","초과",BE57+BO57)</f>
        <v>0</v>
      </c>
      <c r="BZ57" s="773"/>
      <c r="CA57" s="773"/>
      <c r="CB57" s="773"/>
      <c r="CC57" s="773"/>
      <c r="CD57" s="774"/>
      <c r="CE57" s="595"/>
      <c r="CJ57" s="709"/>
      <c r="CK57" s="709"/>
      <c r="CL57" s="709"/>
      <c r="CM57" s="709"/>
      <c r="CN57" s="712"/>
      <c r="CO57" s="712"/>
      <c r="CP57" s="712"/>
      <c r="CQ57" s="712"/>
      <c r="CR57" s="712"/>
      <c r="CS57" s="712"/>
      <c r="CT57" s="712"/>
      <c r="CU57" s="723"/>
      <c r="CV57" s="723"/>
      <c r="CW57" s="723"/>
      <c r="CZ57" s="709"/>
      <c r="DA57" s="709"/>
      <c r="DB57" s="709"/>
      <c r="DC57" s="709"/>
      <c r="DD57" s="712"/>
      <c r="DE57" s="712"/>
      <c r="DF57" s="712"/>
      <c r="DG57" s="712"/>
      <c r="DH57" s="712"/>
      <c r="DI57" s="712"/>
      <c r="DJ57" s="712"/>
      <c r="DK57" s="723"/>
      <c r="DL57" s="723"/>
      <c r="DM57" s="723"/>
      <c r="DO57" s="723"/>
      <c r="DP57" s="709"/>
      <c r="DQ57" s="709"/>
      <c r="DR57" s="709"/>
      <c r="DS57" s="709"/>
      <c r="DT57" s="712"/>
      <c r="DU57" s="712"/>
      <c r="DV57" s="712"/>
      <c r="DW57" s="712"/>
      <c r="DX57" s="712"/>
      <c r="DY57" s="712"/>
      <c r="DZ57" s="712"/>
      <c r="EA57" s="723"/>
      <c r="EB57" s="723"/>
      <c r="EC57" s="723"/>
      <c r="FH57" s="299" t="s">
        <v>101</v>
      </c>
      <c r="FI57" s="5">
        <v>15560</v>
      </c>
      <c r="FJ57" s="328">
        <f>FI57</f>
        <v>15560</v>
      </c>
      <c r="FL57" s="299" t="s">
        <v>101</v>
      </c>
      <c r="FM57" s="5">
        <v>15560</v>
      </c>
      <c r="FN57" s="328">
        <f>FM57</f>
        <v>15560</v>
      </c>
    </row>
    <row r="58" ht="18.65" customHeight="1" spans="1:170" x14ac:dyDescent="0.25">
      <c r="A58" s="2"/>
      <c r="B58" s="775" t="s">
        <v>231</v>
      </c>
      <c r="C58" s="775"/>
      <c r="D58" s="775"/>
      <c r="E58" s="775"/>
      <c r="F58" s="775"/>
      <c r="G58" s="705" t="s">
        <v>215</v>
      </c>
      <c r="H58" s="705"/>
      <c r="I58" s="705"/>
      <c r="J58" s="705"/>
      <c r="K58" s="705"/>
      <c r="L58" s="705"/>
      <c r="M58" s="705"/>
      <c r="N58" s="705"/>
      <c r="O58" s="705"/>
      <c r="P58" s="705"/>
      <c r="Q58" s="705"/>
      <c r="R58" s="705"/>
      <c r="S58" s="705"/>
      <c r="T58" s="705"/>
      <c r="U58" s="705"/>
      <c r="V58" s="705"/>
      <c r="W58" s="705"/>
      <c r="X58" s="705"/>
      <c r="Y58" s="705"/>
      <c r="Z58" s="705"/>
      <c r="AA58" s="705"/>
      <c r="AB58" s="705"/>
      <c r="AC58" s="705"/>
      <c r="AD58" s="705"/>
      <c r="AE58" s="705"/>
      <c r="AF58" s="705"/>
      <c r="AG58" s="705"/>
      <c r="AH58" s="705"/>
      <c r="AI58" s="705"/>
      <c r="AJ58" s="705"/>
      <c r="AK58" s="705"/>
      <c r="AL58" s="705"/>
      <c r="AM58" s="705"/>
      <c r="AN58" s="705"/>
      <c r="AO58" s="705"/>
      <c r="AP58" s="705"/>
      <c r="AQ58" s="705"/>
      <c r="AR58" s="705"/>
      <c r="AV58" s="593"/>
      <c r="AW58" s="737" t="s">
        <v>2</v>
      </c>
      <c r="AX58" s="738"/>
      <c r="AY58" s="738"/>
      <c r="AZ58" s="739"/>
      <c r="BA58" s="740" t="s">
        <v>223</v>
      </c>
      <c r="BB58" s="740"/>
      <c r="BC58" s="740"/>
      <c r="BD58" s="740"/>
      <c r="BE58" s="740"/>
      <c r="BF58" s="740"/>
      <c r="BG58" s="740"/>
      <c r="BH58" s="740"/>
      <c r="BI58" s="740"/>
      <c r="BJ58" s="740"/>
      <c r="BK58" s="740" t="s">
        <v>224</v>
      </c>
      <c r="BL58" s="740"/>
      <c r="BM58" s="740"/>
      <c r="BN58" s="740"/>
      <c r="BO58" s="740"/>
      <c r="BP58" s="740"/>
      <c r="BQ58" s="740"/>
      <c r="BR58" s="740"/>
      <c r="BS58" s="740"/>
      <c r="BT58" s="737"/>
      <c r="BU58" s="776" t="s">
        <v>225</v>
      </c>
      <c r="BV58" s="740"/>
      <c r="BW58" s="740"/>
      <c r="BX58" s="740"/>
      <c r="BY58" s="740"/>
      <c r="BZ58" s="740"/>
      <c r="CA58" s="740"/>
      <c r="CB58" s="740"/>
      <c r="CC58" s="740"/>
      <c r="CD58" s="777"/>
      <c r="CE58" s="595"/>
      <c r="CZ58" s="3"/>
      <c r="DM58" s="5"/>
      <c r="DP58" s="3"/>
      <c r="EB58" s="1"/>
      <c r="EC58" s="1"/>
      <c r="FH58" s="651" t="s">
        <v>196</v>
      </c>
      <c r="FI58" s="5">
        <v>15000</v>
      </c>
      <c r="FJ58" s="328">
        <f>FI58</f>
        <v>15000</v>
      </c>
      <c r="FL58" s="651" t="s">
        <v>196</v>
      </c>
      <c r="FM58" s="5">
        <v>15000</v>
      </c>
      <c r="FN58" s="328">
        <f>FM58</f>
        <v>15000</v>
      </c>
    </row>
    <row r="59" ht="18.65" customHeight="1" spans="1:170" x14ac:dyDescent="0.25">
      <c r="A59" s="2"/>
      <c r="B59" s="775"/>
      <c r="C59" s="775"/>
      <c r="D59" s="775"/>
      <c r="E59" s="775"/>
      <c r="F59" s="775"/>
      <c r="G59" s="705"/>
      <c r="H59" s="705"/>
      <c r="I59" s="705"/>
      <c r="J59" s="705"/>
      <c r="K59" s="705"/>
      <c r="L59" s="705"/>
      <c r="M59" s="705"/>
      <c r="N59" s="705"/>
      <c r="O59" s="705"/>
      <c r="P59" s="705"/>
      <c r="Q59" s="705"/>
      <c r="R59" s="705"/>
      <c r="S59" s="705"/>
      <c r="T59" s="705"/>
      <c r="U59" s="705"/>
      <c r="V59" s="705"/>
      <c r="W59" s="705"/>
      <c r="X59" s="705"/>
      <c r="Y59" s="705"/>
      <c r="Z59" s="705"/>
      <c r="AA59" s="705"/>
      <c r="AB59" s="705"/>
      <c r="AC59" s="705"/>
      <c r="AD59" s="705"/>
      <c r="AE59" s="705"/>
      <c r="AF59" s="705"/>
      <c r="AG59" s="705"/>
      <c r="AH59" s="705"/>
      <c r="AI59" s="705"/>
      <c r="AJ59" s="705"/>
      <c r="AK59" s="705"/>
      <c r="AL59" s="705"/>
      <c r="AM59" s="705"/>
      <c r="AN59" s="705"/>
      <c r="AO59" s="705"/>
      <c r="AP59" s="705"/>
      <c r="AQ59" s="705"/>
      <c r="AR59" s="705"/>
      <c r="AV59" s="593"/>
      <c r="AW59" s="766"/>
      <c r="AX59" s="767"/>
      <c r="AY59" s="767"/>
      <c r="AZ59" s="768"/>
      <c r="BA59" s="745">
        <v>0</v>
      </c>
      <c r="BB59" s="746"/>
      <c r="BC59" s="746"/>
      <c r="BD59" s="746"/>
      <c r="BE59" s="747">
        <f>IF(CB8="Y",IF(BA59&gt;12%,"초과",ROUNDDOWN(BA59*BY17,-3)),ROUNDDOWN(BA17*BA59,-3))</f>
        <v>0</v>
      </c>
      <c r="BF59" s="748"/>
      <c r="BG59" s="748"/>
      <c r="BH59" s="748"/>
      <c r="BI59" s="748"/>
      <c r="BJ59" s="749"/>
      <c r="BK59" s="745">
        <v>0</v>
      </c>
      <c r="BL59" s="746"/>
      <c r="BM59" s="746"/>
      <c r="BN59" s="746"/>
      <c r="BO59" s="747">
        <f>IF(CB8="Y",IF(BK59&gt;10%,"초과",ROUND(BK59*BY17,-3)),ROUNDDOWN(BY17*BK59,-3))</f>
        <v>0</v>
      </c>
      <c r="BP59" s="748"/>
      <c r="BQ59" s="748"/>
      <c r="BR59" s="748"/>
      <c r="BS59" s="748"/>
      <c r="BT59" s="750"/>
      <c r="BU59" s="778">
        <f>IF(OR((BA59+BK59)&gt;10%,BO59="초과"),"초과",BA59+BK59)</f>
        <v>0</v>
      </c>
      <c r="BV59" s="779"/>
      <c r="BW59" s="779"/>
      <c r="BX59" s="780"/>
      <c r="BY59" s="781">
        <f>IF(BU59="초과","초과",BE59+BO59)</f>
        <v>0</v>
      </c>
      <c r="BZ59" s="782"/>
      <c r="CA59" s="782"/>
      <c r="CB59" s="782"/>
      <c r="CC59" s="782"/>
      <c r="CD59" s="783"/>
      <c r="CE59" s="595"/>
      <c r="CJ59" s="784" t="s">
        <v>232</v>
      </c>
      <c r="CK59" s="785"/>
      <c r="CL59" s="785"/>
      <c r="CM59" s="785"/>
      <c r="CN59" s="786"/>
      <c r="CO59" s="787" t="s">
        <v>233</v>
      </c>
      <c r="CP59" s="788"/>
      <c r="CQ59" s="788"/>
      <c r="CR59" s="789"/>
      <c r="CS59" s="790" t="s">
        <v>234</v>
      </c>
      <c r="CT59" s="791"/>
      <c r="CU59" s="791"/>
      <c r="CV59" s="791"/>
      <c r="CW59" s="792"/>
      <c r="CZ59" s="784" t="s">
        <v>232</v>
      </c>
      <c r="DA59" s="785"/>
      <c r="DB59" s="785"/>
      <c r="DC59" s="785"/>
      <c r="DD59" s="786"/>
      <c r="DE59" s="787" t="s">
        <v>233</v>
      </c>
      <c r="DF59" s="788"/>
      <c r="DG59" s="788"/>
      <c r="DH59" s="789"/>
      <c r="DI59" s="790" t="s">
        <v>234</v>
      </c>
      <c r="DJ59" s="791"/>
      <c r="DK59" s="791"/>
      <c r="DL59" s="791"/>
      <c r="DM59" s="792"/>
      <c r="DP59" s="784" t="s">
        <v>232</v>
      </c>
      <c r="DQ59" s="785"/>
      <c r="DR59" s="785"/>
      <c r="DS59" s="785"/>
      <c r="DT59" s="786"/>
      <c r="DU59" s="787" t="s">
        <v>233</v>
      </c>
      <c r="DV59" s="788"/>
      <c r="DW59" s="788"/>
      <c r="DX59" s="789"/>
      <c r="DY59" s="790" t="s">
        <v>234</v>
      </c>
      <c r="DZ59" s="791"/>
      <c r="EA59" s="791"/>
      <c r="EB59" s="791"/>
      <c r="EC59" s="792"/>
      <c r="FH59" s="357" t="s">
        <v>162</v>
      </c>
      <c r="FI59" s="666">
        <f>SUM(FI53:FI58)</f>
        <v>572820</v>
      </c>
      <c r="FJ59" s="667" t="e">
        <f>SUM(FJ53:FJ58)</f>
        <v>#N/A</v>
      </c>
      <c r="FL59" s="357" t="s">
        <v>162</v>
      </c>
      <c r="FM59" s="666">
        <f>SUM(FM53:FM58)</f>
        <v>568170</v>
      </c>
      <c r="FN59" s="667" t="e">
        <f>SUM(FN53:FN58)</f>
        <v>#N/A</v>
      </c>
    </row>
    <row r="60" ht="18" customHeight="1" spans="48:133" x14ac:dyDescent="0.25">
      <c r="AV60" s="630"/>
      <c r="AW60" s="793"/>
      <c r="AX60" s="793"/>
      <c r="AY60" s="793"/>
      <c r="AZ60" s="793"/>
      <c r="BA60" s="632"/>
      <c r="BB60" s="632"/>
      <c r="BC60" s="632"/>
      <c r="BD60" s="632"/>
      <c r="BE60" s="632"/>
      <c r="BF60" s="632"/>
      <c r="BG60" s="632"/>
      <c r="BH60" s="632"/>
      <c r="BI60" s="632"/>
      <c r="BJ60" s="632"/>
      <c r="BK60" s="632"/>
      <c r="BL60" s="632"/>
      <c r="BM60" s="632"/>
      <c r="BN60" s="632"/>
      <c r="BO60" s="632"/>
      <c r="BP60" s="632"/>
      <c r="BQ60" s="632"/>
      <c r="BR60" s="632"/>
      <c r="BS60" s="632"/>
      <c r="BT60" s="632"/>
      <c r="BU60" s="632"/>
      <c r="BV60" s="632"/>
      <c r="BW60" s="632"/>
      <c r="BX60" s="632"/>
      <c r="BY60" s="632"/>
      <c r="BZ60" s="632"/>
      <c r="CA60" s="632"/>
      <c r="CB60" s="632"/>
      <c r="CC60" s="632"/>
      <c r="CD60" s="632"/>
      <c r="CE60" s="633"/>
      <c r="CJ60" s="794"/>
      <c r="CK60" s="238"/>
      <c r="CL60" s="795" t="s">
        <v>162</v>
      </c>
      <c r="CM60" s="795"/>
      <c r="CN60" s="795"/>
      <c r="CO60" s="796"/>
      <c r="CP60" s="796"/>
      <c r="CQ60" s="796"/>
      <c r="CR60" s="797"/>
      <c r="CS60" s="798">
        <f>SUM(CS61:CW68)</f>
        <v>961140</v>
      </c>
      <c r="CT60" s="796"/>
      <c r="CU60" s="796"/>
      <c r="CV60" s="796"/>
      <c r="CW60" s="797"/>
      <c r="CZ60" s="794"/>
      <c r="DA60" s="238"/>
      <c r="DB60" s="795" t="s">
        <v>162</v>
      </c>
      <c r="DC60" s="795"/>
      <c r="DD60" s="795"/>
      <c r="DE60" s="796"/>
      <c r="DF60" s="796"/>
      <c r="DG60" s="796"/>
      <c r="DH60" s="797"/>
      <c r="DI60" s="798">
        <f>SUM(DI61:DM68)</f>
        <v>844224</v>
      </c>
      <c r="DJ60" s="796"/>
      <c r="DK60" s="796"/>
      <c r="DL60" s="796"/>
      <c r="DM60" s="797"/>
      <c r="DO60" s="1"/>
      <c r="DP60" s="794"/>
      <c r="DQ60" s="238"/>
      <c r="DR60" s="795" t="s">
        <v>162</v>
      </c>
      <c r="DS60" s="795"/>
      <c r="DT60" s="795"/>
      <c r="DU60" s="796">
        <f>SUM(DU61:DX68)</f>
        <v>621804</v>
      </c>
      <c r="DV60" s="796"/>
      <c r="DW60" s="796"/>
      <c r="DX60" s="797"/>
      <c r="DY60" s="798">
        <f>SUM(DY61:EC68)</f>
        <v>844224</v>
      </c>
      <c r="DZ60" s="796"/>
      <c r="EA60" s="796"/>
      <c r="EB60" s="796"/>
      <c r="EC60" s="797"/>
    </row>
    <row r="61" ht="21" customHeight="1" spans="3:170" x14ac:dyDescent="0.25">
      <c r="C61" s="799"/>
      <c r="D61" s="800"/>
      <c r="E61" s="800"/>
      <c r="F61" s="800"/>
      <c r="G61" s="800"/>
      <c r="H61" s="800"/>
      <c r="I61" s="800"/>
      <c r="J61" s="800"/>
      <c r="K61" s="800"/>
      <c r="L61" s="800"/>
      <c r="M61" s="800"/>
      <c r="N61" s="800"/>
      <c r="O61" s="800"/>
      <c r="P61" s="800"/>
      <c r="Q61" s="800"/>
      <c r="R61" s="800"/>
      <c r="S61" s="1"/>
      <c r="AT61" s="801"/>
      <c r="AU61" s="801"/>
      <c r="AW61" s="333"/>
      <c r="AX61" s="333"/>
      <c r="AY61" s="333"/>
      <c r="AZ61" s="333"/>
      <c r="CJ61" s="802"/>
      <c r="CK61" s="803" t="s">
        <v>235</v>
      </c>
      <c r="CL61" s="803"/>
      <c r="CM61" s="803"/>
      <c r="CN61" s="803"/>
      <c r="CO61" s="804">
        <f>IF(BA49="미가입",IF(BN48="자손",FI48,FJ48),IF(BN48="자손",FM48,FN48))</f>
        <v>572820</v>
      </c>
      <c r="CP61" s="804"/>
      <c r="CQ61" s="804"/>
      <c r="CR61" s="804"/>
      <c r="CS61" s="805">
        <f>CO61</f>
        <v>572820</v>
      </c>
      <c r="CT61" s="806"/>
      <c r="CU61" s="806"/>
      <c r="CV61" s="806"/>
      <c r="CW61" s="807"/>
      <c r="CZ61" s="802"/>
      <c r="DA61" s="803" t="s">
        <v>235</v>
      </c>
      <c r="DB61" s="803"/>
      <c r="DC61" s="803"/>
      <c r="DD61" s="803"/>
      <c r="DE61" s="808">
        <f>IF(BA49="미가입",IF(BN48="자손",FI59,FJ59),IF(BN48="자손",FM59,FN59))</f>
        <v>572820</v>
      </c>
      <c r="DF61" s="809"/>
      <c r="DG61" s="809"/>
      <c r="DH61" s="810"/>
      <c r="DI61" s="805">
        <f>DE61</f>
        <v>572820</v>
      </c>
      <c r="DJ61" s="806"/>
      <c r="DK61" s="806"/>
      <c r="DL61" s="806"/>
      <c r="DM61" s="807"/>
      <c r="DO61" s="1"/>
      <c r="DP61" s="802"/>
      <c r="DQ61" s="803" t="s">
        <v>235</v>
      </c>
      <c r="DR61" s="803"/>
      <c r="DS61" s="803"/>
      <c r="DT61" s="803"/>
      <c r="DU61" s="808">
        <f>DE61</f>
        <v>572820</v>
      </c>
      <c r="DV61" s="809"/>
      <c r="DW61" s="809"/>
      <c r="DX61" s="810"/>
      <c r="DY61" s="805">
        <f>DU61</f>
        <v>572820</v>
      </c>
      <c r="DZ61" s="806"/>
      <c r="EA61" s="806"/>
      <c r="EB61" s="806"/>
      <c r="EC61" s="807"/>
      <c r="FH61" s="297" t="s">
        <v>148</v>
      </c>
      <c r="FI61" s="514" t="s">
        <v>54</v>
      </c>
      <c r="FJ61" s="327"/>
      <c r="FL61" s="297" t="s">
        <v>149</v>
      </c>
      <c r="FM61" s="514" t="s">
        <v>54</v>
      </c>
      <c r="FN61" s="327"/>
    </row>
    <row r="62" ht="21" customHeight="1" spans="3:170" x14ac:dyDescent="0.25">
      <c r="C62" s="800"/>
      <c r="D62" s="800"/>
      <c r="E62" s="800"/>
      <c r="F62" s="800"/>
      <c r="G62" s="800"/>
      <c r="H62" s="800"/>
      <c r="I62" s="800"/>
      <c r="J62" s="800"/>
      <c r="K62" s="800"/>
      <c r="L62" s="800"/>
      <c r="M62" s="800"/>
      <c r="N62" s="800"/>
      <c r="O62" s="800"/>
      <c r="P62" s="800"/>
      <c r="Q62" s="800"/>
      <c r="R62" s="800"/>
      <c r="S62" s="1"/>
      <c r="AT62" s="801"/>
      <c r="AU62" s="801"/>
      <c r="AW62" s="333"/>
      <c r="AX62" s="333"/>
      <c r="AY62" s="333"/>
      <c r="AZ62" s="333"/>
      <c r="CJ62" s="802"/>
      <c r="CK62" s="811" t="s">
        <v>236</v>
      </c>
      <c r="CL62" s="811"/>
      <c r="CM62" s="811"/>
      <c r="CN62" s="811"/>
      <c r="CO62" s="812">
        <f>VLOOKUP(BA27,$FG$21:$FL$29,VLOOKUP(BA28,$FG$32:$FH$36,2,0),0)</f>
        <v>29963</v>
      </c>
      <c r="CP62" s="812"/>
      <c r="CQ62" s="812"/>
      <c r="CR62" s="812"/>
      <c r="CS62" s="813">
        <f>CO62*12</f>
        <v>359556</v>
      </c>
      <c r="CT62" s="814"/>
      <c r="CU62" s="814"/>
      <c r="CV62" s="814"/>
      <c r="CW62" s="815"/>
      <c r="CZ62" s="802"/>
      <c r="DA62" s="811" t="s">
        <v>236</v>
      </c>
      <c r="DB62" s="811"/>
      <c r="DC62" s="811"/>
      <c r="DD62" s="811"/>
      <c r="DE62" s="816">
        <f>VLOOKUP(BM27,$FN$20:$FS$29,VLOOKUP(BM28,$FG$32:$FH$36,2,0),0)</f>
        <v>20220</v>
      </c>
      <c r="DF62" s="817"/>
      <c r="DG62" s="817"/>
      <c r="DH62" s="818"/>
      <c r="DI62" s="813">
        <f>DE62*12</f>
        <v>242640</v>
      </c>
      <c r="DJ62" s="814"/>
      <c r="DK62" s="814"/>
      <c r="DL62" s="814"/>
      <c r="DM62" s="815"/>
      <c r="DO62" s="1"/>
      <c r="DP62" s="802"/>
      <c r="DQ62" s="811" t="s">
        <v>236</v>
      </c>
      <c r="DR62" s="811"/>
      <c r="DS62" s="811"/>
      <c r="DT62" s="811"/>
      <c r="DU62" s="816">
        <f>VLOOKUP(BY27,$FU$21:$FZ$29,VLOOKUP(BY28,$FG$32:$FH$36,2,0),0)</f>
        <v>20220</v>
      </c>
      <c r="DV62" s="817"/>
      <c r="DW62" s="817"/>
      <c r="DX62" s="818"/>
      <c r="DY62" s="813">
        <f>DU62*12</f>
        <v>242640</v>
      </c>
      <c r="DZ62" s="814"/>
      <c r="EA62" s="814"/>
      <c r="EB62" s="814"/>
      <c r="EC62" s="815"/>
      <c r="ED62" s="5"/>
      <c r="FH62" s="299"/>
      <c r="FI62" s="1"/>
      <c r="FJ62" s="341"/>
      <c r="FL62" s="299"/>
      <c r="FM62" s="1"/>
      <c r="FN62" s="341"/>
    </row>
    <row r="63" ht="21" customHeight="1" spans="3:170" x14ac:dyDescent="0.25">
      <c r="C63" s="800"/>
      <c r="D63" s="800"/>
      <c r="E63" s="800"/>
      <c r="F63" s="800"/>
      <c r="G63" s="800"/>
      <c r="H63" s="800"/>
      <c r="I63" s="800"/>
      <c r="J63" s="800"/>
      <c r="K63" s="800"/>
      <c r="L63" s="800"/>
      <c r="M63" s="800"/>
      <c r="N63" s="800"/>
      <c r="O63" s="800"/>
      <c r="P63" s="800"/>
      <c r="Q63" s="800"/>
      <c r="R63" s="800"/>
      <c r="S63" s="1"/>
      <c r="AR63" s="819"/>
      <c r="AT63" s="801"/>
      <c r="AU63" s="801"/>
      <c r="AV63" s="801"/>
      <c r="AW63" s="820" t="s">
        <v>237</v>
      </c>
      <c r="AX63" s="820"/>
      <c r="AY63" s="820"/>
      <c r="AZ63" s="820"/>
      <c r="BA63" s="821" t="s">
        <v>0</v>
      </c>
      <c r="BB63" s="821"/>
      <c r="BC63" s="821"/>
      <c r="BD63" s="821"/>
      <c r="BE63" s="821" t="s">
        <v>1</v>
      </c>
      <c r="BF63" s="821"/>
      <c r="BG63" s="821"/>
      <c r="BH63" s="821"/>
      <c r="BI63" s="821"/>
      <c r="BJ63" s="821" t="s">
        <v>2</v>
      </c>
      <c r="BK63" s="821"/>
      <c r="BL63" s="821"/>
      <c r="BM63" s="821"/>
      <c r="BN63" s="821"/>
      <c r="CJ63" s="802"/>
      <c r="CK63" s="811" t="s">
        <v>238</v>
      </c>
      <c r="CL63" s="811"/>
      <c r="CM63" s="811"/>
      <c r="CN63" s="811"/>
      <c r="CO63" s="812">
        <f>IF(BD14&lt;=1600,(BD14*18),IF(BD14&lt;=2500,(BD14*19),(BD14*24)))</f>
        <v>28764</v>
      </c>
      <c r="CP63" s="812"/>
      <c r="CQ63" s="812"/>
      <c r="CR63" s="812"/>
      <c r="CS63" s="813">
        <f>CO63</f>
        <v>28764</v>
      </c>
      <c r="CT63" s="814"/>
      <c r="CU63" s="814"/>
      <c r="CV63" s="814"/>
      <c r="CW63" s="815"/>
      <c r="CZ63" s="802"/>
      <c r="DA63" s="811" t="s">
        <v>238</v>
      </c>
      <c r="DB63" s="811"/>
      <c r="DC63" s="811"/>
      <c r="DD63" s="811"/>
      <c r="DE63" s="816">
        <f>IF(BP8="Y",IF(BP14&lt;=1600,(BP14*18),IF(BP14&lt;=2500,(BP14*19),(BP14*24))),CO63)</f>
        <v>28764</v>
      </c>
      <c r="DF63" s="817"/>
      <c r="DG63" s="817"/>
      <c r="DH63" s="818"/>
      <c r="DI63" s="813">
        <f>DE63</f>
        <v>28764</v>
      </c>
      <c r="DJ63" s="814"/>
      <c r="DK63" s="814"/>
      <c r="DL63" s="814"/>
      <c r="DM63" s="815"/>
      <c r="DO63" s="1"/>
      <c r="DP63" s="802"/>
      <c r="DQ63" s="811" t="s">
        <v>238</v>
      </c>
      <c r="DR63" s="811"/>
      <c r="DS63" s="811"/>
      <c r="DT63" s="811"/>
      <c r="DU63" s="816">
        <f>IF(CB8="Y",IF(CB14&lt;=1600,(CB14*18),IF(CB14&lt;=2500,(CB14*19),(CB14*24))),CO63)</f>
        <v>28764</v>
      </c>
      <c r="DV63" s="817"/>
      <c r="DW63" s="817"/>
      <c r="DX63" s="818"/>
      <c r="DY63" s="813">
        <f>DU63</f>
        <v>28764</v>
      </c>
      <c r="DZ63" s="814"/>
      <c r="EA63" s="814"/>
      <c r="EB63" s="814"/>
      <c r="EC63" s="815"/>
      <c r="FH63" s="605"/>
      <c r="FI63" s="1" t="s">
        <v>166</v>
      </c>
      <c r="FJ63" s="341" t="s">
        <v>167</v>
      </c>
      <c r="FL63" s="605"/>
      <c r="FM63" s="1" t="s">
        <v>166</v>
      </c>
      <c r="FN63" s="341" t="s">
        <v>167</v>
      </c>
    </row>
    <row r="64" ht="17.5" customHeight="1" spans="3:170" x14ac:dyDescent="0.25">
      <c r="C64" s="800"/>
      <c r="D64" s="800"/>
      <c r="E64" s="800"/>
      <c r="F64" s="800"/>
      <c r="G64" s="800"/>
      <c r="H64" s="800"/>
      <c r="I64" s="800"/>
      <c r="J64" s="800"/>
      <c r="K64" s="800"/>
      <c r="L64" s="800"/>
      <c r="M64" s="800"/>
      <c r="N64" s="800"/>
      <c r="O64" s="800"/>
      <c r="P64" s="800"/>
      <c r="Q64" s="800"/>
      <c r="R64" s="800"/>
      <c r="S64" s="1"/>
      <c r="AR64" s="1"/>
      <c r="AT64" s="801"/>
      <c r="AU64" s="801"/>
      <c r="AV64" s="801"/>
      <c r="AW64" s="820" t="s">
        <v>239</v>
      </c>
      <c r="AX64" s="820"/>
      <c r="AY64" s="820"/>
      <c r="AZ64" s="820"/>
      <c r="BA64" s="395">
        <f>CL78</f>
        <v>0.36</v>
      </c>
      <c r="BB64" s="390"/>
      <c r="BC64" s="390"/>
      <c r="BD64" s="390"/>
      <c r="BE64" s="395">
        <f>CL80</f>
        <v>0.52</v>
      </c>
      <c r="BF64" s="390"/>
      <c r="BG64" s="390"/>
      <c r="BH64" s="390"/>
      <c r="BI64" s="390"/>
      <c r="BJ64" s="395">
        <f>CL82</f>
        <v>0.52</v>
      </c>
      <c r="BK64" s="390"/>
      <c r="BL64" s="390"/>
      <c r="BM64" s="390"/>
      <c r="BN64" s="390"/>
      <c r="BR64" s="2"/>
      <c r="BS64" s="2"/>
      <c r="CJ64" s="802"/>
      <c r="CK64" s="811" t="s">
        <v>240</v>
      </c>
      <c r="CL64" s="811"/>
      <c r="CM64" s="811"/>
      <c r="CN64" s="811"/>
      <c r="CO64" s="822">
        <f>BU55</f>
        <v>0</v>
      </c>
      <c r="CP64" s="812"/>
      <c r="CQ64" s="812"/>
      <c r="CR64" s="812"/>
      <c r="CS64" s="813">
        <f>BY55/(BA26/12)</f>
        <v>0</v>
      </c>
      <c r="CT64" s="814"/>
      <c r="CU64" s="814"/>
      <c r="CV64" s="814"/>
      <c r="CW64" s="815"/>
      <c r="CZ64" s="802"/>
      <c r="DA64" s="811" t="s">
        <v>240</v>
      </c>
      <c r="DB64" s="811"/>
      <c r="DC64" s="811"/>
      <c r="DD64" s="811"/>
      <c r="DE64" s="823">
        <f>BU57</f>
        <v>0</v>
      </c>
      <c r="DF64" s="824"/>
      <c r="DG64" s="824"/>
      <c r="DH64" s="825"/>
      <c r="DI64" s="813">
        <f>BY57/(BM26/12)</f>
        <v>0</v>
      </c>
      <c r="DJ64" s="814"/>
      <c r="DK64" s="814"/>
      <c r="DL64" s="814"/>
      <c r="DM64" s="815"/>
      <c r="DO64" s="1"/>
      <c r="DP64" s="802"/>
      <c r="DQ64" s="811" t="s">
        <v>240</v>
      </c>
      <c r="DR64" s="811"/>
      <c r="DS64" s="811"/>
      <c r="DT64" s="811"/>
      <c r="DU64" s="823">
        <f>BU59</f>
        <v>0</v>
      </c>
      <c r="DV64" s="824"/>
      <c r="DW64" s="824"/>
      <c r="DX64" s="825"/>
      <c r="DY64" s="813">
        <f>BY59/(BY26/12)</f>
        <v>0</v>
      </c>
      <c r="DZ64" s="814"/>
      <c r="EA64" s="814"/>
      <c r="EB64" s="814"/>
      <c r="EC64" s="815"/>
      <c r="FH64" s="605" t="s">
        <v>174</v>
      </c>
      <c r="FI64" s="5">
        <f>IF(BA48="만 26세 이상",VLOOKUP(DR39,'보험료(공제)'!$D$4:$E$7,2,0),VLOOKUP(DR39,'보험료(공제)'!$D$4:$F$7,3,0))</f>
        <v>306070</v>
      </c>
      <c r="FJ64" s="328">
        <f>FI64</f>
        <v>306070</v>
      </c>
      <c r="FL64" s="605" t="s">
        <v>174</v>
      </c>
      <c r="FM64" s="5">
        <f>IF(BA48="만 26세 이상",VLOOKUP(DR39,'보험료(공제)'!$N$4:$O$7,2,0),VLOOKUP(DR39,'보험료(공제)'!$N$4:$P$7,3,0))</f>
        <v>303460</v>
      </c>
      <c r="FN64" s="328">
        <f>FM64</f>
        <v>303460</v>
      </c>
    </row>
    <row r="65" ht="18" customHeight="1" spans="46:170" x14ac:dyDescent="0.25">
      <c r="AT65" s="801"/>
      <c r="AU65" s="801"/>
      <c r="AV65" s="801"/>
      <c r="AW65" s="826" t="s">
        <v>241</v>
      </c>
      <c r="AX65" s="826"/>
      <c r="AY65" s="826"/>
      <c r="AZ65" s="826"/>
      <c r="BA65" s="388">
        <v>0</v>
      </c>
      <c r="BB65" s="380"/>
      <c r="BC65" s="380"/>
      <c r="BD65" s="380"/>
      <c r="BE65" s="388">
        <v>0</v>
      </c>
      <c r="BF65" s="388"/>
      <c r="BG65" s="388"/>
      <c r="BH65" s="388"/>
      <c r="BI65" s="388"/>
      <c r="BJ65" s="388">
        <v>0</v>
      </c>
      <c r="BK65" s="388"/>
      <c r="BL65" s="388"/>
      <c r="BM65" s="388"/>
      <c r="BN65" s="388"/>
      <c r="BS65" s="827"/>
      <c r="BT65" s="332"/>
      <c r="BU65" s="332"/>
      <c r="BV65" s="332"/>
      <c r="BW65" s="332"/>
      <c r="BX65" s="332"/>
      <c r="BY65" s="332"/>
      <c r="BZ65" s="332"/>
      <c r="CA65" s="332"/>
      <c r="CJ65" s="802"/>
      <c r="CK65" s="828" t="s">
        <v>242</v>
      </c>
      <c r="CL65" s="829"/>
      <c r="CM65" s="829"/>
      <c r="CN65" s="830"/>
      <c r="CO65" s="816"/>
      <c r="CP65" s="817"/>
      <c r="CQ65" s="817"/>
      <c r="CR65" s="818"/>
      <c r="CS65" s="813"/>
      <c r="CT65" s="814"/>
      <c r="CU65" s="814"/>
      <c r="CV65" s="814"/>
      <c r="CW65" s="815"/>
      <c r="CZ65" s="802"/>
      <c r="DA65" s="828" t="s">
        <v>242</v>
      </c>
      <c r="DB65" s="829"/>
      <c r="DC65" s="829"/>
      <c r="DD65" s="830"/>
      <c r="DE65" s="816"/>
      <c r="DF65" s="817"/>
      <c r="DG65" s="817"/>
      <c r="DH65" s="818"/>
      <c r="DI65" s="813"/>
      <c r="DJ65" s="814"/>
      <c r="DK65" s="814"/>
      <c r="DL65" s="814"/>
      <c r="DM65" s="815"/>
      <c r="DO65" s="1"/>
      <c r="DP65" s="802"/>
      <c r="DQ65" s="828" t="s">
        <v>242</v>
      </c>
      <c r="DR65" s="829"/>
      <c r="DS65" s="829"/>
      <c r="DT65" s="830"/>
      <c r="DU65" s="816"/>
      <c r="DV65" s="817"/>
      <c r="DW65" s="817"/>
      <c r="DX65" s="818"/>
      <c r="DY65" s="813"/>
      <c r="DZ65" s="814"/>
      <c r="EA65" s="814"/>
      <c r="EB65" s="814"/>
      <c r="EC65" s="815"/>
      <c r="FH65" s="299" t="s">
        <v>97</v>
      </c>
      <c r="FI65" s="5">
        <f>IF(BA48="만 26세 이상",VLOOKUP(DR39,'보험료(공제)'!$D$11:$H$13,VLOOKUP(BK48,'보험료(공제)'!$J$11:$K$14,2,0),0),VLOOKUP(DR39,'보험료(공제)'!$D$17:$H$19,VLOOKUP(BK48,'보험료(공제)'!$J$11:$K$14,2,0),0))</f>
        <v>206150</v>
      </c>
      <c r="FJ65" s="328">
        <f>FI65</f>
        <v>206150</v>
      </c>
      <c r="FL65" s="299" t="s">
        <v>97</v>
      </c>
      <c r="FM65" s="5">
        <f>IF(BA48="만 26세 이상",VLOOKUP(DR39,'보험료(공제)'!$N$11:$R$13,VLOOKUP(BK48,'보험료(공제)'!$T$11:$U$14,2,0),0),VLOOKUP(DR39,'보험료(공제)'!$N$17:$R$19,VLOOKUP(BK48,'보험료(공제)'!$J$11:$K$14,2,0),0))</f>
        <v>204390</v>
      </c>
      <c r="FN65" s="328">
        <f>FM65</f>
        <v>204390</v>
      </c>
    </row>
    <row r="66" ht="18" customHeight="1" spans="46:170" x14ac:dyDescent="0.25">
      <c r="AT66" s="801"/>
      <c r="AU66" s="801"/>
      <c r="AV66" s="801"/>
      <c r="AW66" s="831"/>
      <c r="AX66" s="831"/>
      <c r="AY66" s="831"/>
      <c r="AZ66" s="831"/>
      <c r="BA66" s="832"/>
      <c r="BB66" s="833"/>
      <c r="BC66" s="833"/>
      <c r="BD66" s="833"/>
      <c r="BE66" s="832"/>
      <c r="BF66" s="833"/>
      <c r="BG66" s="833"/>
      <c r="BH66" s="833"/>
      <c r="BI66" s="833"/>
      <c r="BJ66" s="832"/>
      <c r="BK66" s="833"/>
      <c r="BL66" s="833"/>
      <c r="BM66" s="833"/>
      <c r="BN66" s="833"/>
      <c r="BO66" s="2"/>
      <c r="BP66" s="2"/>
      <c r="BQ66" s="2"/>
      <c r="BR66" s="2"/>
      <c r="BS66" s="827"/>
      <c r="BT66" s="332"/>
      <c r="BU66" s="332"/>
      <c r="BV66" s="332"/>
      <c r="BW66" s="332"/>
      <c r="BX66" s="332"/>
      <c r="BY66" s="332"/>
      <c r="BZ66" s="332"/>
      <c r="CA66" s="332"/>
      <c r="CJ66" s="802"/>
      <c r="CK66" s="834" t="s">
        <v>243</v>
      </c>
      <c r="CL66" s="834"/>
      <c r="CM66" s="834"/>
      <c r="CN66" s="834"/>
      <c r="CO66" s="822"/>
      <c r="CP66" s="822"/>
      <c r="CQ66" s="822"/>
      <c r="CR66" s="822"/>
      <c r="CS66" s="835"/>
      <c r="CT66" s="836"/>
      <c r="CU66" s="836"/>
      <c r="CV66" s="836"/>
      <c r="CW66" s="837"/>
      <c r="CZ66" s="802"/>
      <c r="DA66" s="834" t="s">
        <v>243</v>
      </c>
      <c r="DB66" s="834"/>
      <c r="DC66" s="834"/>
      <c r="DD66" s="834"/>
      <c r="DE66" s="822"/>
      <c r="DF66" s="822"/>
      <c r="DG66" s="822"/>
      <c r="DH66" s="822"/>
      <c r="DI66" s="835"/>
      <c r="DJ66" s="836"/>
      <c r="DK66" s="836"/>
      <c r="DL66" s="836"/>
      <c r="DM66" s="837"/>
      <c r="DO66" s="1"/>
      <c r="DP66" s="802"/>
      <c r="DQ66" s="834" t="s">
        <v>243</v>
      </c>
      <c r="DR66" s="834"/>
      <c r="DS66" s="834"/>
      <c r="DT66" s="834"/>
      <c r="DU66" s="822"/>
      <c r="DV66" s="822"/>
      <c r="DW66" s="822"/>
      <c r="DX66" s="822"/>
      <c r="DY66" s="835"/>
      <c r="DZ66" s="836"/>
      <c r="EA66" s="836"/>
      <c r="EB66" s="836"/>
      <c r="EC66" s="837"/>
      <c r="FH66" s="299" t="s">
        <v>186</v>
      </c>
      <c r="FI66" s="5">
        <f>IF(BA48="만 26세 이상",VLOOKUP(DR39,'보험료(공제)'!$D$24:$G$26,VLOOKUP(BR48,'보험료(공제)'!$J$23:$K$25,2,0),0),VLOOKUP(DR39,'보험료(공제)'!$D$30:$G$32,VLOOKUP(BR48,'보험료(공제)'!$J$23:$K$25,2,0),0))</f>
        <v>8880</v>
      </c>
      <c r="FJ66" s="328" t="e">
        <f>IF(BA48="만 26세 이상",VLOOKUP(DR39,'보험료(공제)'!$C$52:$E$54,VLOOKUP(BR48,'보험료(공제)'!$G$52:$H$53,2,0),0),VLOOKUP(DR39,'보험료(공제)'!$C$57:$E$59,VLOOKUP(BR48,'보험료(공제)'!$G$52:$H$53,2,0),0))</f>
        <v>#N/A</v>
      </c>
      <c r="FL66" s="299" t="s">
        <v>186</v>
      </c>
      <c r="FM66" s="5">
        <f>IF(BA48="만 26세 이상",VLOOKUP(DR39,'보험료(공제)'!$N$24:$Q$26,VLOOKUP(BR48,'보험료(공제)'!$T$23:$U$25,2,0),0),VLOOKUP(DR39,'보험료(공제)'!$N$30:$Q$32,VLOOKUP(BR48,'보험료(공제)'!$T$23:$U$25,2,0),0))</f>
        <v>8780</v>
      </c>
      <c r="FN66" s="328" t="e">
        <f>IF(BA48="만 26세 이상",VLOOKUP(DR39,'보험료(공제)'!$M$52:$O$54,VLOOKUP(BR48,'보험료(공제)'!$Q$52:$R$53,2,0),0),VLOOKUP(DR39,'보험료(공제)'!$M$57:$O$59,VLOOKUP(BR48,'보험료(공제)'!$Q$52:$R$53,2,0),0))</f>
        <v>#N/A</v>
      </c>
    </row>
    <row r="67" ht="18" customHeight="1" spans="46:170" x14ac:dyDescent="0.25">
      <c r="AT67" s="801"/>
      <c r="AU67" s="801"/>
      <c r="AV67" s="801"/>
      <c r="AW67" s="801"/>
      <c r="AY67" s="838"/>
      <c r="AZ67" s="801"/>
      <c r="BA67" s="801"/>
      <c r="BB67" s="801"/>
      <c r="BD67" s="801"/>
      <c r="BE67" s="801"/>
      <c r="BF67" s="801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827"/>
      <c r="BT67" s="332"/>
      <c r="BU67" s="332"/>
      <c r="BV67" s="332"/>
      <c r="BW67" s="332"/>
      <c r="BX67" s="332"/>
      <c r="BY67" s="332"/>
      <c r="BZ67" s="332"/>
      <c r="CA67" s="332"/>
      <c r="CJ67" s="802"/>
      <c r="CK67" s="839" t="s">
        <v>244</v>
      </c>
      <c r="CL67" s="840"/>
      <c r="CM67" s="840"/>
      <c r="CN67" s="841"/>
      <c r="CO67" s="842"/>
      <c r="CP67" s="843"/>
      <c r="CQ67" s="843"/>
      <c r="CR67" s="844"/>
      <c r="CS67" s="835"/>
      <c r="CT67" s="836"/>
      <c r="CU67" s="836"/>
      <c r="CV67" s="836"/>
      <c r="CW67" s="837"/>
      <c r="CZ67" s="802"/>
      <c r="DA67" s="839" t="s">
        <v>244</v>
      </c>
      <c r="DB67" s="840"/>
      <c r="DC67" s="840"/>
      <c r="DD67" s="841"/>
      <c r="DE67" s="842"/>
      <c r="DF67" s="843"/>
      <c r="DG67" s="843"/>
      <c r="DH67" s="844"/>
      <c r="DI67" s="835"/>
      <c r="DJ67" s="836"/>
      <c r="DK67" s="836"/>
      <c r="DL67" s="836"/>
      <c r="DM67" s="837"/>
      <c r="DO67" s="1"/>
      <c r="DP67" s="802"/>
      <c r="DQ67" s="839" t="s">
        <v>244</v>
      </c>
      <c r="DR67" s="840"/>
      <c r="DS67" s="840"/>
      <c r="DT67" s="841"/>
      <c r="DU67" s="842"/>
      <c r="DV67" s="843"/>
      <c r="DW67" s="843"/>
      <c r="DX67" s="844"/>
      <c r="DY67" s="835"/>
      <c r="DZ67" s="836"/>
      <c r="EA67" s="836"/>
      <c r="EB67" s="836"/>
      <c r="EC67" s="837"/>
      <c r="FH67" s="299" t="s">
        <v>190</v>
      </c>
      <c r="FI67" s="5">
        <f>IF(BA48="만 26세 이상",VLOOKUP(DR39,'보험료(공제)'!$D$38:$E$40,2,0),VLOOKUP(DR39,'보험료(공제)'!$D$38:$F$40,3,0))</f>
        <v>21160</v>
      </c>
      <c r="FJ67" s="328">
        <f>FI67</f>
        <v>21160</v>
      </c>
      <c r="FL67" s="299" t="s">
        <v>190</v>
      </c>
      <c r="FM67" s="5">
        <f>IF(BA48="만 26세 이상",VLOOKUP(DR39,'보험료(공제)'!$N$38:$O$40,2,0),VLOOKUP(DR39,'보험료(공제)'!$N$38:$P$40,3,0))</f>
        <v>20980</v>
      </c>
      <c r="FN67" s="328">
        <f>FM67</f>
        <v>20980</v>
      </c>
    </row>
    <row r="68" ht="17.5" customHeight="1" spans="46:170" x14ac:dyDescent="0.25">
      <c r="AT68" s="801"/>
      <c r="AU68" s="801"/>
      <c r="AV68" s="801"/>
      <c r="AW68" s="801"/>
      <c r="AY68" s="801"/>
      <c r="AZ68" s="801"/>
      <c r="BA68" s="801"/>
      <c r="BB68" s="801"/>
      <c r="BD68" s="801"/>
      <c r="BE68" s="801"/>
      <c r="BF68" s="801"/>
      <c r="BW68" s="827"/>
      <c r="BX68" s="827"/>
      <c r="BY68" s="827"/>
      <c r="BZ68" s="827"/>
      <c r="CA68" s="827"/>
      <c r="CJ68" s="845"/>
      <c r="CK68" s="846"/>
      <c r="CL68" s="846"/>
      <c r="CM68" s="846"/>
      <c r="CN68" s="846"/>
      <c r="CO68" s="847"/>
      <c r="CP68" s="847"/>
      <c r="CQ68" s="847"/>
      <c r="CR68" s="847"/>
      <c r="CS68" s="848"/>
      <c r="CT68" s="849"/>
      <c r="CU68" s="849"/>
      <c r="CV68" s="849"/>
      <c r="CW68" s="850"/>
      <c r="CZ68" s="845"/>
      <c r="DA68" s="846"/>
      <c r="DB68" s="846"/>
      <c r="DC68" s="846"/>
      <c r="DD68" s="846"/>
      <c r="DE68" s="847"/>
      <c r="DF68" s="847"/>
      <c r="DG68" s="847"/>
      <c r="DH68" s="847"/>
      <c r="DI68" s="848"/>
      <c r="DJ68" s="849"/>
      <c r="DK68" s="849"/>
      <c r="DL68" s="849"/>
      <c r="DM68" s="850"/>
      <c r="DO68" s="1"/>
      <c r="DP68" s="845"/>
      <c r="DQ68" s="846"/>
      <c r="DR68" s="846"/>
      <c r="DS68" s="846"/>
      <c r="DT68" s="846"/>
      <c r="DU68" s="851"/>
      <c r="DV68" s="852"/>
      <c r="DW68" s="852"/>
      <c r="DX68" s="853"/>
      <c r="DY68" s="848"/>
      <c r="DZ68" s="849"/>
      <c r="EA68" s="849"/>
      <c r="EB68" s="849"/>
      <c r="EC68" s="850"/>
      <c r="FH68" s="299" t="s">
        <v>101</v>
      </c>
      <c r="FI68" s="5">
        <v>15560</v>
      </c>
      <c r="FJ68" s="328">
        <f>FI68</f>
        <v>15560</v>
      </c>
      <c r="FL68" s="299" t="s">
        <v>101</v>
      </c>
      <c r="FM68" s="5">
        <v>15560</v>
      </c>
      <c r="FN68" s="328">
        <f>FM68</f>
        <v>15560</v>
      </c>
    </row>
    <row r="69" spans="46:170" x14ac:dyDescent="0.25">
      <c r="AT69" s="801"/>
      <c r="AU69" s="801"/>
      <c r="AV69" s="801"/>
      <c r="AW69" s="801"/>
      <c r="AY69" s="801"/>
      <c r="AZ69" s="801"/>
      <c r="BA69" s="801"/>
      <c r="BB69" s="801"/>
      <c r="BD69" s="801"/>
      <c r="BE69" s="801"/>
      <c r="BF69" s="801"/>
      <c r="BW69" s="827"/>
      <c r="BX69" s="827"/>
      <c r="BY69" s="827"/>
      <c r="BZ69" s="827"/>
      <c r="CA69" s="827"/>
      <c r="DM69" s="5"/>
      <c r="EB69" s="1"/>
      <c r="EC69" s="1"/>
      <c r="FH69" s="651" t="s">
        <v>196</v>
      </c>
      <c r="FI69" s="5">
        <v>15000</v>
      </c>
      <c r="FJ69" s="328">
        <f>FI69</f>
        <v>15000</v>
      </c>
      <c r="FL69" s="651" t="s">
        <v>196</v>
      </c>
      <c r="FM69" s="5">
        <v>15000</v>
      </c>
      <c r="FN69" s="328">
        <f>FM69</f>
        <v>15000</v>
      </c>
    </row>
    <row r="70" spans="46:170" x14ac:dyDescent="0.25">
      <c r="AT70" s="801"/>
      <c r="AU70" s="801"/>
      <c r="AV70" s="801"/>
      <c r="AW70" s="801"/>
      <c r="AX70" s="801"/>
      <c r="AY70" s="801"/>
      <c r="AZ70" s="801"/>
      <c r="BA70" s="801"/>
      <c r="BW70" s="827"/>
      <c r="BX70" s="827"/>
      <c r="BY70" s="827"/>
      <c r="BZ70" s="827"/>
      <c r="CA70" s="827"/>
      <c r="CJ70" s="854" t="s">
        <v>245</v>
      </c>
      <c r="CK70" s="854"/>
      <c r="CL70" s="854"/>
      <c r="CM70" s="854"/>
      <c r="CN70" s="854"/>
      <c r="CO70" s="798">
        <f>+CR34*CO72*BA26/12</f>
        <v>4668553.965877081</v>
      </c>
      <c r="CP70" s="796"/>
      <c r="CQ70" s="796"/>
      <c r="CR70" s="797"/>
      <c r="CS70" s="798">
        <f>ROUNDUP(CO70/BA26*12,-3)</f>
        <v>934000</v>
      </c>
      <c r="CT70" s="796"/>
      <c r="CU70" s="796"/>
      <c r="CV70" s="796"/>
      <c r="CW70" s="797"/>
      <c r="CZ70" s="854" t="s">
        <v>245</v>
      </c>
      <c r="DA70" s="854"/>
      <c r="DB70" s="854"/>
      <c r="DC70" s="854"/>
      <c r="DD70" s="854"/>
      <c r="DE70" s="798">
        <f>+DH34*DE72*BM26/12</f>
        <v>3734843.1727016657</v>
      </c>
      <c r="DF70" s="796"/>
      <c r="DG70" s="796"/>
      <c r="DH70" s="797"/>
      <c r="DI70" s="798">
        <f>ROUNDUP(DE70/BM26*12,-3)</f>
        <v>934000</v>
      </c>
      <c r="DJ70" s="796"/>
      <c r="DK70" s="796"/>
      <c r="DL70" s="796"/>
      <c r="DM70" s="797"/>
      <c r="DP70" s="854" t="s">
        <v>245</v>
      </c>
      <c r="DQ70" s="854"/>
      <c r="DR70" s="854"/>
      <c r="DS70" s="854"/>
      <c r="DT70" s="854"/>
      <c r="DU70" s="798">
        <f>+DX34*DU72*BY26/12</f>
        <v>3734843.1727016657</v>
      </c>
      <c r="DV70" s="796"/>
      <c r="DW70" s="796"/>
      <c r="DX70" s="797"/>
      <c r="DY70" s="798">
        <f>ROUNDUP(DU70/BY26*12,-3)</f>
        <v>934000</v>
      </c>
      <c r="DZ70" s="796"/>
      <c r="EA70" s="796"/>
      <c r="EB70" s="796"/>
      <c r="EC70" s="797"/>
      <c r="FH70" s="357" t="s">
        <v>162</v>
      </c>
      <c r="FI70" s="666">
        <f>SUM(FI64:FI69)</f>
        <v>572820</v>
      </c>
      <c r="FJ70" s="667" t="e">
        <f>SUM(FJ64:FJ69)</f>
        <v>#N/A</v>
      </c>
      <c r="FL70" s="357" t="s">
        <v>162</v>
      </c>
      <c r="FM70" s="666">
        <f>SUM(FM64:FM69)</f>
        <v>568170</v>
      </c>
      <c r="FN70" s="667" t="e">
        <f>SUM(FN64:FN69)</f>
        <v>#N/A</v>
      </c>
    </row>
    <row r="71" spans="46:133" x14ac:dyDescent="0.25">
      <c r="AT71" s="801"/>
      <c r="AU71" s="801"/>
      <c r="AV71" s="801"/>
      <c r="AW71" s="801"/>
      <c r="BW71" s="332"/>
      <c r="BX71" s="332"/>
      <c r="BY71" s="332"/>
      <c r="BZ71" s="332"/>
      <c r="CA71" s="332"/>
      <c r="CZ71" s="3"/>
      <c r="DP71" s="3"/>
      <c r="EB71" s="1"/>
      <c r="EC71" s="1"/>
    </row>
    <row r="72" spans="48:125" x14ac:dyDescent="0.25">
      <c r="AV72" s="801"/>
      <c r="AW72" s="801"/>
      <c r="AX72" s="801"/>
      <c r="BX72" s="855"/>
      <c r="BY72" s="332"/>
      <c r="BZ72" s="332"/>
      <c r="CA72" s="332"/>
      <c r="CL72" s="3" t="s">
        <v>246</v>
      </c>
      <c r="CO72" s="856">
        <v>0.05</v>
      </c>
      <c r="DB72" s="3" t="s">
        <v>246</v>
      </c>
      <c r="DE72" s="856">
        <f>CO72</f>
        <v>0.05</v>
      </c>
      <c r="DP72" s="3"/>
      <c r="DR72" s="3" t="s">
        <v>246</v>
      </c>
      <c r="DU72" s="856">
        <f>CO72</f>
        <v>0.05</v>
      </c>
    </row>
    <row r="73" spans="48:165" x14ac:dyDescent="0.25">
      <c r="AV73" s="801"/>
      <c r="AW73" s="801"/>
      <c r="BX73" s="855"/>
      <c r="BY73" s="332"/>
      <c r="BZ73" s="332"/>
      <c r="CA73" s="332"/>
      <c r="CL73" s="3" t="s">
        <v>245</v>
      </c>
      <c r="CO73" s="856">
        <v>0.05</v>
      </c>
      <c r="DB73" s="3" t="s">
        <v>245</v>
      </c>
      <c r="DE73" s="856">
        <f>CO73</f>
        <v>0.05</v>
      </c>
      <c r="DR73" s="3" t="s">
        <v>245</v>
      </c>
      <c r="DU73" s="856">
        <f>CO73</f>
        <v>0.05</v>
      </c>
      <c r="FH73" s="857" t="s">
        <v>247</v>
      </c>
      <c r="FI73" s="327">
        <v>2</v>
      </c>
    </row>
    <row r="74" spans="45:165" x14ac:dyDescent="0.25">
      <c r="AS74" s="858"/>
      <c r="CJ74" s="5"/>
      <c r="CK74" s="1"/>
      <c r="CL74" s="1" t="s">
        <v>248</v>
      </c>
      <c r="CM74" s="1"/>
      <c r="CN74" s="1"/>
      <c r="CO74" s="859">
        <v>0.05</v>
      </c>
      <c r="CP74" s="1"/>
      <c r="CQ74" s="1"/>
      <c r="DB74" s="1" t="s">
        <v>248</v>
      </c>
      <c r="DC74" s="1"/>
      <c r="DD74" s="1"/>
      <c r="DE74" s="859">
        <f>CO74</f>
        <v>0.05</v>
      </c>
      <c r="DR74" s="1" t="s">
        <v>248</v>
      </c>
      <c r="DS74" s="1"/>
      <c r="DT74" s="1"/>
      <c r="DU74" s="859">
        <f>CO74</f>
        <v>0.05</v>
      </c>
      <c r="FH74" s="448" t="s">
        <v>249</v>
      </c>
      <c r="FI74" s="341">
        <v>3</v>
      </c>
    </row>
    <row r="75" spans="45:165" x14ac:dyDescent="0.25">
      <c r="AS75" s="858"/>
      <c r="CN75" s="712"/>
      <c r="CO75" s="712"/>
      <c r="CP75" s="712"/>
      <c r="CQ75" s="712"/>
      <c r="CR75" s="712"/>
      <c r="FH75" s="448" t="s">
        <v>250</v>
      </c>
      <c r="FI75" s="341">
        <v>4</v>
      </c>
    </row>
    <row r="76" spans="45:165" x14ac:dyDescent="0.25">
      <c r="AS76" s="858"/>
      <c r="CL76" s="3" t="s">
        <v>251</v>
      </c>
      <c r="CN76" s="712"/>
      <c r="CO76" s="860">
        <v>0.05</v>
      </c>
      <c r="CP76" s="712"/>
      <c r="CQ76" s="712"/>
      <c r="CR76" s="712"/>
      <c r="FH76" s="448"/>
      <c r="FI76" s="341"/>
    </row>
    <row r="77" spans="45:165" x14ac:dyDescent="0.25">
      <c r="AS77" s="858"/>
      <c r="CN77" s="712"/>
      <c r="CO77" s="861"/>
      <c r="CP77" s="712"/>
      <c r="CQ77" s="712"/>
      <c r="CR77" s="712"/>
      <c r="FH77" s="448"/>
      <c r="FI77" s="341"/>
    </row>
    <row r="78" spans="45:165" x14ac:dyDescent="0.25">
      <c r="AS78" s="858"/>
      <c r="CL78" s="395">
        <f>CV42</f>
        <v>0.36</v>
      </c>
      <c r="CM78" s="607"/>
      <c r="CN78" s="389">
        <f>CL78*BA17</f>
        <v>7419600</v>
      </c>
      <c r="CO78" s="442"/>
      <c r="CP78" s="442"/>
      <c r="CQ78" s="442"/>
      <c r="FH78" s="448" t="s">
        <v>252</v>
      </c>
      <c r="FI78" s="341">
        <v>5</v>
      </c>
    </row>
    <row r="79" spans="45:165" x14ac:dyDescent="0.25">
      <c r="AS79" s="858"/>
      <c r="FH79" s="448" t="s">
        <v>253</v>
      </c>
      <c r="FI79" s="341">
        <v>6</v>
      </c>
    </row>
    <row r="80" spans="45:165" x14ac:dyDescent="0.25">
      <c r="AS80" s="858"/>
      <c r="CL80" s="395">
        <f>DL42</f>
        <v>0.52</v>
      </c>
      <c r="CM80" s="607"/>
      <c r="CN80" s="389">
        <f>IF(BP8="Y",CL80*BM17,CL80*BA17)</f>
        <v>10717200</v>
      </c>
      <c r="CO80" s="442"/>
      <c r="CP80" s="442"/>
      <c r="CQ80" s="442"/>
      <c r="FH80" s="448" t="s">
        <v>254</v>
      </c>
      <c r="FI80" s="341">
        <v>7</v>
      </c>
    </row>
    <row r="81" spans="45:165" x14ac:dyDescent="0.25">
      <c r="AS81" s="858"/>
      <c r="FH81" s="448" t="s">
        <v>255</v>
      </c>
      <c r="FI81" s="341">
        <v>8</v>
      </c>
    </row>
    <row r="82" spans="45:165" x14ac:dyDescent="0.25">
      <c r="AS82" s="858"/>
      <c r="CL82" s="395">
        <f>EB42</f>
        <v>0.52</v>
      </c>
      <c r="CM82" s="607"/>
      <c r="CN82" s="389">
        <f>IF(CB8="Y",CL82*BY17,CL82*BA17)</f>
        <v>10717200</v>
      </c>
      <c r="CO82" s="442"/>
      <c r="CP82" s="442"/>
      <c r="CQ82" s="442"/>
      <c r="FH82" s="448" t="s">
        <v>256</v>
      </c>
      <c r="FI82" s="341">
        <v>9</v>
      </c>
    </row>
    <row r="83" spans="45:165" x14ac:dyDescent="0.25">
      <c r="AS83" s="858"/>
      <c r="FH83" s="448" t="s">
        <v>257</v>
      </c>
      <c r="FI83" s="341">
        <v>10</v>
      </c>
    </row>
    <row r="84" spans="45:165" x14ac:dyDescent="0.25">
      <c r="AS84" s="858"/>
      <c r="FH84" s="492" t="s">
        <v>258</v>
      </c>
      <c r="FI84" s="358">
        <v>11</v>
      </c>
    </row>
    <row r="85" spans="45:45" x14ac:dyDescent="0.25">
      <c r="AS85" s="858"/>
    </row>
    <row r="86" spans="45:45" x14ac:dyDescent="0.25">
      <c r="AS86" s="858"/>
    </row>
    <row r="87" spans="45:45" x14ac:dyDescent="0.25">
      <c r="AS87" s="858"/>
    </row>
    <row r="88" spans="45:45" x14ac:dyDescent="0.25">
      <c r="AS88" s="858"/>
    </row>
    <row r="89" spans="45:45" x14ac:dyDescent="0.25">
      <c r="AS89" s="858"/>
    </row>
    <row r="90" spans="45:45" x14ac:dyDescent="0.25">
      <c r="AS90" s="858"/>
    </row>
    <row r="91" spans="45:45" x14ac:dyDescent="0.25">
      <c r="AS91" s="858"/>
    </row>
    <row r="92" spans="45:45" x14ac:dyDescent="0.25">
      <c r="AS92" s="858"/>
    </row>
    <row r="93" spans="45:45" x14ac:dyDescent="0.25">
      <c r="AS93" s="858"/>
    </row>
    <row r="94" spans="45:45" x14ac:dyDescent="0.25">
      <c r="AS94" s="858"/>
    </row>
    <row r="95" spans="45:45" x14ac:dyDescent="0.25">
      <c r="AS95" s="858"/>
    </row>
    <row r="96" spans="45:45" x14ac:dyDescent="0.25">
      <c r="AS96" s="858"/>
    </row>
    <row r="97" spans="45:45" x14ac:dyDescent="0.25">
      <c r="AS97" s="858"/>
    </row>
    <row r="98" spans="45:45" x14ac:dyDescent="0.25">
      <c r="AS98" s="858"/>
    </row>
    <row r="99" spans="45:45" x14ac:dyDescent="0.25">
      <c r="AS99" s="858"/>
    </row>
    <row r="100" spans="45:45" x14ac:dyDescent="0.25">
      <c r="AS100" s="858"/>
    </row>
    <row r="101" spans="45:45" x14ac:dyDescent="0.25">
      <c r="AS101" s="858"/>
    </row>
    <row r="102" spans="45:45" x14ac:dyDescent="0.25">
      <c r="AS102" s="858"/>
    </row>
    <row r="103" spans="45:45" x14ac:dyDescent="0.25">
      <c r="AS103" s="858"/>
    </row>
    <row r="104" spans="45:45" x14ac:dyDescent="0.25">
      <c r="AS104" s="858"/>
    </row>
    <row r="105" spans="45:45" x14ac:dyDescent="0.25">
      <c r="AS105" s="858"/>
    </row>
    <row r="106" spans="45:45" x14ac:dyDescent="0.25">
      <c r="AS106" s="858"/>
    </row>
    <row r="107" spans="45:45" x14ac:dyDescent="0.25">
      <c r="AS107" s="858"/>
    </row>
    <row r="108" spans="45:45" x14ac:dyDescent="0.25">
      <c r="AS108" s="858"/>
    </row>
    <row r="109" spans="45:45" x14ac:dyDescent="0.25">
      <c r="AS109" s="858"/>
    </row>
    <row r="110" spans="45:45" x14ac:dyDescent="0.25">
      <c r="AS110" s="858"/>
    </row>
    <row r="111" spans="45:45" x14ac:dyDescent="0.25">
      <c r="AS111" s="858"/>
    </row>
    <row r="112" spans="45:45" x14ac:dyDescent="0.25">
      <c r="AS112" s="858"/>
    </row>
    <row r="113" spans="45:45" x14ac:dyDescent="0.25">
      <c r="AS113" s="858"/>
    </row>
    <row r="114" spans="45:45" x14ac:dyDescent="0.25">
      <c r="AS114" s="858"/>
    </row>
    <row r="115" spans="45:45" x14ac:dyDescent="0.25">
      <c r="AS115" s="858"/>
    </row>
    <row r="116" spans="45:45" x14ac:dyDescent="0.25">
      <c r="AS116" s="858"/>
    </row>
    <row r="117" spans="45:45" x14ac:dyDescent="0.25">
      <c r="AS117" s="858"/>
    </row>
    <row r="118" spans="45:45" x14ac:dyDescent="0.25">
      <c r="AS118" s="858"/>
    </row>
    <row r="119" spans="45:45" x14ac:dyDescent="0.25">
      <c r="AS119" s="858"/>
    </row>
    <row r="120" spans="45:45" x14ac:dyDescent="0.25">
      <c r="AS120" s="858"/>
    </row>
    <row r="121" spans="45:45" x14ac:dyDescent="0.25">
      <c r="AS121" s="858"/>
    </row>
    <row r="122" spans="45:45" x14ac:dyDescent="0.25">
      <c r="AS122" s="858"/>
    </row>
    <row r="123" spans="45:45" x14ac:dyDescent="0.25">
      <c r="AS123" s="858"/>
    </row>
    <row r="124" spans="45:45" x14ac:dyDescent="0.25">
      <c r="AS124" s="858"/>
    </row>
    <row r="125" spans="45:45" x14ac:dyDescent="0.25">
      <c r="AS125" s="858"/>
    </row>
    <row r="126" spans="45:45" x14ac:dyDescent="0.25">
      <c r="AS126" s="858"/>
    </row>
  </sheetData>
  <mergeCells count="963">
    <mergeCell ref="AX2:BE3"/>
    <mergeCell ref="BJ2:BQ3"/>
    <mergeCell ref="BV2:CC3"/>
    <mergeCell ref="CK3:CO3"/>
    <mergeCell ref="DA3:DE3"/>
    <mergeCell ref="DQ3:DU3"/>
    <mergeCell ref="B5:AQ6"/>
    <mergeCell ref="AX5:AZ5"/>
    <mergeCell ref="BA5:BB5"/>
    <mergeCell ref="BC5:BE5"/>
    <mergeCell ref="BJ5:BL5"/>
    <mergeCell ref="BM5:BN5"/>
    <mergeCell ref="BO5:BQ5"/>
    <mergeCell ref="BV5:BX5"/>
    <mergeCell ref="BY5:BZ5"/>
    <mergeCell ref="CA5:CC5"/>
    <mergeCell ref="CK5:CM5"/>
    <mergeCell ref="CN5:CQ5"/>
    <mergeCell ref="CR5:CW5"/>
    <mergeCell ref="DA5:DC5"/>
    <mergeCell ref="DD5:DG5"/>
    <mergeCell ref="DH5:DM5"/>
    <mergeCell ref="DQ5:DS5"/>
    <mergeCell ref="DT5:DW5"/>
    <mergeCell ref="DX5:EC5"/>
    <mergeCell ref="BA6:BB6"/>
    <mergeCell ref="BM6:BN6"/>
    <mergeCell ref="BY6:BZ6"/>
    <mergeCell ref="CN6:CQ6"/>
    <mergeCell ref="CR6:CW6"/>
    <mergeCell ref="DD6:DG6"/>
    <mergeCell ref="DH6:DM6"/>
    <mergeCell ref="DT6:DW6"/>
    <mergeCell ref="DX6:EC6"/>
    <mergeCell ref="CR7:CW7"/>
    <mergeCell ref="DH7:DM7"/>
    <mergeCell ref="DX7:EC7"/>
    <mergeCell ref="B8:F9"/>
    <mergeCell ref="G8:V9"/>
    <mergeCell ref="W8:AA9"/>
    <mergeCell ref="AB8:AG8"/>
    <mergeCell ref="AH8:AR8"/>
    <mergeCell ref="BM8:BO8"/>
    <mergeCell ref="BP8:BR8"/>
    <mergeCell ref="BY8:CA8"/>
    <mergeCell ref="CB8:CD8"/>
    <mergeCell ref="CN8:CQ8"/>
    <mergeCell ref="CR8:CS8"/>
    <mergeCell ref="CT8:CW8"/>
    <mergeCell ref="DD8:DG8"/>
    <mergeCell ref="DH8:DI8"/>
    <mergeCell ref="DJ8:DM8"/>
    <mergeCell ref="DT8:DW8"/>
    <mergeCell ref="DX8:DY8"/>
    <mergeCell ref="DZ8:EC8"/>
    <mergeCell ref="AB9:AG9"/>
    <mergeCell ref="AH9:AR9"/>
    <mergeCell ref="AW9:AZ9"/>
    <mergeCell ref="BA9:BF9"/>
    <mergeCell ref="BI9:BL9"/>
    <mergeCell ref="BM9:BR9"/>
    <mergeCell ref="BU9:BX9"/>
    <mergeCell ref="BY9:CD9"/>
    <mergeCell ref="CN9:CQ9"/>
    <mergeCell ref="CR9:CS9"/>
    <mergeCell ref="CT9:CW9"/>
    <mergeCell ref="DD9:DG9"/>
    <mergeCell ref="DH9:DI9"/>
    <mergeCell ref="DJ9:DM9"/>
    <mergeCell ref="DT9:DW9"/>
    <mergeCell ref="DX9:DY9"/>
    <mergeCell ref="DZ9:EC9"/>
    <mergeCell ref="AW10:AZ10"/>
    <mergeCell ref="BA10:BF10"/>
    <mergeCell ref="BI10:BL10"/>
    <mergeCell ref="BM10:BR10"/>
    <mergeCell ref="BU10:BX10"/>
    <mergeCell ref="BY10:CD10"/>
    <mergeCell ref="CN10:CQ10"/>
    <mergeCell ref="CR10:CW10"/>
    <mergeCell ref="DD10:DG10"/>
    <mergeCell ref="DH10:DM10"/>
    <mergeCell ref="DT10:DW10"/>
    <mergeCell ref="DX10:EC10"/>
    <mergeCell ref="AW11:AZ11"/>
    <mergeCell ref="BA11:BF11"/>
    <mergeCell ref="BI11:BL11"/>
    <mergeCell ref="BM11:BR11"/>
    <mergeCell ref="BU11:BX11"/>
    <mergeCell ref="BY11:CD11"/>
    <mergeCell ref="CN11:CQ11"/>
    <mergeCell ref="CR11:CW11"/>
    <mergeCell ref="DD11:DG11"/>
    <mergeCell ref="DH11:DM11"/>
    <mergeCell ref="DT11:DW11"/>
    <mergeCell ref="DX11:EC11"/>
    <mergeCell ref="AK12:AR12"/>
    <mergeCell ref="AW12:AZ12"/>
    <mergeCell ref="BA12:BF12"/>
    <mergeCell ref="BI12:BL12"/>
    <mergeCell ref="BM12:BR12"/>
    <mergeCell ref="BU12:BX12"/>
    <mergeCell ref="BY12:CD12"/>
    <mergeCell ref="CK12:CM12"/>
    <mergeCell ref="CN12:CQ12"/>
    <mergeCell ref="CR12:CW12"/>
    <mergeCell ref="DA12:DC12"/>
    <mergeCell ref="DD12:DG12"/>
    <mergeCell ref="DH12:DM12"/>
    <mergeCell ref="DQ12:DS12"/>
    <mergeCell ref="DT12:DW12"/>
    <mergeCell ref="DX12:EC12"/>
    <mergeCell ref="B13:K13"/>
    <mergeCell ref="L13:Q13"/>
    <mergeCell ref="R13:V13"/>
    <mergeCell ref="W13:AA13"/>
    <mergeCell ref="AB13:AF13"/>
    <mergeCell ref="AG13:AK13"/>
    <mergeCell ref="AL13:AR13"/>
    <mergeCell ref="AW13:AX13"/>
    <mergeCell ref="AY13:BA13"/>
    <mergeCell ref="BB13:BC13"/>
    <mergeCell ref="BD13:BF13"/>
    <mergeCell ref="BI13:BJ13"/>
    <mergeCell ref="BK13:BM13"/>
    <mergeCell ref="BN13:BO13"/>
    <mergeCell ref="BP13:BR13"/>
    <mergeCell ref="BU13:BV13"/>
    <mergeCell ref="BW13:BY13"/>
    <mergeCell ref="BZ13:CA13"/>
    <mergeCell ref="CB13:CD13"/>
    <mergeCell ref="CK13:CQ13"/>
    <mergeCell ref="CR13:CW13"/>
    <mergeCell ref="DA13:DG13"/>
    <mergeCell ref="DH13:DM13"/>
    <mergeCell ref="DQ13:DW13"/>
    <mergeCell ref="DX13:EC13"/>
    <mergeCell ref="B14:K14"/>
    <mergeCell ref="L14:Q14"/>
    <mergeCell ref="R14:V14"/>
    <mergeCell ref="W14:AA15"/>
    <mergeCell ref="AB14:AF14"/>
    <mergeCell ref="AG14:AK15"/>
    <mergeCell ref="AL14:AR15"/>
    <mergeCell ref="AW14:AX14"/>
    <mergeCell ref="AY14:BA14"/>
    <mergeCell ref="BB14:BC14"/>
    <mergeCell ref="BD14:BF14"/>
    <mergeCell ref="BI14:BJ14"/>
    <mergeCell ref="BK14:BM14"/>
    <mergeCell ref="BN14:BO14"/>
    <mergeCell ref="BP14:BR14"/>
    <mergeCell ref="BU14:BV14"/>
    <mergeCell ref="BW14:BY14"/>
    <mergeCell ref="BZ14:CA14"/>
    <mergeCell ref="CB14:CD14"/>
    <mergeCell ref="CK14:CQ14"/>
    <mergeCell ref="CR14:CW14"/>
    <mergeCell ref="DA14:DG14"/>
    <mergeCell ref="DH14:DM14"/>
    <mergeCell ref="DQ14:DW14"/>
    <mergeCell ref="DX14:EC14"/>
    <mergeCell ref="B15:H15"/>
    <mergeCell ref="I15:K15"/>
    <mergeCell ref="L15:Q15"/>
    <mergeCell ref="R15:V15"/>
    <mergeCell ref="AB15:AF15"/>
    <mergeCell ref="AW15:AZ15"/>
    <mergeCell ref="BA15:BF15"/>
    <mergeCell ref="BI15:BL15"/>
    <mergeCell ref="BM15:BR15"/>
    <mergeCell ref="BU15:BX15"/>
    <mergeCell ref="BY15:CD15"/>
    <mergeCell ref="CK15:CQ15"/>
    <mergeCell ref="CR15:CW15"/>
    <mergeCell ref="DA15:DG15"/>
    <mergeCell ref="DH15:DM15"/>
    <mergeCell ref="DQ15:DW15"/>
    <mergeCell ref="DX15:EC15"/>
    <mergeCell ref="B16:K16"/>
    <mergeCell ref="L16:AR16"/>
    <mergeCell ref="AW16:AZ16"/>
    <mergeCell ref="BA16:BF16"/>
    <mergeCell ref="BI16:BL16"/>
    <mergeCell ref="BM16:BR16"/>
    <mergeCell ref="BU16:BX16"/>
    <mergeCell ref="BY16:CD16"/>
    <mergeCell ref="CK16:CM16"/>
    <mergeCell ref="CN16:CQ16"/>
    <mergeCell ref="CR16:CW16"/>
    <mergeCell ref="DA16:DC16"/>
    <mergeCell ref="DD16:DG16"/>
    <mergeCell ref="DH16:DM16"/>
    <mergeCell ref="DQ16:DS16"/>
    <mergeCell ref="DT16:DW16"/>
    <mergeCell ref="DX16:EC16"/>
    <mergeCell ref="B17:E17"/>
    <mergeCell ref="F17:K17"/>
    <mergeCell ref="L17:N17"/>
    <mergeCell ref="O17:Q17"/>
    <mergeCell ref="R17:V17"/>
    <mergeCell ref="W17:AA17"/>
    <mergeCell ref="AB17:AF17"/>
    <mergeCell ref="AG17:AJ17"/>
    <mergeCell ref="AK17:AL17"/>
    <mergeCell ref="AM17:AP17"/>
    <mergeCell ref="AQ17:AR17"/>
    <mergeCell ref="AW17:AZ17"/>
    <mergeCell ref="BA17:BF17"/>
    <mergeCell ref="BI17:BL17"/>
    <mergeCell ref="BM17:BR17"/>
    <mergeCell ref="BU17:BX17"/>
    <mergeCell ref="BY17:CD17"/>
    <mergeCell ref="CN17:CQ17"/>
    <mergeCell ref="CR17:CW17"/>
    <mergeCell ref="DD17:DG17"/>
    <mergeCell ref="DH17:DM17"/>
    <mergeCell ref="DT17:DW17"/>
    <mergeCell ref="DX17:EC17"/>
    <mergeCell ref="AW18:AZ18"/>
    <mergeCell ref="BA18:BF18"/>
    <mergeCell ref="BI18:BL18"/>
    <mergeCell ref="BM18:BR18"/>
    <mergeCell ref="BU18:BX18"/>
    <mergeCell ref="BY18:CD18"/>
    <mergeCell ref="CN18:CQ18"/>
    <mergeCell ref="CR18:CW18"/>
    <mergeCell ref="DD18:DG18"/>
    <mergeCell ref="DH18:DM18"/>
    <mergeCell ref="DT18:DW18"/>
    <mergeCell ref="DX18:EC18"/>
    <mergeCell ref="B19:K19"/>
    <mergeCell ref="L19:Q19"/>
    <mergeCell ref="R19:V19"/>
    <mergeCell ref="W19:AA20"/>
    <mergeCell ref="AB19:AF19"/>
    <mergeCell ref="AG19:AK20"/>
    <mergeCell ref="AL19:AR20"/>
    <mergeCell ref="AW19:AZ19"/>
    <mergeCell ref="BA19:BB19"/>
    <mergeCell ref="BC19:BF19"/>
    <mergeCell ref="BI19:BL19"/>
    <mergeCell ref="BM19:BN19"/>
    <mergeCell ref="BO19:BR19"/>
    <mergeCell ref="BU19:BX19"/>
    <mergeCell ref="BY19:BZ19"/>
    <mergeCell ref="CA19:CD19"/>
    <mergeCell ref="CN19:CQ19"/>
    <mergeCell ref="CR19:CW19"/>
    <mergeCell ref="DD19:DG19"/>
    <mergeCell ref="DH19:DM19"/>
    <mergeCell ref="DT19:DW19"/>
    <mergeCell ref="DX19:EC19"/>
    <mergeCell ref="B20:H20"/>
    <mergeCell ref="I20:K20"/>
    <mergeCell ref="L20:Q20"/>
    <mergeCell ref="R20:V20"/>
    <mergeCell ref="AB20:AF20"/>
    <mergeCell ref="AW20:AZ20"/>
    <mergeCell ref="BA20:BB20"/>
    <mergeCell ref="BC20:BF20"/>
    <mergeCell ref="BI20:BL20"/>
    <mergeCell ref="BM20:BN20"/>
    <mergeCell ref="BO20:BR20"/>
    <mergeCell ref="BU20:BX20"/>
    <mergeCell ref="BY20:BZ20"/>
    <mergeCell ref="CA20:CD20"/>
    <mergeCell ref="CN20:CQ20"/>
    <mergeCell ref="CR20:CW20"/>
    <mergeCell ref="DD20:DG20"/>
    <mergeCell ref="DH20:DM20"/>
    <mergeCell ref="DT20:DW20"/>
    <mergeCell ref="DX20:EC20"/>
    <mergeCell ref="B21:K21"/>
    <mergeCell ref="L21:AR21"/>
    <mergeCell ref="AW21:AZ21"/>
    <mergeCell ref="BA21:BF21"/>
    <mergeCell ref="BI21:BL21"/>
    <mergeCell ref="BM21:BR21"/>
    <mergeCell ref="BU21:BX21"/>
    <mergeCell ref="BY21:CD21"/>
    <mergeCell ref="CN21:CQ21"/>
    <mergeCell ref="CR21:CW21"/>
    <mergeCell ref="DD21:DG21"/>
    <mergeCell ref="DH21:DM21"/>
    <mergeCell ref="DT21:DW21"/>
    <mergeCell ref="DX21:EC21"/>
    <mergeCell ref="B22:E22"/>
    <mergeCell ref="F22:K22"/>
    <mergeCell ref="L22:N22"/>
    <mergeCell ref="O22:Q22"/>
    <mergeCell ref="R22:V22"/>
    <mergeCell ref="W22:AA22"/>
    <mergeCell ref="AB22:AF22"/>
    <mergeCell ref="AG22:AJ22"/>
    <mergeCell ref="AK22:AL22"/>
    <mergeCell ref="AM22:AP22"/>
    <mergeCell ref="AQ22:AR22"/>
    <mergeCell ref="CN22:CQ22"/>
    <mergeCell ref="CR22:CW22"/>
    <mergeCell ref="DD22:DG22"/>
    <mergeCell ref="DH22:DM22"/>
    <mergeCell ref="DT22:DW22"/>
    <mergeCell ref="DX22:EC22"/>
    <mergeCell ref="CN23:CQ23"/>
    <mergeCell ref="CR23:CW23"/>
    <mergeCell ref="DD23:DG23"/>
    <mergeCell ref="DH23:DM23"/>
    <mergeCell ref="DT23:DW23"/>
    <mergeCell ref="DX23:EC23"/>
    <mergeCell ref="B24:K24"/>
    <mergeCell ref="L24:Q24"/>
    <mergeCell ref="R24:V24"/>
    <mergeCell ref="W24:AA25"/>
    <mergeCell ref="AB24:AF24"/>
    <mergeCell ref="AG24:AK25"/>
    <mergeCell ref="AL24:AR25"/>
    <mergeCell ref="CN24:CQ24"/>
    <mergeCell ref="CR24:CW24"/>
    <mergeCell ref="DD24:DG24"/>
    <mergeCell ref="DH24:DM24"/>
    <mergeCell ref="DT24:DW24"/>
    <mergeCell ref="DX24:EC24"/>
    <mergeCell ref="B25:H25"/>
    <mergeCell ref="I25:K25"/>
    <mergeCell ref="L25:Q25"/>
    <mergeCell ref="R25:V25"/>
    <mergeCell ref="AB25:AF25"/>
    <mergeCell ref="BM25:BO25"/>
    <mergeCell ref="BP25:BR25"/>
    <mergeCell ref="BY25:CA25"/>
    <mergeCell ref="CB25:CD25"/>
    <mergeCell ref="CN25:CQ25"/>
    <mergeCell ref="CR25:CW25"/>
    <mergeCell ref="DD25:DG25"/>
    <mergeCell ref="DH25:DM25"/>
    <mergeCell ref="DT25:DW25"/>
    <mergeCell ref="DX25:EC25"/>
    <mergeCell ref="B26:K26"/>
    <mergeCell ref="L26:AR26"/>
    <mergeCell ref="AW26:AZ26"/>
    <mergeCell ref="BA26:BF26"/>
    <mergeCell ref="BI26:BL26"/>
    <mergeCell ref="BM26:BR26"/>
    <mergeCell ref="BU26:BX26"/>
    <mergeCell ref="BY26:CD26"/>
    <mergeCell ref="CN26:CQ26"/>
    <mergeCell ref="CR26:CW26"/>
    <mergeCell ref="DD26:DG26"/>
    <mergeCell ref="DH26:DM26"/>
    <mergeCell ref="DT26:DW26"/>
    <mergeCell ref="DX26:EC26"/>
    <mergeCell ref="B27:E27"/>
    <mergeCell ref="F27:K27"/>
    <mergeCell ref="L27:N27"/>
    <mergeCell ref="O27:Q27"/>
    <mergeCell ref="R27:V27"/>
    <mergeCell ref="W27:AA27"/>
    <mergeCell ref="AB27:AF27"/>
    <mergeCell ref="AG27:AJ27"/>
    <mergeCell ref="AK27:AL27"/>
    <mergeCell ref="AM27:AP27"/>
    <mergeCell ref="AQ27:AR27"/>
    <mergeCell ref="AW27:AZ27"/>
    <mergeCell ref="BA27:BF27"/>
    <mergeCell ref="BI27:BL27"/>
    <mergeCell ref="BM27:BR27"/>
    <mergeCell ref="BU27:BX27"/>
    <mergeCell ref="BY27:CD27"/>
    <mergeCell ref="CN27:CQ27"/>
    <mergeCell ref="CR27:CW27"/>
    <mergeCell ref="DD27:DG27"/>
    <mergeCell ref="DH27:DM27"/>
    <mergeCell ref="DT27:DW27"/>
    <mergeCell ref="DX27:EC27"/>
    <mergeCell ref="AW28:AZ28"/>
    <mergeCell ref="BA28:BF28"/>
    <mergeCell ref="BI28:BL28"/>
    <mergeCell ref="BM28:BR28"/>
    <mergeCell ref="BU28:BX28"/>
    <mergeCell ref="BY28:CD28"/>
    <mergeCell ref="CN28:CQ28"/>
    <mergeCell ref="CR28:CW28"/>
    <mergeCell ref="DD28:DG28"/>
    <mergeCell ref="DH28:DM28"/>
    <mergeCell ref="DT28:DW28"/>
    <mergeCell ref="DX28:EC28"/>
    <mergeCell ref="AW29:AZ29"/>
    <mergeCell ref="BA29:BB29"/>
    <mergeCell ref="BC29:BF29"/>
    <mergeCell ref="BI29:BL29"/>
    <mergeCell ref="BM29:BN29"/>
    <mergeCell ref="BO29:BR29"/>
    <mergeCell ref="BU29:BX29"/>
    <mergeCell ref="BY29:BZ29"/>
    <mergeCell ref="CA29:CD29"/>
    <mergeCell ref="CN29:CQ29"/>
    <mergeCell ref="CR29:CW29"/>
    <mergeCell ref="DD29:DG29"/>
    <mergeCell ref="DH29:DM29"/>
    <mergeCell ref="DT29:DW29"/>
    <mergeCell ref="DX29:EC29"/>
    <mergeCell ref="O30:AR30"/>
    <mergeCell ref="AW30:AZ30"/>
    <mergeCell ref="BA30:BB30"/>
    <mergeCell ref="BC30:BF30"/>
    <mergeCell ref="BI30:BL30"/>
    <mergeCell ref="BM30:BN30"/>
    <mergeCell ref="BO30:BR30"/>
    <mergeCell ref="BU30:BX30"/>
    <mergeCell ref="BY30:BZ30"/>
    <mergeCell ref="CA30:CD30"/>
    <mergeCell ref="CN30:CQ30"/>
    <mergeCell ref="CR30:CW30"/>
    <mergeCell ref="DD30:DG30"/>
    <mergeCell ref="DH30:DM30"/>
    <mergeCell ref="DT30:DW30"/>
    <mergeCell ref="DX30:EC30"/>
    <mergeCell ref="B31:I31"/>
    <mergeCell ref="J31:O31"/>
    <mergeCell ref="P31:T31"/>
    <mergeCell ref="U31:Y31"/>
    <mergeCell ref="Z31:AD31"/>
    <mergeCell ref="AE31:AI31"/>
    <mergeCell ref="AJ31:AN31"/>
    <mergeCell ref="AO31:AR31"/>
    <mergeCell ref="AW31:AZ31"/>
    <mergeCell ref="BA31:BB31"/>
    <mergeCell ref="BC31:BF31"/>
    <mergeCell ref="BI31:BL31"/>
    <mergeCell ref="BM31:BN31"/>
    <mergeCell ref="BO31:BR31"/>
    <mergeCell ref="BU31:BX31"/>
    <mergeCell ref="BY31:BZ31"/>
    <mergeCell ref="CA31:CD31"/>
    <mergeCell ref="CN31:CQ31"/>
    <mergeCell ref="CR31:CW31"/>
    <mergeCell ref="DD31:DG31"/>
    <mergeCell ref="DH31:DM31"/>
    <mergeCell ref="DT31:DW31"/>
    <mergeCell ref="DX31:EC31"/>
    <mergeCell ref="B32:I32"/>
    <mergeCell ref="J32:O32"/>
    <mergeCell ref="P32:T32"/>
    <mergeCell ref="U32:Y32"/>
    <mergeCell ref="Z32:AD32"/>
    <mergeCell ref="AE32:AI32"/>
    <mergeCell ref="AJ32:AN32"/>
    <mergeCell ref="AO32:AR32"/>
    <mergeCell ref="AW32:AZ32"/>
    <mergeCell ref="BA32:BB32"/>
    <mergeCell ref="BC32:BF32"/>
    <mergeCell ref="BI32:BL32"/>
    <mergeCell ref="BM32:BN32"/>
    <mergeCell ref="BO32:BR32"/>
    <mergeCell ref="BU32:BX32"/>
    <mergeCell ref="BY32:BZ32"/>
    <mergeCell ref="CA32:CD32"/>
    <mergeCell ref="CN32:CQ32"/>
    <mergeCell ref="CR32:CW32"/>
    <mergeCell ref="DD32:DG32"/>
    <mergeCell ref="DH32:DM32"/>
    <mergeCell ref="DT32:DW32"/>
    <mergeCell ref="DX32:EC32"/>
    <mergeCell ref="ES32:EU32"/>
    <mergeCell ref="AW33:AZ33"/>
    <mergeCell ref="BA33:BB33"/>
    <mergeCell ref="BC33:BF33"/>
    <mergeCell ref="BI33:BL33"/>
    <mergeCell ref="BM33:BN33"/>
    <mergeCell ref="BO33:BR33"/>
    <mergeCell ref="BU33:BX33"/>
    <mergeCell ref="BY33:BZ33"/>
    <mergeCell ref="CA33:CD33"/>
    <mergeCell ref="CN33:CQ33"/>
    <mergeCell ref="CR33:CW33"/>
    <mergeCell ref="DD33:DG33"/>
    <mergeCell ref="DH33:DM33"/>
    <mergeCell ref="DT33:DW33"/>
    <mergeCell ref="DX33:EC33"/>
    <mergeCell ref="AW34:AZ34"/>
    <mergeCell ref="BA34:BB34"/>
    <mergeCell ref="BC34:BF34"/>
    <mergeCell ref="BI34:BL34"/>
    <mergeCell ref="BM34:BN34"/>
    <mergeCell ref="BO34:BR34"/>
    <mergeCell ref="BU34:BX34"/>
    <mergeCell ref="BY34:BZ34"/>
    <mergeCell ref="CA34:CD34"/>
    <mergeCell ref="CK34:CQ35"/>
    <mergeCell ref="CR34:CW35"/>
    <mergeCell ref="DA34:DG35"/>
    <mergeCell ref="DH34:DM35"/>
    <mergeCell ref="DQ34:DW35"/>
    <mergeCell ref="DX34:EC35"/>
    <mergeCell ref="AW35:AZ35"/>
    <mergeCell ref="BA35:BF35"/>
    <mergeCell ref="BI35:BL35"/>
    <mergeCell ref="BM35:BR35"/>
    <mergeCell ref="BU35:BX35"/>
    <mergeCell ref="BY35:CD35"/>
    <mergeCell ref="B36:G36"/>
    <mergeCell ref="H36:Q36"/>
    <mergeCell ref="R36:V36"/>
    <mergeCell ref="W36:AB36"/>
    <mergeCell ref="AC36:AF36"/>
    <mergeCell ref="AG36:AJ36"/>
    <mergeCell ref="AK36:AN36"/>
    <mergeCell ref="AO36:AR36"/>
    <mergeCell ref="AW36:AZ36"/>
    <mergeCell ref="BA36:BB36"/>
    <mergeCell ref="BC36:BF36"/>
    <mergeCell ref="BI36:BL36"/>
    <mergeCell ref="BM36:BN36"/>
    <mergeCell ref="BO36:BR36"/>
    <mergeCell ref="BU36:BX36"/>
    <mergeCell ref="BY36:BZ36"/>
    <mergeCell ref="CA36:CD36"/>
    <mergeCell ref="CN36:CQ36"/>
    <mergeCell ref="CR36:CW36"/>
    <mergeCell ref="DD36:DG36"/>
    <mergeCell ref="DH36:DM36"/>
    <mergeCell ref="DT36:DW36"/>
    <mergeCell ref="DX36:EC36"/>
    <mergeCell ref="B37:G37"/>
    <mergeCell ref="H37:Q37"/>
    <mergeCell ref="R37:V37"/>
    <mergeCell ref="W37:AB37"/>
    <mergeCell ref="AC37:AF37"/>
    <mergeCell ref="AG37:AJ37"/>
    <mergeCell ref="AK37:AN37"/>
    <mergeCell ref="AO37:AR37"/>
    <mergeCell ref="AW37:BB37"/>
    <mergeCell ref="BC37:BF37"/>
    <mergeCell ref="BI37:BN37"/>
    <mergeCell ref="BO37:BR37"/>
    <mergeCell ref="BU37:BZ37"/>
    <mergeCell ref="CA37:CD37"/>
    <mergeCell ref="B38:G38"/>
    <mergeCell ref="H38:Q38"/>
    <mergeCell ref="R38:V38"/>
    <mergeCell ref="W38:AB38"/>
    <mergeCell ref="AC38:AF38"/>
    <mergeCell ref="AG38:AJ38"/>
    <mergeCell ref="AK38:AN38"/>
    <mergeCell ref="AO38:AR38"/>
    <mergeCell ref="BC38:BF38"/>
    <mergeCell ref="BO38:BR38"/>
    <mergeCell ref="CA38:CD38"/>
    <mergeCell ref="CJ38:CK38"/>
    <mergeCell ref="CL38:CM38"/>
    <mergeCell ref="CN38:CO38"/>
    <mergeCell ref="CP38:CQ38"/>
    <mergeCell ref="CR38:CS38"/>
    <mergeCell ref="CT38:CU38"/>
    <mergeCell ref="CV38:CW38"/>
    <mergeCell ref="CZ38:DA38"/>
    <mergeCell ref="DB38:DC38"/>
    <mergeCell ref="DD38:DE38"/>
    <mergeCell ref="DF38:DG38"/>
    <mergeCell ref="DH38:DI38"/>
    <mergeCell ref="DJ38:DK38"/>
    <mergeCell ref="DL38:DM38"/>
    <mergeCell ref="DP38:DQ38"/>
    <mergeCell ref="DR38:DS38"/>
    <mergeCell ref="DT38:DU38"/>
    <mergeCell ref="DV38:DW38"/>
    <mergeCell ref="DX38:DY38"/>
    <mergeCell ref="DZ38:EA38"/>
    <mergeCell ref="EB38:EC38"/>
    <mergeCell ref="B39:G39"/>
    <mergeCell ref="H39:Q39"/>
    <mergeCell ref="R39:V39"/>
    <mergeCell ref="W39:AB39"/>
    <mergeCell ref="AC39:AF39"/>
    <mergeCell ref="AG39:AJ39"/>
    <mergeCell ref="AK39:AN39"/>
    <mergeCell ref="AO39:AR39"/>
    <mergeCell ref="CJ39:CK39"/>
    <mergeCell ref="CL39:CM39"/>
    <mergeCell ref="CN39:CO39"/>
    <mergeCell ref="CP39:CQ39"/>
    <mergeCell ref="CR39:CS39"/>
    <mergeCell ref="CT39:CU39"/>
    <mergeCell ref="CV39:CW39"/>
    <mergeCell ref="CZ39:DA39"/>
    <mergeCell ref="DB39:DC39"/>
    <mergeCell ref="DD39:DE39"/>
    <mergeCell ref="DF39:DG39"/>
    <mergeCell ref="DH39:DI39"/>
    <mergeCell ref="DJ39:DK39"/>
    <mergeCell ref="DL39:DM39"/>
    <mergeCell ref="DP39:DQ39"/>
    <mergeCell ref="DR39:DS39"/>
    <mergeCell ref="DT39:DU39"/>
    <mergeCell ref="DV39:DW39"/>
    <mergeCell ref="DX39:DY39"/>
    <mergeCell ref="DZ39:EA39"/>
    <mergeCell ref="EB39:EC39"/>
    <mergeCell ref="B40:G40"/>
    <mergeCell ref="H40:Q40"/>
    <mergeCell ref="R40:V40"/>
    <mergeCell ref="W40:AB40"/>
    <mergeCell ref="AC40:AF40"/>
    <mergeCell ref="AG40:AJ40"/>
    <mergeCell ref="AK40:AN40"/>
    <mergeCell ref="AO40:AR40"/>
    <mergeCell ref="AW40:BL40"/>
    <mergeCell ref="B41:G41"/>
    <mergeCell ref="H41:Q41"/>
    <mergeCell ref="R41:V41"/>
    <mergeCell ref="W41:AB41"/>
    <mergeCell ref="AC41:AF41"/>
    <mergeCell ref="AG41:AJ41"/>
    <mergeCell ref="AK41:AN41"/>
    <mergeCell ref="AO41:AR41"/>
    <mergeCell ref="AW41:AZ41"/>
    <mergeCell ref="BA41:BD41"/>
    <mergeCell ref="BE41:BL41"/>
    <mergeCell ref="BM41:BO41"/>
    <mergeCell ref="BP41:BT41"/>
    <mergeCell ref="BU41:CA41"/>
    <mergeCell ref="CB41:CD41"/>
    <mergeCell ref="CJ41:CK42"/>
    <mergeCell ref="CL41:CM41"/>
    <mergeCell ref="CN41:CO41"/>
    <mergeCell ref="CP41:CQ41"/>
    <mergeCell ref="CR41:CS41"/>
    <mergeCell ref="CT41:CU41"/>
    <mergeCell ref="CV41:CW41"/>
    <mergeCell ref="CZ41:DA42"/>
    <mergeCell ref="DB41:DC41"/>
    <mergeCell ref="DD41:DE41"/>
    <mergeCell ref="DF41:DG41"/>
    <mergeCell ref="DH41:DI41"/>
    <mergeCell ref="DJ41:DK41"/>
    <mergeCell ref="DL41:DM41"/>
    <mergeCell ref="DP41:DQ42"/>
    <mergeCell ref="DR41:DS41"/>
    <mergeCell ref="DT41:DU41"/>
    <mergeCell ref="DV41:DW41"/>
    <mergeCell ref="DX41:DY41"/>
    <mergeCell ref="DZ41:EA41"/>
    <mergeCell ref="EB41:EC41"/>
    <mergeCell ref="AW42:AZ42"/>
    <mergeCell ref="BA42:BH42"/>
    <mergeCell ref="BI42:BL42"/>
    <mergeCell ref="BM42:BP42"/>
    <mergeCell ref="BQ42:BX42"/>
    <mergeCell ref="BY42:CD42"/>
    <mergeCell ref="CL42:CM42"/>
    <mergeCell ref="CN42:CO42"/>
    <mergeCell ref="CP42:CQ42"/>
    <mergeCell ref="CR42:CS42"/>
    <mergeCell ref="CT42:CU42"/>
    <mergeCell ref="CV42:CW42"/>
    <mergeCell ref="DB42:DC42"/>
    <mergeCell ref="DD42:DE42"/>
    <mergeCell ref="DF42:DG42"/>
    <mergeCell ref="DH42:DI42"/>
    <mergeCell ref="DJ42:DK42"/>
    <mergeCell ref="DL42:DM42"/>
    <mergeCell ref="DR42:DS42"/>
    <mergeCell ref="DT42:DU42"/>
    <mergeCell ref="DV42:DW42"/>
    <mergeCell ref="DX42:DY42"/>
    <mergeCell ref="DZ42:EA42"/>
    <mergeCell ref="EB42:EC42"/>
    <mergeCell ref="AW43:AZ43"/>
    <mergeCell ref="BA43:BH43"/>
    <mergeCell ref="BI43:BL43"/>
    <mergeCell ref="BM43:BT43"/>
    <mergeCell ref="BU43:BX43"/>
    <mergeCell ref="BY43:CD43"/>
    <mergeCell ref="AW44:AZ44"/>
    <mergeCell ref="BA44:BH44"/>
    <mergeCell ref="BI44:BL44"/>
    <mergeCell ref="BM44:BT44"/>
    <mergeCell ref="BU44:BX44"/>
    <mergeCell ref="BY44:CD44"/>
    <mergeCell ref="CJ44:CW45"/>
    <mergeCell ref="CZ44:DM45"/>
    <mergeCell ref="DP44:EC45"/>
    <mergeCell ref="AV46:AY46"/>
    <mergeCell ref="AZ46:BB46"/>
    <mergeCell ref="BC46:BF46"/>
    <mergeCell ref="BQ46:BS46"/>
    <mergeCell ref="BU46:BW46"/>
    <mergeCell ref="BY46:CA46"/>
    <mergeCell ref="CB46:CE46"/>
    <mergeCell ref="CJ46:CM47"/>
    <mergeCell ref="CN46:CT47"/>
    <mergeCell ref="CU46:CW47"/>
    <mergeCell ref="CZ46:DC47"/>
    <mergeCell ref="DD46:DJ47"/>
    <mergeCell ref="DK46:DM47"/>
    <mergeCell ref="DP46:DS47"/>
    <mergeCell ref="DT46:DZ47"/>
    <mergeCell ref="EA46:EC47"/>
    <mergeCell ref="AW48:AZ48"/>
    <mergeCell ref="BA48:BE48"/>
    <mergeCell ref="BF48:BJ48"/>
    <mergeCell ref="BK48:BM48"/>
    <mergeCell ref="BN48:BQ48"/>
    <mergeCell ref="BR48:BU48"/>
    <mergeCell ref="BV48:CA48"/>
    <mergeCell ref="CB48:CD48"/>
    <mergeCell ref="CJ48:CM49"/>
    <mergeCell ref="CN48:CT49"/>
    <mergeCell ref="CU48:CW49"/>
    <mergeCell ref="CZ48:DC49"/>
    <mergeCell ref="DD48:DJ49"/>
    <mergeCell ref="DK48:DM49"/>
    <mergeCell ref="DP48:DS49"/>
    <mergeCell ref="DT48:DZ49"/>
    <mergeCell ref="EA48:EC49"/>
    <mergeCell ref="AW49:AZ49"/>
    <mergeCell ref="BA49:BE49"/>
    <mergeCell ref="BF49:BJ49"/>
    <mergeCell ref="BK49:CD49"/>
    <mergeCell ref="CJ50:CM50"/>
    <mergeCell ref="CN50:CT50"/>
    <mergeCell ref="CU50:CW50"/>
    <mergeCell ref="CZ50:DC50"/>
    <mergeCell ref="DD50:DJ50"/>
    <mergeCell ref="DK50:DM50"/>
    <mergeCell ref="DP50:DS50"/>
    <mergeCell ref="DT50:DZ50"/>
    <mergeCell ref="EA50:EC50"/>
    <mergeCell ref="CJ51:CM51"/>
    <mergeCell ref="CN51:CP51"/>
    <mergeCell ref="CQ51:CT51"/>
    <mergeCell ref="CU51:CW51"/>
    <mergeCell ref="CZ51:DC51"/>
    <mergeCell ref="DD51:DF51"/>
    <mergeCell ref="DG51:DJ51"/>
    <mergeCell ref="DK51:DM51"/>
    <mergeCell ref="DP51:DS51"/>
    <mergeCell ref="DT51:DV51"/>
    <mergeCell ref="DW51:DZ51"/>
    <mergeCell ref="EA51:EC51"/>
    <mergeCell ref="B52:F53"/>
    <mergeCell ref="G52:AR53"/>
    <mergeCell ref="CJ52:CM52"/>
    <mergeCell ref="CN52:CT52"/>
    <mergeCell ref="CU52:CW52"/>
    <mergeCell ref="CZ52:DC52"/>
    <mergeCell ref="DD52:DJ52"/>
    <mergeCell ref="DK52:DM52"/>
    <mergeCell ref="DP52:DS52"/>
    <mergeCell ref="DT52:DZ52"/>
    <mergeCell ref="EA52:EC52"/>
    <mergeCell ref="AW53:AZ53"/>
    <mergeCell ref="BA53:BE53"/>
    <mergeCell ref="BF53:BJ53"/>
    <mergeCell ref="BK53:BP53"/>
    <mergeCell ref="CJ53:CM53"/>
    <mergeCell ref="CN53:CT53"/>
    <mergeCell ref="CU53:CW53"/>
    <mergeCell ref="CZ53:DC53"/>
    <mergeCell ref="DD53:DJ53"/>
    <mergeCell ref="DK53:DM53"/>
    <mergeCell ref="DP53:DS53"/>
    <mergeCell ref="DT53:DZ53"/>
    <mergeCell ref="EA53:EC53"/>
    <mergeCell ref="B54:F55"/>
    <mergeCell ref="G54:AR55"/>
    <mergeCell ref="AW54:AZ55"/>
    <mergeCell ref="BA54:BJ54"/>
    <mergeCell ref="BK54:BT54"/>
    <mergeCell ref="BU54:CD54"/>
    <mergeCell ref="CJ54:CM54"/>
    <mergeCell ref="CN54:CT54"/>
    <mergeCell ref="CU54:CW54"/>
    <mergeCell ref="CZ54:DC54"/>
    <mergeCell ref="DD54:DJ54"/>
    <mergeCell ref="DK54:DM54"/>
    <mergeCell ref="DP54:DS54"/>
    <mergeCell ref="DT54:DZ54"/>
    <mergeCell ref="EA54:EC54"/>
    <mergeCell ref="BA55:BD55"/>
    <mergeCell ref="BE55:BJ55"/>
    <mergeCell ref="BK55:BN55"/>
    <mergeCell ref="BO55:BT55"/>
    <mergeCell ref="BU55:BX55"/>
    <mergeCell ref="BY55:CD55"/>
    <mergeCell ref="CJ55:CM55"/>
    <mergeCell ref="CN55:CT55"/>
    <mergeCell ref="CU55:CW55"/>
    <mergeCell ref="CZ55:DC55"/>
    <mergeCell ref="DD55:DJ55"/>
    <mergeCell ref="DK55:DM55"/>
    <mergeCell ref="DP55:DS55"/>
    <mergeCell ref="DT55:DZ55"/>
    <mergeCell ref="EA55:EC55"/>
    <mergeCell ref="B56:F57"/>
    <mergeCell ref="G56:AR57"/>
    <mergeCell ref="AW56:AZ57"/>
    <mergeCell ref="BA56:BJ56"/>
    <mergeCell ref="BK56:BT56"/>
    <mergeCell ref="BU56:CD56"/>
    <mergeCell ref="CJ56:CM56"/>
    <mergeCell ref="CN56:CT56"/>
    <mergeCell ref="CU56:CW56"/>
    <mergeCell ref="CZ56:DC56"/>
    <mergeCell ref="DD56:DJ56"/>
    <mergeCell ref="DK56:DM56"/>
    <mergeCell ref="DP56:DS56"/>
    <mergeCell ref="DT56:DZ56"/>
    <mergeCell ref="EA56:EC56"/>
    <mergeCell ref="BA57:BD57"/>
    <mergeCell ref="BE57:BJ57"/>
    <mergeCell ref="BK57:BN57"/>
    <mergeCell ref="BO57:BT57"/>
    <mergeCell ref="BU57:BX57"/>
    <mergeCell ref="BY57:CD57"/>
    <mergeCell ref="B58:F59"/>
    <mergeCell ref="G58:AR59"/>
    <mergeCell ref="AW58:AZ59"/>
    <mergeCell ref="BA58:BJ58"/>
    <mergeCell ref="BK58:BT58"/>
    <mergeCell ref="BU58:CD58"/>
    <mergeCell ref="BA59:BD59"/>
    <mergeCell ref="BE59:BJ59"/>
    <mergeCell ref="BK59:BN59"/>
    <mergeCell ref="BO59:BT59"/>
    <mergeCell ref="BU59:BX59"/>
    <mergeCell ref="BY59:CD59"/>
    <mergeCell ref="CJ59:CN59"/>
    <mergeCell ref="CO59:CR59"/>
    <mergeCell ref="CS59:CW59"/>
    <mergeCell ref="CZ59:DD59"/>
    <mergeCell ref="DE59:DH59"/>
    <mergeCell ref="DI59:DM59"/>
    <mergeCell ref="DP59:DT59"/>
    <mergeCell ref="DU59:DX59"/>
    <mergeCell ref="DY59:EC59"/>
    <mergeCell ref="BA60:BC60"/>
    <mergeCell ref="BD60:BJ60"/>
    <mergeCell ref="BK60:BM60"/>
    <mergeCell ref="BN60:BT60"/>
    <mergeCell ref="BU60:BW60"/>
    <mergeCell ref="BX60:CD60"/>
    <mergeCell ref="CL60:CN60"/>
    <mergeCell ref="CO60:CR60"/>
    <mergeCell ref="CS60:CW60"/>
    <mergeCell ref="DB60:DD60"/>
    <mergeCell ref="DE60:DH60"/>
    <mergeCell ref="DI60:DM60"/>
    <mergeCell ref="DR60:DT60"/>
    <mergeCell ref="DU60:DX60"/>
    <mergeCell ref="DY60:EC60"/>
    <mergeCell ref="CK61:CN61"/>
    <mergeCell ref="CO61:CR61"/>
    <mergeCell ref="CS61:CW61"/>
    <mergeCell ref="DA61:DD61"/>
    <mergeCell ref="DE61:DH61"/>
    <mergeCell ref="DI61:DM61"/>
    <mergeCell ref="DQ61:DT61"/>
    <mergeCell ref="DU61:DX61"/>
    <mergeCell ref="DY61:EC61"/>
    <mergeCell ref="CK62:CN62"/>
    <mergeCell ref="CO62:CR62"/>
    <mergeCell ref="CS62:CW62"/>
    <mergeCell ref="DA62:DD62"/>
    <mergeCell ref="DE62:DH62"/>
    <mergeCell ref="DI62:DM62"/>
    <mergeCell ref="DQ62:DT62"/>
    <mergeCell ref="DU62:DX62"/>
    <mergeCell ref="DY62:EC62"/>
    <mergeCell ref="AW63:AZ63"/>
    <mergeCell ref="BA63:BD63"/>
    <mergeCell ref="BE63:BI63"/>
    <mergeCell ref="BJ63:BN63"/>
    <mergeCell ref="CK63:CN63"/>
    <mergeCell ref="CO63:CR63"/>
    <mergeCell ref="CS63:CW63"/>
    <mergeCell ref="DA63:DD63"/>
    <mergeCell ref="DE63:DH63"/>
    <mergeCell ref="DI63:DM63"/>
    <mergeCell ref="DQ63:DT63"/>
    <mergeCell ref="DU63:DX63"/>
    <mergeCell ref="DY63:EC63"/>
    <mergeCell ref="AW64:AZ64"/>
    <mergeCell ref="BA64:BD64"/>
    <mergeCell ref="BE64:BI64"/>
    <mergeCell ref="BJ64:BN64"/>
    <mergeCell ref="CK64:CN64"/>
    <mergeCell ref="CO64:CR64"/>
    <mergeCell ref="CS64:CW64"/>
    <mergeCell ref="DA64:DD64"/>
    <mergeCell ref="DE64:DH64"/>
    <mergeCell ref="DI64:DM64"/>
    <mergeCell ref="DQ64:DT64"/>
    <mergeCell ref="DU64:DX64"/>
    <mergeCell ref="DY64:EC64"/>
    <mergeCell ref="AW65:AZ65"/>
    <mergeCell ref="BA65:BD65"/>
    <mergeCell ref="BE65:BI65"/>
    <mergeCell ref="BJ65:BN65"/>
    <mergeCell ref="BS65:CA65"/>
    <mergeCell ref="CK65:CN65"/>
    <mergeCell ref="CO65:CR65"/>
    <mergeCell ref="CS65:CW65"/>
    <mergeCell ref="DA65:DD65"/>
    <mergeCell ref="DE65:DH65"/>
    <mergeCell ref="DI65:DM65"/>
    <mergeCell ref="DQ65:DT65"/>
    <mergeCell ref="DU65:DX65"/>
    <mergeCell ref="DY65:EC65"/>
    <mergeCell ref="AW66:AZ66"/>
    <mergeCell ref="BA66:BD66"/>
    <mergeCell ref="BE66:BI66"/>
    <mergeCell ref="BJ66:BN66"/>
    <mergeCell ref="BS66:CA66"/>
    <mergeCell ref="CK66:CN66"/>
    <mergeCell ref="CO66:CR66"/>
    <mergeCell ref="CS66:CW66"/>
    <mergeCell ref="DA66:DD66"/>
    <mergeCell ref="DE66:DH66"/>
    <mergeCell ref="DI66:DM66"/>
    <mergeCell ref="DQ66:DT66"/>
    <mergeCell ref="DU66:DX66"/>
    <mergeCell ref="DY66:EC66"/>
    <mergeCell ref="CK67:CN67"/>
    <mergeCell ref="CO67:CR67"/>
    <mergeCell ref="CS67:CW67"/>
    <mergeCell ref="DA67:DD67"/>
    <mergeCell ref="DE67:DH67"/>
    <mergeCell ref="DI67:DM67"/>
    <mergeCell ref="DQ67:DT67"/>
    <mergeCell ref="DU67:DX67"/>
    <mergeCell ref="DY67:EC67"/>
    <mergeCell ref="BW68:CA68"/>
    <mergeCell ref="CK68:CN68"/>
    <mergeCell ref="CO68:CR68"/>
    <mergeCell ref="CS68:CW68"/>
    <mergeCell ref="DA68:DD68"/>
    <mergeCell ref="DE68:DH68"/>
    <mergeCell ref="DI68:DM68"/>
    <mergeCell ref="DQ68:DT68"/>
    <mergeCell ref="DU68:DX68"/>
    <mergeCell ref="DY68:EC68"/>
    <mergeCell ref="BW70:CA70"/>
    <mergeCell ref="CJ70:CN70"/>
    <mergeCell ref="CO70:CR70"/>
    <mergeCell ref="CS70:CW70"/>
    <mergeCell ref="CZ70:DD70"/>
    <mergeCell ref="DE70:DH70"/>
    <mergeCell ref="DI70:DM70"/>
    <mergeCell ref="DP70:DT70"/>
    <mergeCell ref="DU70:DX70"/>
    <mergeCell ref="DY70:EC70"/>
    <mergeCell ref="BW71:CA71"/>
    <mergeCell ref="BX72:CA72"/>
    <mergeCell ref="BX73:CA73"/>
    <mergeCell ref="CN75:CR75"/>
    <mergeCell ref="CL78:CM78"/>
    <mergeCell ref="CN78:CQ78"/>
    <mergeCell ref="CL80:CM80"/>
    <mergeCell ref="CN80:CQ80"/>
    <mergeCell ref="CL82:CM82"/>
    <mergeCell ref="CN82:CQ82"/>
  </mergeCells>
  <conditionalFormatting sqref="BI42:BP42">
    <cfRule type="expression" dxfId="0" priority="96">
      <formula>$BA$42="제조사 탁송"</formula>
    </cfRule>
  </conditionalFormatting>
  <conditionalFormatting sqref="BA19:BF19">
    <cfRule type="expression" dxfId="1" priority="95">
      <formula>$AW$20="지점/대리점"</formula>
    </cfRule>
  </conditionalFormatting>
  <conditionalFormatting sqref="BA20:BF20">
    <cfRule type="expression" dxfId="2" priority="94">
      <formula>$AW$20="특판"</formula>
    </cfRule>
  </conditionalFormatting>
  <conditionalFormatting sqref="BM20:BR20">
    <cfRule type="expression" dxfId="3" priority="92">
      <formula>$BI$20="특판"</formula>
    </cfRule>
  </conditionalFormatting>
  <conditionalFormatting sqref="BY20:CD20">
    <cfRule type="expression" dxfId="4" priority="90">
      <formula>$BU$20="특판"</formula>
    </cfRule>
  </conditionalFormatting>
  <conditionalFormatting sqref="BI9:BR11 BI16:BR17 BI20:BR21 BI18:BL19 BI13:BR13 BI12:BL12 BI15:BL15">
    <cfRule type="expression" dxfId="5" priority="88">
      <formula>$BP$8="N"</formula>
    </cfRule>
  </conditionalFormatting>
  <conditionalFormatting sqref="BU9:CD13 BU16:CD17 BU20:CD21 BU18:BX19 BU15:BX15">
    <cfRule type="expression" dxfId="6" priority="87">
      <formula>$CB$8="N"</formula>
    </cfRule>
  </conditionalFormatting>
  <conditionalFormatting sqref="AB15:AF15">
    <cfRule type="expression" dxfId="7" priority="97">
      <formula>AND($BC$33=0,$BC$34=0)</formula>
    </cfRule>
  </conditionalFormatting>
  <conditionalFormatting sqref="AB14:AF14">
    <cfRule type="expression" dxfId="8" priority="98">
      <formula>AND($BC$29=0,$BC$30=0)</formula>
    </cfRule>
  </conditionalFormatting>
  <conditionalFormatting sqref="AB20:AF20">
    <cfRule type="expression" dxfId="9" priority="99">
      <formula>AND($BO$33=0,$BO$34=0)</formula>
    </cfRule>
  </conditionalFormatting>
  <conditionalFormatting sqref="AB19:AF19">
    <cfRule type="expression" dxfId="10" priority="100">
      <formula>AND($BO$29=0,$BO$30=0)</formula>
    </cfRule>
  </conditionalFormatting>
  <conditionalFormatting sqref="BY42 BQ42">
    <cfRule type="expression" dxfId="11" priority="103">
      <formula>$BA$42="조이(외주) 탁송"</formula>
    </cfRule>
  </conditionalFormatting>
  <conditionalFormatting sqref="AQ17:AR17">
    <cfRule type="expression" dxfId="12" priority="51">
      <formula>$BU$41="없음"</formula>
    </cfRule>
  </conditionalFormatting>
  <conditionalFormatting sqref="AQ22:AR22">
    <cfRule type="expression" dxfId="13" priority="50">
      <formula>$BU$41="없음"</formula>
    </cfRule>
  </conditionalFormatting>
  <conditionalFormatting sqref="AK17:AL17">
    <cfRule type="expression" dxfId="14" priority="48">
      <formula>$BE$41="없음"</formula>
    </cfRule>
  </conditionalFormatting>
  <conditionalFormatting sqref="AK22:AL22">
    <cfRule type="expression" dxfId="15" priority="47">
      <formula>$BE$41="없음"</formula>
    </cfRule>
  </conditionalFormatting>
  <conditionalFormatting sqref="BM41:BO41">
    <cfRule type="expression" dxfId="16" priority="45">
      <formula>$BE$41="없음"</formula>
    </cfRule>
  </conditionalFormatting>
  <conditionalFormatting sqref="CB41:CD41">
    <cfRule type="expression" dxfId="17" priority="44">
      <formula>$BU$41="없음"</formula>
    </cfRule>
  </conditionalFormatting>
  <conditionalFormatting sqref="BM19:BR19">
    <cfRule type="expression" dxfId="18" priority="41">
      <formula>$BI$20="지점/대리점"</formula>
    </cfRule>
  </conditionalFormatting>
  <conditionalFormatting sqref="BY19:CD19">
    <cfRule type="expression" dxfId="19" priority="40">
      <formula>$BU$20="지점/대리점"</formula>
    </cfRule>
  </conditionalFormatting>
  <conditionalFormatting sqref="BM18:BR19">
    <cfRule type="expression" dxfId="20" priority="39">
      <formula>$BP$8="N"</formula>
    </cfRule>
  </conditionalFormatting>
  <conditionalFormatting sqref="BY18:CD19">
    <cfRule type="expression" dxfId="21" priority="38">
      <formula>$CB$8="N"</formula>
    </cfRule>
  </conditionalFormatting>
  <conditionalFormatting sqref="B21:AR22 B19:V20 AB19:AR20">
    <cfRule type="expression" dxfId="22" priority="31">
      <formula>$BP$25="N"</formula>
    </cfRule>
  </conditionalFormatting>
  <conditionalFormatting sqref="B26:AR27 B24:V25 AB24:AR25">
    <cfRule type="expression" dxfId="23" priority="29">
      <formula>$CB$25="N"</formula>
    </cfRule>
  </conditionalFormatting>
  <conditionalFormatting sqref="AB24:AF24">
    <cfRule type="expression" dxfId="24" priority="28">
      <formula>AND($CA$29=0,$CA$30=0)</formula>
    </cfRule>
  </conditionalFormatting>
  <conditionalFormatting sqref="AB25:AF25">
    <cfRule type="expression" dxfId="25" priority="27">
      <formula>AND($CA$33=0,$CA$34=0)</formula>
    </cfRule>
  </conditionalFormatting>
  <conditionalFormatting sqref="BU43 BY43:CD43">
    <cfRule type="expression" dxfId="26" priority="26">
      <formula>$BM$43="미장착"</formula>
    </cfRule>
  </conditionalFormatting>
  <conditionalFormatting sqref="CJ44:CW45">
    <cfRule type="expression" dxfId="27" priority="25">
      <formula>$CU$46&lt;2%</formula>
    </cfRule>
  </conditionalFormatting>
  <conditionalFormatting sqref="CZ44:DM45">
    <cfRule type="expression" dxfId="28" priority="24">
      <formula>$DK$46&lt;2%</formula>
    </cfRule>
  </conditionalFormatting>
  <conditionalFormatting sqref="DP44:EC45">
    <cfRule type="expression" dxfId="29" priority="23">
      <formula>$EA$46&lt;2%</formula>
    </cfRule>
  </conditionalFormatting>
  <conditionalFormatting sqref="W19:AA20">
    <cfRule type="expression" dxfId="30" priority="22">
      <formula>$BP$25="N"</formula>
    </cfRule>
  </conditionalFormatting>
  <conditionalFormatting sqref="B24:AR27">
    <cfRule type="expression" dxfId="31" priority="20">
      <formula>$CB$25="N"</formula>
    </cfRule>
  </conditionalFormatting>
  <conditionalFormatting sqref="BI9:BR13 BI15:BR21">
    <cfRule type="expression" dxfId="32" priority="19">
      <formula>$BP$8="N"</formula>
    </cfRule>
  </conditionalFormatting>
  <conditionalFormatting sqref="BU9:CD13 BU15:CD21">
    <cfRule type="expression" dxfId="33" priority="18">
      <formula>$CB$8="N"</formula>
    </cfRule>
  </conditionalFormatting>
  <conditionalFormatting sqref="BU26:CD37">
    <cfRule type="expression" dxfId="34" priority="14">
      <formula>$CB$25="N"</formula>
    </cfRule>
  </conditionalFormatting>
  <conditionalFormatting sqref="AK27:AL27">
    <cfRule type="expression" dxfId="35" priority="13">
      <formula>$BE$41="없음"</formula>
    </cfRule>
  </conditionalFormatting>
  <conditionalFormatting sqref="AQ27:AR27">
    <cfRule type="expression" dxfId="36" priority="12">
      <formula>$BU$41="없음"</formula>
    </cfRule>
  </conditionalFormatting>
  <conditionalFormatting sqref="BI26:BR37">
    <cfRule type="expression" dxfId="37" priority="5">
      <formula>$BP$25="N"</formula>
    </cfRule>
  </conditionalFormatting>
  <conditionalFormatting sqref="BU43:CD43">
    <cfRule type="expression" dxfId="38" priority="8">
      <formula>$BM$43="없음"</formula>
    </cfRule>
  </conditionalFormatting>
  <conditionalFormatting sqref="BO29:BR34 CN80">
    <cfRule type="expression" dxfId="39" priority="10">
      <formula>$BP$25="N"</formula>
    </cfRule>
  </conditionalFormatting>
  <conditionalFormatting sqref="BI14:BR14">
    <cfRule type="expression" dxfId="40" priority="4">
      <formula>$BP$8="N"</formula>
    </cfRule>
  </conditionalFormatting>
  <conditionalFormatting sqref="BU14:CD14">
    <cfRule type="expression" dxfId="41" priority="3">
      <formula>$CB$8="N"</formula>
    </cfRule>
  </conditionalFormatting>
  <conditionalFormatting sqref="BI14:BR14">
    <cfRule type="expression" dxfId="42" priority="2">
      <formula>$BP$8="N"</formula>
    </cfRule>
  </conditionalFormatting>
  <conditionalFormatting sqref="BU14:CD14">
    <cfRule type="expression" dxfId="43" priority="1">
      <formula>$CB$8="N"</formula>
    </cfRule>
  </conditionalFormatting>
  <dataValidations count="61">
    <dataValidation type="list" allowBlank="1" showInputMessage="1" showErrorMessage="1" sqref="AW20:AZ20">
      <formula1>"특판"</formula1>
    </dataValidation>
    <dataValidation type="list" allowBlank="1" showInputMessage="1" showErrorMessage="1" sqref="AW7">
      <formula1>"정상발주,즉출차량"</formula1>
    </dataValidation>
    <dataValidation type="list" allowBlank="1" showInputMessage="1" showErrorMessage="1" sqref="BA10:BG10">
      <formula1>IF($BA$9="현대",현대,IF($BA$9="기아",기아,IF($BA$9="르노",르노,IF($BA$9="GM",GM,IF($BA$9="쌍용",쌍용)))))</formula1>
    </dataValidation>
    <dataValidation type="list" allowBlank="1" showInputMessage="1" showErrorMessage="1" sqref="BA26:BF26">
      <formula1>"24,30,36,42,48,54,60"</formula1>
    </dataValidation>
    <dataValidation type="list" allowBlank="1" showInputMessage="1" showErrorMessage="1" sqref="BA27:BF27">
      <formula1>"년 1만km,년 1.5만km,년 2만km,년 2.5만km,년 3만km,년 3.5만km,무제한"</formula1>
    </dataValidation>
    <dataValidation type="list" allowBlank="1" showInputMessage="1" showErrorMessage="1" sqref="BA28:BF28">
      <formula1>"표준형(순회정비),표준형(입고정비),실속형(정비제외)"</formula1>
    </dataValidation>
    <dataValidation type="list" allowBlank="1" showInputMessage="1" showErrorMessage="1" sqref="BA29:BB29">
      <formula1>"0%,10%,20%,30%,40%,50%,60%,70%"</formula1>
    </dataValidation>
    <dataValidation type="list" allowBlank="1" showInputMessage="1" showErrorMessage="1" sqref="BA31:BB31">
      <formula1>"0%,10%,20%,30%,40%,50%,60%,70%"</formula1>
    </dataValidation>
    <dataValidation type="list" allowBlank="1" showInputMessage="1" showErrorMessage="1" sqref="BA33:BB33">
      <formula1>"0%,10%,20%,30%,40%,50%,60%,70%"</formula1>
    </dataValidation>
    <dataValidation type="list" allowBlank="1" showInputMessage="1" showErrorMessage="1" sqref="BA42:BH42">
      <formula1>"K Car(외주) 탁송,제조사 탁송,제조사+K Car(외주) 탁송"</formula1>
    </dataValidation>
    <dataValidation type="list" allowBlank="1" showInputMessage="1" showErrorMessage="1" sqref="BA43:BH43">
      <formula1>"없음,아이나비 A700,지넷시스템 M3(32GB)"</formula1>
    </dataValidation>
    <dataValidation type="list" allowBlank="1" showInputMessage="1" showErrorMessage="1" sqref="BA48">
      <formula1>"만 26세 이상,만 21세 이상"</formula1>
    </dataValidation>
    <dataValidation type="list" allowBlank="1" showInputMessage="1" showErrorMessage="1" sqref="BA49:BA50">
      <formula1>"가입,미가입"</formula1>
    </dataValidation>
    <dataValidation type="list" allowBlank="1" showInputMessage="1" showErrorMessage="1" sqref="BA65:BN65">
      <formula1>"0%,-1%,-2%,-3%,-4%,-5%,-6%,-7%,-8%,-9%,-10%,-11%,-12%,-13%,-14%,-15%,-16%,-17%,-18%,-19%,-20%,-21%,-22%,-23%,-24%,-25%,-26%,-27%,-28%,-29%,-30%,-31%,-32%,-33%,-34%,-35%,-36%,-37%,-38%,-39%,-40%,-41%,-42%,-43%,-44%,-45%,-46%,-47%,-48%,-49%,-50%"</formula1>
    </dataValidation>
    <dataValidation type="list" allowBlank="1" showInputMessage="1" showErrorMessage="1" sqref="BA9">
      <formula1>$EZ$23:$EZ$27</formula1>
    </dataValidation>
    <dataValidation type="list" allowBlank="1" showInputMessage="1" showErrorMessage="1" sqref="BC37:BF37">
      <formula1>"장착,미장착"</formula1>
    </dataValidation>
    <dataValidation type="list" allowBlank="1" showInputMessage="1" showErrorMessage="1" sqref="BE41:BL41">
      <formula1>"없음,쿠폰 GG,쿠폰 3M,루마 슈퍼,루마 버택스300,루마 버택스500,루마 버택스700,루마 버택스900"</formula1>
    </dataValidation>
    <dataValidation type="list" allowBlank="1" showInputMessage="1" showErrorMessage="1" sqref="BG26">
      <formula1>"6개월,12개월 (1년),24개월 (2년),36개월 (3년),48개월 (4년),60개월 (5년),72개월 (6년),80개월"</formula1>
    </dataValidation>
    <dataValidation type="list" allowBlank="1" showInputMessage="1" showErrorMessage="1" sqref="BG27">
      <formula1>"5천km,1만km,1.5만km,2만km,2.5만km,3만km,3.5만km,4만km,무제한"</formula1>
    </dataValidation>
    <dataValidation type="list" allowBlank="1" showInputMessage="1" showErrorMessage="1" sqref="BG28">
      <formula1>"표준형(순회정비),표준형(입고정비),실속형(정비제외),점검형 1(엔진오일),점검형 2(사고대차)"</formula1>
    </dataValidation>
    <dataValidation type="list" allowBlank="1" showInputMessage="1" showErrorMessage="1" sqref="BI20:BL20">
      <formula1>"특판"</formula1>
    </dataValidation>
    <dataValidation type="list" allowBlank="1" showInputMessage="1" showErrorMessage="1" sqref="BK48">
      <formula1>"1억,2억,3억,5억"</formula1>
    </dataValidation>
    <dataValidation type="list" allowBlank="1" showInputMessage="1" showErrorMessage="1" sqref="BM10:BS10">
      <formula1>IF($BM$9="현대",현대,IF($BM$9="기아",기아,IF($BM$9="르노",르노,IF($BM$9="GM",GM,IF($BM$9="쌍용",쌍용)))))</formula1>
    </dataValidation>
    <dataValidation type="list" allowBlank="1" showInputMessage="1" showErrorMessage="1" sqref="BM26:BR26">
      <formula1>"24,30,36,42,48,54,60"</formula1>
    </dataValidation>
    <dataValidation type="list" allowBlank="1" showInputMessage="1" showErrorMessage="1" sqref="BM27:BR27">
      <formula1>"년 1만km,년 1.5만km,년 2만km,년 2.5만km,년 3만km,년 3.5만km,무제한"</formula1>
    </dataValidation>
    <dataValidation type="list" allowBlank="1" showInputMessage="1" showErrorMessage="1" sqref="BM28:BR28">
      <formula1>"표준형(순회정비),표준형(입고정비),실속형(정비제외)"</formula1>
    </dataValidation>
    <dataValidation type="list" allowBlank="1" showInputMessage="1" showErrorMessage="1" sqref="BM29:BN29">
      <formula1>"0%,10%,20%,30%,40%,50%,60%,70%"</formula1>
    </dataValidation>
    <dataValidation type="list" allowBlank="1" showInputMessage="1" showErrorMessage="1" sqref="BM31:BN31">
      <formula1>"0%,10%,20%,30%,40%,50%,60%,70%"</formula1>
    </dataValidation>
    <dataValidation type="list" allowBlank="1" showInputMessage="1" showErrorMessage="1" sqref="BM33:BN33">
      <formula1>"0%,10%,20%,30%,40%,50%,60%,70%"</formula1>
    </dataValidation>
    <dataValidation type="list" allowBlank="1" showInputMessage="1" showErrorMessage="1" sqref="BM41:BO41">
      <formula1>"5%,15%"</formula1>
    </dataValidation>
    <dataValidation type="list" allowBlank="1" showInputMessage="1" showErrorMessage="1" sqref="BM42:BP42">
      <formula1>"서울,경기,인천,강원영동,강원영서,충북,충남,경북,경남,전북,전남,제주"</formula1>
    </dataValidation>
    <dataValidation type="list" allowBlank="1" showInputMessage="1" showErrorMessage="1" sqref="BM43">
      <formula1>"없음,추가(1세트/2개),추가(2세트/4개)"</formula1>
    </dataValidation>
    <dataValidation type="list" allowBlank="1" showInputMessage="1" showErrorMessage="1" sqref="BM67">
      <formula1>"스노우타이어"</formula1>
    </dataValidation>
    <dataValidation type="list" allowBlank="1" showInputMessage="1" showErrorMessage="1" sqref="BM9">
      <formula1>$EZ$23:$EZ$27</formula1>
    </dataValidation>
    <dataValidation type="list" allowBlank="1" showInputMessage="1" showErrorMessage="1" sqref="BN48">
      <formula1>"자손,자상"</formula1>
    </dataValidation>
    <dataValidation type="list" allowBlank="1" showInputMessage="1" showErrorMessage="1" sqref="BO37:BR37">
      <formula1>"장착,미장착"</formula1>
    </dataValidation>
    <dataValidation type="list" allowBlank="1" showInputMessage="1" showErrorMessage="1" sqref="BO66">
      <formula1>"스노우타이어"</formula1>
    </dataValidation>
    <dataValidation type="list" allowBlank="1" showInputMessage="1" showErrorMessage="1" sqref="BP25:BR25">
      <formula1>"Y,N"</formula1>
    </dataValidation>
    <dataValidation type="list" allowBlank="1" showInputMessage="1" showErrorMessage="1" sqref="BP8:BR8">
      <formula1>"Y,N"</formula1>
    </dataValidation>
    <dataValidation type="list" allowBlank="1" showInputMessage="1" showErrorMessage="1" sqref="BR48:BS48">
      <formula1>IF($BN$48="자손",자손,IF($BN$48="자상",자상))</formula1>
    </dataValidation>
    <dataValidation type="list" allowBlank="1" showInputMessage="1" showErrorMessage="1" sqref="BS26">
      <formula1>"6개월,12개월 (1년),24개월 (2년),36개월 (3년),48개월 (4년),60개월 (5년),72개월 (6년),80개월"</formula1>
    </dataValidation>
    <dataValidation type="list" allowBlank="1" showInputMessage="1" showErrorMessage="1" sqref="BS28">
      <formula1>"표준형(순회정비),표준형(입고정비),실속형(정비제외),점검형 1(엔진오일),점검형 2(사고대차)"</formula1>
    </dataValidation>
    <dataValidation type="list" allowBlank="1" showInputMessage="1" showErrorMessage="1" sqref="BU20:BX20">
      <formula1>"특판"</formula1>
    </dataValidation>
    <dataValidation type="list" allowBlank="1" showInputMessage="1" showErrorMessage="1" sqref="BU41:CA41">
      <formula1>"없음,루마 GG,쿨맥스,루마 슈퍼,루마 버택스300,루마 버택스500"</formula1>
    </dataValidation>
    <dataValidation type="list" allowBlank="1" showInputMessage="1" showErrorMessage="1" sqref="BY10:CE10">
      <formula1>IF($BY$9="현대",현대,IF($BY$9="기아",기아,IF($BY$9="르노",르노,IF($BY$9="GM",GM,IF($BY$9="쌍용",쌍용)))))</formula1>
    </dataValidation>
    <dataValidation type="list" allowBlank="1" showInputMessage="1" showErrorMessage="1" sqref="BY26:CD26">
      <formula1>"24,30,36,42,48,54,60"</formula1>
    </dataValidation>
    <dataValidation type="list" allowBlank="1" showInputMessage="1" showErrorMessage="1" sqref="BY27:CD27">
      <formula1>"년 1만km,년 1.5만km,년 2만km,년 2.5만km,년 3만km,년 3.5만km,무제한"</formula1>
    </dataValidation>
    <dataValidation type="list" allowBlank="1" showInputMessage="1" showErrorMessage="1" sqref="BY28:CD28">
      <formula1>"표준형(순회정비),표준형(입고정비),실속형(정비제외)"</formula1>
    </dataValidation>
    <dataValidation type="list" allowBlank="1" showInputMessage="1" showErrorMessage="1" sqref="BY29:BZ29">
      <formula1>"0%,10%,20%,30%,40%,50%,60%,70%"</formula1>
    </dataValidation>
    <dataValidation type="list" allowBlank="1" showInputMessage="1" showErrorMessage="1" sqref="BY31:BZ31">
      <formula1>"0%,10%,20%,30%,40%,50%,60%,70%"</formula1>
    </dataValidation>
    <dataValidation type="list" allowBlank="1" showInputMessage="1" showErrorMessage="1" sqref="BY33:BZ33">
      <formula1>"0%,10%,20%,30%,40%,50%,60%,70%,"</formula1>
    </dataValidation>
    <dataValidation type="list" allowBlank="1" showInputMessage="1" showErrorMessage="1" sqref="BY9">
      <formula1>$EZ$23:$EZ$27</formula1>
    </dataValidation>
    <dataValidation type="list" allowBlank="1" showInputMessage="1" showErrorMessage="1" sqref="CA37:CD37">
      <formula1>"장착,미장착"</formula1>
    </dataValidation>
    <dataValidation type="list" allowBlank="1" showInputMessage="1" showErrorMessage="1" sqref="CB25:CD25">
      <formula1>"Y,N"</formula1>
    </dataValidation>
    <dataValidation type="list" allowBlank="1" showInputMessage="1" showErrorMessage="1" sqref="CB41:CD41">
      <formula1>"35%,50%"</formula1>
    </dataValidation>
    <dataValidation type="list" allowBlank="1" showInputMessage="1" showErrorMessage="1" sqref="CB48:CD48">
      <formula1>"20만,30만,40만,50만"</formula1>
    </dataValidation>
    <dataValidation type="list" allowBlank="1" showInputMessage="1" showErrorMessage="1" sqref="CB8:CD8">
      <formula1>"Y,N"</formula1>
    </dataValidation>
    <dataValidation type="list" allowBlank="1" showInputMessage="1" showErrorMessage="1" sqref="CE26">
      <formula1>"6개월,12개월 (1년),24개월 (2년),36개월 (3년),48개월 (4년),60개월 (5년),72개월 (6년),80개월"</formula1>
    </dataValidation>
    <dataValidation type="list" allowBlank="1" showInputMessage="1" showErrorMessage="1" sqref="CE28">
      <formula1>"표준형(순회정비),표준형(입고정비),실속형(정비제외),점검형 1(엔진오일),점검형 2(사고대차)"</formula1>
    </dataValidation>
    <dataValidation type="list" allowBlank="1" showInputMessage="1" showErrorMessage="1" sqref="CE42">
      <formula1>"35%,50%"</formula1>
    </dataValidation>
    <dataValidation type="list" allowBlank="1" showInputMessage="1" showErrorMessage="1" sqref="EZ23">
      <formula1>$EZ$23:$EZ$27</formula1>
    </dataValidation>
  </dataValidations>
  <pageMargins left="0.4330708661417323" right="0.2362204724409449" top="0.7480314960629921" bottom="0.7480314960629921" header="0.31496062992125984" footer="0.31496062992125984"/>
  <pageSetup paperSize="9" orientation="landscape" horizontalDpi="4294967295" verticalDpi="4294967295" scale="39" fitToWidth="1" fitToHeight="1" firstPageNumber="1" useFirstPageNumber="1" copies="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19"/>
  <sheetViews>
    <sheetView workbookViewId="0" zoomScale="85" zoomScaleNormal="85">
      <selection activeCell="G1" sqref="G1"/>
    </sheetView>
  </sheetViews>
  <sheetFormatPr defaultRowHeight="17" outlineLevelRow="0" outlineLevelCol="0" x14ac:dyDescent="0" customHeight="1"/>
  <cols>
    <col min="1" max="1" width="8.75" style="1168" customWidth="1"/>
    <col min="2" max="2" width="9" style="1168" customWidth="1"/>
    <col min="3" max="12" width="8.75" style="1168" customWidth="1"/>
  </cols>
  <sheetData>
    <row r="3" spans="1:15" x14ac:dyDescent="0.25">
      <c r="A3" s="1169" t="s">
        <v>303</v>
      </c>
      <c r="B3" s="1169" t="s">
        <v>402</v>
      </c>
      <c r="C3" s="1169" t="s">
        <v>407</v>
      </c>
      <c r="D3" s="1169" t="s">
        <v>390</v>
      </c>
      <c r="E3" s="1169" t="s">
        <v>398</v>
      </c>
      <c r="F3" s="1169" t="s">
        <v>395</v>
      </c>
      <c r="G3" s="1169" t="s">
        <v>386</v>
      </c>
      <c r="H3" s="1169" t="s">
        <v>473</v>
      </c>
      <c r="I3" s="1169" t="s">
        <v>410</v>
      </c>
      <c r="J3" s="1169" t="s">
        <v>490</v>
      </c>
      <c r="K3" s="1169" t="s">
        <v>682</v>
      </c>
      <c r="L3" s="1169" t="s">
        <v>439</v>
      </c>
      <c r="N3" s="1170" t="s">
        <v>402</v>
      </c>
      <c r="O3">
        <v>2</v>
      </c>
    </row>
    <row r="4" spans="1:15" x14ac:dyDescent="0.25">
      <c r="A4" s="1169">
        <v>1</v>
      </c>
      <c r="B4" s="1171">
        <v>0.91</v>
      </c>
      <c r="C4" s="1171">
        <v>0.89</v>
      </c>
      <c r="D4" s="1171">
        <v>0.87</v>
      </c>
      <c r="E4" s="1171">
        <v>0.85</v>
      </c>
      <c r="F4" s="1171">
        <v>0.8300000000000001</v>
      </c>
      <c r="G4" s="1171">
        <v>0.81</v>
      </c>
      <c r="H4" s="1171">
        <v>0.79</v>
      </c>
      <c r="I4" s="1171">
        <v>0.77</v>
      </c>
      <c r="J4" s="1171">
        <v>0.75</v>
      </c>
      <c r="K4" s="1171">
        <v>0.73</v>
      </c>
      <c r="L4" s="1171">
        <v>0.71</v>
      </c>
      <c r="N4" s="1169" t="s">
        <v>407</v>
      </c>
      <c r="O4">
        <v>3</v>
      </c>
    </row>
    <row r="5" spans="1:15" x14ac:dyDescent="0.25">
      <c r="A5" s="1169">
        <v>2</v>
      </c>
      <c r="B5" s="1171">
        <v>0.89</v>
      </c>
      <c r="C5" s="1171">
        <v>0.87</v>
      </c>
      <c r="D5" s="1171">
        <v>0.85</v>
      </c>
      <c r="E5" s="1171">
        <v>0.8300000000000001</v>
      </c>
      <c r="F5" s="1171">
        <v>0.81</v>
      </c>
      <c r="G5" s="1171">
        <v>0.79</v>
      </c>
      <c r="H5" s="1171">
        <v>0.77</v>
      </c>
      <c r="I5" s="1171">
        <v>0.75</v>
      </c>
      <c r="J5" s="1171">
        <v>0.73</v>
      </c>
      <c r="K5" s="1171">
        <v>0.71</v>
      </c>
      <c r="L5" s="1171">
        <v>0.6900000000000001</v>
      </c>
      <c r="N5" s="1169" t="s">
        <v>390</v>
      </c>
      <c r="O5" s="1172">
        <v>4</v>
      </c>
    </row>
    <row r="6" spans="1:15" x14ac:dyDescent="0.25">
      <c r="A6" s="1169">
        <v>3</v>
      </c>
      <c r="B6" s="1173">
        <v>0.875</v>
      </c>
      <c r="C6" s="1171">
        <v>0.855</v>
      </c>
      <c r="D6" s="1171">
        <v>0.835</v>
      </c>
      <c r="E6" s="1171">
        <v>0.8150000000000001</v>
      </c>
      <c r="F6" s="1171">
        <v>0.795</v>
      </c>
      <c r="G6" s="1171">
        <v>0.775</v>
      </c>
      <c r="H6" s="1171">
        <v>0.755</v>
      </c>
      <c r="I6" s="1171">
        <v>0.735</v>
      </c>
      <c r="J6" s="1171">
        <v>0.715</v>
      </c>
      <c r="K6" s="1171">
        <v>0.6950000000000001</v>
      </c>
      <c r="L6" s="1171">
        <v>0.675</v>
      </c>
      <c r="N6" s="1169" t="s">
        <v>398</v>
      </c>
      <c r="O6" s="1172">
        <v>5</v>
      </c>
    </row>
    <row r="7" spans="1:15" x14ac:dyDescent="0.25">
      <c r="A7" s="1169">
        <v>4</v>
      </c>
      <c r="B7" s="1171">
        <v>0.86</v>
      </c>
      <c r="C7" s="1171">
        <v>0.84</v>
      </c>
      <c r="D7" s="1171">
        <v>0.8200000000000001</v>
      </c>
      <c r="E7" s="1171">
        <v>0.8</v>
      </c>
      <c r="F7" s="1171">
        <v>0.78</v>
      </c>
      <c r="G7" s="1171">
        <v>0.76</v>
      </c>
      <c r="H7" s="1171">
        <v>0.74</v>
      </c>
      <c r="I7" s="1171">
        <v>0.72</v>
      </c>
      <c r="J7" s="1171">
        <v>0.7000000000000001</v>
      </c>
      <c r="K7" s="1171">
        <v>0.68</v>
      </c>
      <c r="L7" s="1171">
        <v>0.66</v>
      </c>
      <c r="N7" s="1169" t="s">
        <v>395</v>
      </c>
      <c r="O7" s="1172">
        <v>6</v>
      </c>
    </row>
    <row r="8" spans="1:15" x14ac:dyDescent="0.25">
      <c r="A8" s="1169">
        <v>5</v>
      </c>
      <c r="B8" s="1173">
        <v>0.845</v>
      </c>
      <c r="C8" s="1171">
        <v>0.8250000000000001</v>
      </c>
      <c r="D8" s="1171">
        <v>0.805</v>
      </c>
      <c r="E8" s="1171">
        <v>0.785</v>
      </c>
      <c r="F8" s="1171">
        <v>0.765</v>
      </c>
      <c r="G8" s="1171">
        <v>0.745</v>
      </c>
      <c r="H8" s="1171">
        <v>0.725</v>
      </c>
      <c r="I8" s="1171">
        <v>0.705</v>
      </c>
      <c r="J8" s="1171">
        <v>0.685</v>
      </c>
      <c r="K8" s="1171">
        <v>0.665</v>
      </c>
      <c r="L8" s="1171">
        <v>0.645</v>
      </c>
      <c r="N8" s="1169" t="s">
        <v>386</v>
      </c>
      <c r="O8" s="1174">
        <v>7</v>
      </c>
    </row>
    <row r="9" spans="1:15" x14ac:dyDescent="0.25">
      <c r="A9" s="1169">
        <v>6</v>
      </c>
      <c r="B9" s="1171">
        <v>0.83</v>
      </c>
      <c r="C9" s="1171">
        <v>0.81</v>
      </c>
      <c r="D9" s="1171">
        <v>0.79</v>
      </c>
      <c r="E9" s="1171">
        <v>0.77</v>
      </c>
      <c r="F9" s="1171">
        <v>0.75</v>
      </c>
      <c r="G9" s="1171">
        <v>0.73</v>
      </c>
      <c r="H9" s="1171">
        <v>0.71</v>
      </c>
      <c r="I9" s="1171">
        <v>0.6900000000000001</v>
      </c>
      <c r="J9" s="1171">
        <v>0.67</v>
      </c>
      <c r="K9" s="1171">
        <v>0.65</v>
      </c>
      <c r="L9" s="1171">
        <v>0.63</v>
      </c>
      <c r="N9" s="1169" t="s">
        <v>473</v>
      </c>
      <c r="O9" s="1174">
        <v>8</v>
      </c>
    </row>
    <row r="10" spans="1:15" x14ac:dyDescent="0.25">
      <c r="A10" s="1169">
        <v>7</v>
      </c>
      <c r="B10" s="1173">
        <v>0.815</v>
      </c>
      <c r="C10" s="1171">
        <v>0.795</v>
      </c>
      <c r="D10" s="1171">
        <v>0.775</v>
      </c>
      <c r="E10" s="1171">
        <v>0.755</v>
      </c>
      <c r="F10" s="1171">
        <v>0.735</v>
      </c>
      <c r="G10" s="1171">
        <v>0.715</v>
      </c>
      <c r="H10" s="1171">
        <v>0.6950000000000001</v>
      </c>
      <c r="I10" s="1171">
        <v>0.675</v>
      </c>
      <c r="J10" s="1171">
        <v>0.655</v>
      </c>
      <c r="K10" s="1171">
        <v>0.635</v>
      </c>
      <c r="L10" s="1171">
        <v>0.615</v>
      </c>
      <c r="N10" s="1169" t="s">
        <v>410</v>
      </c>
      <c r="O10" s="1174">
        <v>9</v>
      </c>
    </row>
    <row r="11" spans="1:15" x14ac:dyDescent="0.25">
      <c r="A11" s="1169">
        <v>8</v>
      </c>
      <c r="B11" s="1171">
        <v>0.8</v>
      </c>
      <c r="C11" s="1171">
        <v>0.78</v>
      </c>
      <c r="D11" s="1171">
        <v>0.76</v>
      </c>
      <c r="E11" s="1171">
        <v>0.74</v>
      </c>
      <c r="F11" s="1171">
        <v>0.72</v>
      </c>
      <c r="G11" s="1171">
        <v>0.7000000000000001</v>
      </c>
      <c r="H11" s="1171">
        <v>0.68</v>
      </c>
      <c r="I11" s="1171">
        <v>0.66</v>
      </c>
      <c r="J11" s="1171">
        <v>0.64</v>
      </c>
      <c r="K11" s="1171">
        <v>0.62</v>
      </c>
      <c r="L11" s="1171">
        <v>0.6</v>
      </c>
      <c r="N11" s="1169" t="s">
        <v>490</v>
      </c>
      <c r="O11" s="1174">
        <v>10</v>
      </c>
    </row>
    <row r="12" spans="1:15" x14ac:dyDescent="0.25">
      <c r="A12" s="1169">
        <v>9</v>
      </c>
      <c r="B12" s="1173">
        <v>0.785</v>
      </c>
      <c r="C12" s="1171">
        <v>0.765</v>
      </c>
      <c r="D12" s="1171">
        <v>0.745</v>
      </c>
      <c r="E12" s="1171">
        <v>0.725</v>
      </c>
      <c r="F12" s="1171">
        <v>0.705</v>
      </c>
      <c r="G12" s="1171">
        <v>0.685</v>
      </c>
      <c r="H12" s="1171">
        <v>0.665</v>
      </c>
      <c r="I12" s="1171">
        <v>0.645</v>
      </c>
      <c r="J12" s="1171">
        <v>0.625</v>
      </c>
      <c r="K12" s="1171">
        <v>0.605</v>
      </c>
      <c r="L12" s="1171">
        <v>0.585</v>
      </c>
      <c r="N12" s="1169" t="s">
        <v>682</v>
      </c>
      <c r="O12" s="1174">
        <v>11</v>
      </c>
    </row>
    <row r="13" spans="1:15" x14ac:dyDescent="0.25">
      <c r="A13" s="1169">
        <v>10</v>
      </c>
      <c r="B13" s="1171">
        <v>0.77</v>
      </c>
      <c r="C13" s="1171">
        <v>0.75</v>
      </c>
      <c r="D13" s="1171">
        <v>0.73</v>
      </c>
      <c r="E13" s="1171">
        <v>0.71</v>
      </c>
      <c r="F13" s="1171">
        <v>0.6900000000000001</v>
      </c>
      <c r="G13" s="1171">
        <v>0.67</v>
      </c>
      <c r="H13" s="1171">
        <v>0.65</v>
      </c>
      <c r="I13" s="1171">
        <v>0.63</v>
      </c>
      <c r="J13" s="1171">
        <v>0.61</v>
      </c>
      <c r="K13" s="1171">
        <v>0.59</v>
      </c>
      <c r="L13" s="1171">
        <v>0.5700000000000001</v>
      </c>
      <c r="N13" s="1169" t="s">
        <v>439</v>
      </c>
      <c r="O13" s="1174">
        <v>12</v>
      </c>
    </row>
    <row r="14" spans="1:12" x14ac:dyDescent="0.25">
      <c r="A14" s="1169">
        <v>11</v>
      </c>
      <c r="B14" s="1173">
        <v>0.755</v>
      </c>
      <c r="C14" s="1171">
        <v>0.735</v>
      </c>
      <c r="D14" s="1171">
        <v>0.715</v>
      </c>
      <c r="E14" s="1171">
        <v>0.6950000000000001</v>
      </c>
      <c r="F14" s="1171">
        <v>0.675</v>
      </c>
      <c r="G14" s="1171">
        <v>0.655</v>
      </c>
      <c r="H14" s="1171">
        <v>0.635</v>
      </c>
      <c r="I14" s="1171">
        <v>0.615</v>
      </c>
      <c r="J14" s="1171">
        <v>0.595</v>
      </c>
      <c r="K14" s="1171">
        <v>0.5750000000000001</v>
      </c>
      <c r="L14" s="1171">
        <v>0.555</v>
      </c>
    </row>
    <row r="15" spans="1:12" x14ac:dyDescent="0.25">
      <c r="A15" s="1175">
        <v>12</v>
      </c>
      <c r="B15" s="1176">
        <v>0.74</v>
      </c>
      <c r="C15" s="1176">
        <v>0.72</v>
      </c>
      <c r="D15" s="1176">
        <v>0.7000000000000001</v>
      </c>
      <c r="E15" s="1176">
        <v>0.68</v>
      </c>
      <c r="F15" s="1176">
        <v>0.66</v>
      </c>
      <c r="G15" s="1176">
        <v>0.64</v>
      </c>
      <c r="H15" s="1176">
        <v>0.62</v>
      </c>
      <c r="I15" s="1176">
        <v>0.6</v>
      </c>
      <c r="J15" s="1176">
        <v>0.58</v>
      </c>
      <c r="K15" s="1176">
        <v>0.56</v>
      </c>
      <c r="L15" s="1176">
        <v>0.54</v>
      </c>
    </row>
    <row r="16" spans="1:12" x14ac:dyDescent="0.25">
      <c r="A16" s="1169">
        <v>13</v>
      </c>
      <c r="B16" s="1171">
        <v>0.73</v>
      </c>
      <c r="C16" s="1171">
        <v>0.71</v>
      </c>
      <c r="D16" s="1171">
        <v>0.6900000000000001</v>
      </c>
      <c r="E16" s="1171">
        <v>0.67</v>
      </c>
      <c r="F16" s="1171">
        <v>0.65</v>
      </c>
      <c r="G16" s="1171">
        <v>0.63</v>
      </c>
      <c r="H16" s="1171">
        <v>0.61</v>
      </c>
      <c r="I16" s="1171">
        <v>0.59</v>
      </c>
      <c r="J16" s="1171">
        <v>0.5700000000000001</v>
      </c>
      <c r="K16" s="1171">
        <v>0.55</v>
      </c>
      <c r="L16" s="1171">
        <v>0.53</v>
      </c>
    </row>
    <row r="17" spans="1:12" x14ac:dyDescent="0.25">
      <c r="A17" s="1169">
        <v>14</v>
      </c>
      <c r="B17" s="1171">
        <v>0.72</v>
      </c>
      <c r="C17" s="1171">
        <v>0.7000000000000001</v>
      </c>
      <c r="D17" s="1171">
        <v>0.68</v>
      </c>
      <c r="E17" s="1171">
        <v>0.66</v>
      </c>
      <c r="F17" s="1171">
        <v>0.64</v>
      </c>
      <c r="G17" s="1171">
        <v>0.62</v>
      </c>
      <c r="H17" s="1171">
        <v>0.6</v>
      </c>
      <c r="I17" s="1171">
        <v>0.58</v>
      </c>
      <c r="J17" s="1171">
        <v>0.56</v>
      </c>
      <c r="K17" s="1171">
        <v>0.54</v>
      </c>
      <c r="L17" s="1171">
        <v>0.52</v>
      </c>
    </row>
    <row r="18" spans="1:15" x14ac:dyDescent="0.25">
      <c r="A18" s="1169">
        <v>15</v>
      </c>
      <c r="B18" s="1171">
        <v>0.71</v>
      </c>
      <c r="C18" s="1171">
        <v>0.6900000000000001</v>
      </c>
      <c r="D18" s="1171">
        <v>0.67</v>
      </c>
      <c r="E18" s="1171">
        <v>0.65</v>
      </c>
      <c r="F18" s="1171">
        <v>0.63</v>
      </c>
      <c r="G18" s="1171">
        <v>0.61</v>
      </c>
      <c r="H18" s="1171">
        <v>0.59</v>
      </c>
      <c r="I18" s="1171">
        <v>0.5700000000000001</v>
      </c>
      <c r="J18" s="1171">
        <v>0.55</v>
      </c>
      <c r="K18" s="1171">
        <v>0.53</v>
      </c>
      <c r="L18" s="1171">
        <v>0.51</v>
      </c>
      <c r="O18" s="1177"/>
    </row>
    <row r="19" spans="1:14" x14ac:dyDescent="0.25">
      <c r="A19" s="1169">
        <v>16</v>
      </c>
      <c r="B19" s="1171">
        <v>0.7</v>
      </c>
      <c r="C19" s="1171">
        <v>0.68</v>
      </c>
      <c r="D19" s="1171">
        <v>0.66</v>
      </c>
      <c r="E19" s="1171">
        <v>0.64</v>
      </c>
      <c r="F19" s="1171">
        <v>0.62</v>
      </c>
      <c r="G19" s="1171">
        <v>0.6</v>
      </c>
      <c r="H19" s="1171">
        <v>0.58</v>
      </c>
      <c r="I19" s="1171">
        <v>0.56</v>
      </c>
      <c r="J19" s="1171">
        <v>0.54</v>
      </c>
      <c r="K19" s="1171">
        <v>0.52</v>
      </c>
      <c r="L19" s="1171">
        <v>0.5</v>
      </c>
      <c r="N19" s="1178">
        <v>0.01</v>
      </c>
    </row>
    <row r="20" spans="1:12" x14ac:dyDescent="0.25">
      <c r="A20" s="1169">
        <v>17</v>
      </c>
      <c r="B20" s="1171">
        <v>0.69</v>
      </c>
      <c r="C20" s="1171">
        <v>0.67</v>
      </c>
      <c r="D20" s="1171">
        <v>0.65</v>
      </c>
      <c r="E20" s="1171">
        <v>0.63</v>
      </c>
      <c r="F20" s="1171">
        <v>0.61</v>
      </c>
      <c r="G20" s="1171">
        <v>0.59</v>
      </c>
      <c r="H20" s="1171">
        <v>0.5700000000000001</v>
      </c>
      <c r="I20" s="1171">
        <v>0.55</v>
      </c>
      <c r="J20" s="1171">
        <v>0.53</v>
      </c>
      <c r="K20" s="1171">
        <v>0.51</v>
      </c>
      <c r="L20" s="1171">
        <v>0.49</v>
      </c>
    </row>
    <row r="21" spans="1:12" x14ac:dyDescent="0.25">
      <c r="A21" s="1169">
        <v>18</v>
      </c>
      <c r="B21" s="1171">
        <v>0.68</v>
      </c>
      <c r="C21" s="1171">
        <v>0.66</v>
      </c>
      <c r="D21" s="1171">
        <v>0.64</v>
      </c>
      <c r="E21" s="1171">
        <v>0.62</v>
      </c>
      <c r="F21" s="1171">
        <v>0.6</v>
      </c>
      <c r="G21" s="1171">
        <v>0.58</v>
      </c>
      <c r="H21" s="1171">
        <v>0.56</v>
      </c>
      <c r="I21" s="1171">
        <v>0.54</v>
      </c>
      <c r="J21" s="1171">
        <v>0.52</v>
      </c>
      <c r="K21" s="1171">
        <v>0.5</v>
      </c>
      <c r="L21" s="1171">
        <v>0.48</v>
      </c>
    </row>
    <row r="22" spans="1:12" x14ac:dyDescent="0.25">
      <c r="A22" s="1169">
        <v>19</v>
      </c>
      <c r="B22" s="1171">
        <v>0.67</v>
      </c>
      <c r="C22" s="1171">
        <v>0.65</v>
      </c>
      <c r="D22" s="1171">
        <v>0.63</v>
      </c>
      <c r="E22" s="1171">
        <v>0.61</v>
      </c>
      <c r="F22" s="1171">
        <v>0.59</v>
      </c>
      <c r="G22" s="1171">
        <v>0.5700000000000001</v>
      </c>
      <c r="H22" s="1171">
        <v>0.55</v>
      </c>
      <c r="I22" s="1171">
        <v>0.53</v>
      </c>
      <c r="J22" s="1171">
        <v>0.51</v>
      </c>
      <c r="K22" s="1171">
        <v>0.49</v>
      </c>
      <c r="L22" s="1171">
        <v>0.47000000000000003</v>
      </c>
    </row>
    <row r="23" spans="1:12" x14ac:dyDescent="0.25">
      <c r="A23" s="1169">
        <v>20</v>
      </c>
      <c r="B23" s="1171">
        <v>0.66</v>
      </c>
      <c r="C23" s="1171">
        <v>0.64</v>
      </c>
      <c r="D23" s="1171">
        <v>0.62</v>
      </c>
      <c r="E23" s="1171">
        <v>0.6</v>
      </c>
      <c r="F23" s="1171">
        <v>0.58</v>
      </c>
      <c r="G23" s="1171">
        <v>0.56</v>
      </c>
      <c r="H23" s="1171">
        <v>0.54</v>
      </c>
      <c r="I23" s="1171">
        <v>0.52</v>
      </c>
      <c r="J23" s="1171">
        <v>0.5</v>
      </c>
      <c r="K23" s="1171">
        <v>0.48</v>
      </c>
      <c r="L23" s="1171">
        <v>0.46</v>
      </c>
    </row>
    <row r="24" spans="1:12" x14ac:dyDescent="0.25">
      <c r="A24" s="1169">
        <v>21</v>
      </c>
      <c r="B24" s="1173">
        <v>0.655</v>
      </c>
      <c r="C24" s="1171">
        <v>0.635</v>
      </c>
      <c r="D24" s="1171">
        <v>0.615</v>
      </c>
      <c r="E24" s="1171">
        <v>0.595</v>
      </c>
      <c r="F24" s="1171">
        <v>0.5750000000000001</v>
      </c>
      <c r="G24" s="1171">
        <v>0.555</v>
      </c>
      <c r="H24" s="1171">
        <v>0.535</v>
      </c>
      <c r="I24" s="1171">
        <v>0.515</v>
      </c>
      <c r="J24" s="1171">
        <v>0.495</v>
      </c>
      <c r="K24" s="1171">
        <v>0.47500000000000003</v>
      </c>
      <c r="L24" s="1171">
        <v>0.455</v>
      </c>
    </row>
    <row r="25" spans="1:12" x14ac:dyDescent="0.25">
      <c r="A25" s="1169">
        <v>22</v>
      </c>
      <c r="B25" s="1171">
        <v>0.65</v>
      </c>
      <c r="C25" s="1171">
        <v>0.63</v>
      </c>
      <c r="D25" s="1171">
        <v>0.61</v>
      </c>
      <c r="E25" s="1171">
        <v>0.59</v>
      </c>
      <c r="F25" s="1171">
        <v>0.5700000000000001</v>
      </c>
      <c r="G25" s="1171">
        <v>0.55</v>
      </c>
      <c r="H25" s="1171">
        <v>0.53</v>
      </c>
      <c r="I25" s="1171">
        <v>0.51</v>
      </c>
      <c r="J25" s="1171">
        <v>0.49</v>
      </c>
      <c r="K25" s="1171">
        <v>0.47000000000000003</v>
      </c>
      <c r="L25" s="1171">
        <v>0.45</v>
      </c>
    </row>
    <row r="26" spans="1:12" x14ac:dyDescent="0.25">
      <c r="A26" s="1169">
        <v>23</v>
      </c>
      <c r="B26" s="1173">
        <v>0.645</v>
      </c>
      <c r="C26" s="1171">
        <v>0.625</v>
      </c>
      <c r="D26" s="1171">
        <v>0.605</v>
      </c>
      <c r="E26" s="1171">
        <v>0.585</v>
      </c>
      <c r="F26" s="1171">
        <v>0.5650000000000001</v>
      </c>
      <c r="G26" s="1171">
        <v>0.545</v>
      </c>
      <c r="H26" s="1171">
        <v>0.525</v>
      </c>
      <c r="I26" s="1171">
        <v>0.505</v>
      </c>
      <c r="J26" s="1171">
        <v>0.485</v>
      </c>
      <c r="K26" s="1171">
        <v>0.465</v>
      </c>
      <c r="L26" s="1171">
        <v>0.445</v>
      </c>
    </row>
    <row r="27" spans="1:12" x14ac:dyDescent="0.25">
      <c r="A27" s="1175">
        <v>24</v>
      </c>
      <c r="B27" s="1176">
        <v>0.64</v>
      </c>
      <c r="C27" s="1176">
        <v>0.62</v>
      </c>
      <c r="D27" s="1176">
        <v>0.6</v>
      </c>
      <c r="E27" s="1176">
        <v>0.58</v>
      </c>
      <c r="F27" s="1176">
        <v>0.56</v>
      </c>
      <c r="G27" s="1176">
        <v>0.54</v>
      </c>
      <c r="H27" s="1176">
        <v>0.52</v>
      </c>
      <c r="I27" s="1176">
        <v>0.5</v>
      </c>
      <c r="J27" s="1176">
        <v>0.48</v>
      </c>
      <c r="K27" s="1176">
        <v>0.46</v>
      </c>
      <c r="L27" s="1176">
        <v>0.44</v>
      </c>
    </row>
    <row r="28" spans="1:12" x14ac:dyDescent="0.25">
      <c r="A28" s="1169">
        <v>25</v>
      </c>
      <c r="B28" s="1171">
        <v>0.63</v>
      </c>
      <c r="C28" s="1171">
        <v>0.61</v>
      </c>
      <c r="D28" s="1171">
        <v>0.59</v>
      </c>
      <c r="E28" s="1171">
        <v>0.5700000000000001</v>
      </c>
      <c r="F28" s="1171">
        <v>0.55</v>
      </c>
      <c r="G28" s="1171">
        <v>0.53</v>
      </c>
      <c r="H28" s="1171">
        <v>0.51</v>
      </c>
      <c r="I28" s="1171">
        <v>0.49</v>
      </c>
      <c r="J28" s="1171">
        <v>0.47000000000000003</v>
      </c>
      <c r="K28" s="1171">
        <v>0.44</v>
      </c>
      <c r="L28" s="1171">
        <v>0.42</v>
      </c>
    </row>
    <row r="29" spans="1:12" x14ac:dyDescent="0.25">
      <c r="A29" s="1169">
        <v>26</v>
      </c>
      <c r="B29" s="1171">
        <v>0.62</v>
      </c>
      <c r="C29" s="1171">
        <v>0.6</v>
      </c>
      <c r="D29" s="1171">
        <v>0.58</v>
      </c>
      <c r="E29" s="1171">
        <v>0.56</v>
      </c>
      <c r="F29" s="1171">
        <v>0.54</v>
      </c>
      <c r="G29" s="1171">
        <v>0.52</v>
      </c>
      <c r="H29" s="1171">
        <v>0.5</v>
      </c>
      <c r="I29" s="1171">
        <v>0.48</v>
      </c>
      <c r="J29" s="1171">
        <v>0.46</v>
      </c>
      <c r="K29" s="1171">
        <v>0.43</v>
      </c>
      <c r="L29" s="1171">
        <v>0.4</v>
      </c>
    </row>
    <row r="30" spans="1:12" x14ac:dyDescent="0.25">
      <c r="A30" s="1169">
        <v>27</v>
      </c>
      <c r="B30" s="1171">
        <v>0.61</v>
      </c>
      <c r="C30" s="1171">
        <v>0.59</v>
      </c>
      <c r="D30" s="1171">
        <v>0.5700000000000001</v>
      </c>
      <c r="E30" s="1171">
        <v>0.55</v>
      </c>
      <c r="F30" s="1171">
        <v>0.53</v>
      </c>
      <c r="G30" s="1171">
        <v>0.51</v>
      </c>
      <c r="H30" s="1171">
        <v>0.49</v>
      </c>
      <c r="I30" s="1171">
        <v>0.47000000000000003</v>
      </c>
      <c r="J30" s="1171">
        <v>0.45</v>
      </c>
      <c r="K30" s="1171">
        <v>0.42</v>
      </c>
      <c r="L30" s="1171">
        <v>0.39</v>
      </c>
    </row>
    <row r="31" spans="1:12" x14ac:dyDescent="0.25">
      <c r="A31" s="1169">
        <v>28</v>
      </c>
      <c r="B31" s="1171">
        <v>0.6</v>
      </c>
      <c r="C31" s="1171">
        <v>0.58</v>
      </c>
      <c r="D31" s="1171">
        <v>0.56</v>
      </c>
      <c r="E31" s="1171">
        <v>0.54</v>
      </c>
      <c r="F31" s="1171">
        <v>0.52</v>
      </c>
      <c r="G31" s="1171">
        <v>0.5</v>
      </c>
      <c r="H31" s="1171">
        <v>0.48</v>
      </c>
      <c r="I31" s="1171">
        <v>0.46</v>
      </c>
      <c r="J31" s="1171">
        <v>0.44</v>
      </c>
      <c r="K31" s="1171">
        <v>0.41000000000000003</v>
      </c>
      <c r="L31" s="1171">
        <v>0.38</v>
      </c>
    </row>
    <row r="32" spans="1:12" x14ac:dyDescent="0.25">
      <c r="A32" s="1169">
        <v>29</v>
      </c>
      <c r="B32" s="1173">
        <v>0.595</v>
      </c>
      <c r="C32" s="1171">
        <v>0.5750000000000001</v>
      </c>
      <c r="D32" s="1171">
        <v>0.555</v>
      </c>
      <c r="E32" s="1171">
        <v>0.535</v>
      </c>
      <c r="F32" s="1171">
        <v>0.515</v>
      </c>
      <c r="G32" s="1171">
        <v>0.49</v>
      </c>
      <c r="H32" s="1171">
        <v>0.47000000000000003</v>
      </c>
      <c r="I32" s="1171">
        <v>0.45</v>
      </c>
      <c r="J32" s="1171">
        <v>0.43</v>
      </c>
      <c r="K32" s="1171">
        <v>0.4</v>
      </c>
      <c r="L32" s="1171">
        <v>0.37</v>
      </c>
    </row>
    <row r="33" spans="1:12" x14ac:dyDescent="0.25">
      <c r="A33" s="1169">
        <v>30</v>
      </c>
      <c r="B33" s="1171">
        <v>0.59</v>
      </c>
      <c r="C33" s="1171">
        <v>0.5700000000000001</v>
      </c>
      <c r="D33" s="1171">
        <v>0.55</v>
      </c>
      <c r="E33" s="1171">
        <v>0.53</v>
      </c>
      <c r="F33" s="1171">
        <v>0.51</v>
      </c>
      <c r="G33" s="1171">
        <v>0.48</v>
      </c>
      <c r="H33" s="1171">
        <v>0.46</v>
      </c>
      <c r="I33" s="1171">
        <v>0.44</v>
      </c>
      <c r="J33" s="1171">
        <v>0.42</v>
      </c>
      <c r="K33" s="1171">
        <v>0.39</v>
      </c>
      <c r="L33" s="1171">
        <v>0.36</v>
      </c>
    </row>
    <row r="34" spans="1:12" x14ac:dyDescent="0.25">
      <c r="A34" s="1169">
        <v>31</v>
      </c>
      <c r="B34" s="1173">
        <v>0.585</v>
      </c>
      <c r="C34" s="1171">
        <v>0.5650000000000001</v>
      </c>
      <c r="D34" s="1171">
        <v>0.545</v>
      </c>
      <c r="E34" s="1171">
        <v>0.525</v>
      </c>
      <c r="F34" s="1171">
        <v>0.505</v>
      </c>
      <c r="G34" s="1171">
        <v>0.47500000000000003</v>
      </c>
      <c r="H34" s="1171">
        <v>0.45</v>
      </c>
      <c r="I34" s="1171">
        <v>0.43</v>
      </c>
      <c r="J34" s="1171">
        <v>0.41000000000000003</v>
      </c>
      <c r="K34" s="1171">
        <v>0.38</v>
      </c>
      <c r="L34" s="1171">
        <v>0.35000000000000003</v>
      </c>
    </row>
    <row r="35" spans="1:12" x14ac:dyDescent="0.25">
      <c r="A35" s="1169">
        <v>32</v>
      </c>
      <c r="B35" s="1171">
        <v>0.58</v>
      </c>
      <c r="C35" s="1171">
        <v>0.56</v>
      </c>
      <c r="D35" s="1171">
        <v>0.54</v>
      </c>
      <c r="E35" s="1171">
        <v>0.52</v>
      </c>
      <c r="F35" s="1171">
        <v>0.5</v>
      </c>
      <c r="G35" s="1171">
        <v>0.47000000000000003</v>
      </c>
      <c r="H35" s="1171">
        <v>0.445</v>
      </c>
      <c r="I35" s="1171">
        <v>0.42</v>
      </c>
      <c r="J35" s="1171">
        <v>0.4</v>
      </c>
      <c r="K35" s="1171">
        <v>0.37</v>
      </c>
      <c r="L35" s="1171">
        <v>0.34</v>
      </c>
    </row>
    <row r="36" spans="1:12" x14ac:dyDescent="0.25">
      <c r="A36" s="1169">
        <v>33</v>
      </c>
      <c r="B36" s="1173">
        <v>0.575</v>
      </c>
      <c r="C36" s="1171">
        <v>0.555</v>
      </c>
      <c r="D36" s="1171">
        <v>0.535</v>
      </c>
      <c r="E36" s="1171">
        <v>0.515</v>
      </c>
      <c r="F36" s="1171">
        <v>0.495</v>
      </c>
      <c r="G36" s="1171">
        <v>0.465</v>
      </c>
      <c r="H36" s="1171">
        <v>0.44</v>
      </c>
      <c r="I36" s="1171">
        <v>0.41000000000000003</v>
      </c>
      <c r="J36" s="1171">
        <v>0.39</v>
      </c>
      <c r="K36" s="1171">
        <v>0.36</v>
      </c>
      <c r="L36" s="1171">
        <v>0.33</v>
      </c>
    </row>
    <row r="37" spans="1:12" x14ac:dyDescent="0.25">
      <c r="A37" s="1169">
        <v>34</v>
      </c>
      <c r="B37" s="1171">
        <v>0.57</v>
      </c>
      <c r="C37" s="1171">
        <v>0.55</v>
      </c>
      <c r="D37" s="1171">
        <v>0.53</v>
      </c>
      <c r="E37" s="1171">
        <v>0.51</v>
      </c>
      <c r="F37" s="1171">
        <v>0.49</v>
      </c>
      <c r="G37" s="1171">
        <v>0.46</v>
      </c>
      <c r="H37" s="1171">
        <v>0.43</v>
      </c>
      <c r="I37" s="1171">
        <v>0.4</v>
      </c>
      <c r="J37" s="1171">
        <v>0.38</v>
      </c>
      <c r="K37" s="1171">
        <v>0.35000000000000003</v>
      </c>
      <c r="L37" s="1171">
        <v>0.32</v>
      </c>
    </row>
    <row r="38" spans="1:12" x14ac:dyDescent="0.25">
      <c r="A38" s="1169">
        <v>35</v>
      </c>
      <c r="B38" s="1173">
        <v>0.565</v>
      </c>
      <c r="C38" s="1171">
        <v>0.545</v>
      </c>
      <c r="D38" s="1171">
        <v>0.525</v>
      </c>
      <c r="E38" s="1171">
        <v>0.505</v>
      </c>
      <c r="F38" s="1171">
        <v>0.485</v>
      </c>
      <c r="G38" s="1171">
        <v>0.455</v>
      </c>
      <c r="H38" s="1171">
        <v>0.425</v>
      </c>
      <c r="I38" s="1171">
        <v>0.395</v>
      </c>
      <c r="J38" s="1171">
        <v>0.37</v>
      </c>
      <c r="K38" s="1171">
        <v>0.34</v>
      </c>
      <c r="L38" s="1171">
        <v>0.31</v>
      </c>
    </row>
    <row r="39" spans="1:12" x14ac:dyDescent="0.25">
      <c r="A39" s="1175">
        <v>36</v>
      </c>
      <c r="B39" s="1176">
        <v>0.56</v>
      </c>
      <c r="C39" s="1176">
        <v>0.54</v>
      </c>
      <c r="D39" s="1176">
        <v>0.52</v>
      </c>
      <c r="E39" s="1176">
        <v>0.5</v>
      </c>
      <c r="F39" s="1176">
        <v>0.48</v>
      </c>
      <c r="G39" s="1176">
        <v>0.45</v>
      </c>
      <c r="H39" s="1176">
        <v>0.42</v>
      </c>
      <c r="I39" s="1176">
        <v>0.39</v>
      </c>
      <c r="J39" s="1176">
        <v>0.36</v>
      </c>
      <c r="K39" s="1176">
        <v>0.33</v>
      </c>
      <c r="L39" s="1176">
        <v>0.3</v>
      </c>
    </row>
    <row r="40" spans="1:12" x14ac:dyDescent="0.25">
      <c r="A40" s="1169">
        <v>37</v>
      </c>
      <c r="B40" s="1171">
        <v>0.55</v>
      </c>
      <c r="C40" s="1171">
        <v>0.53</v>
      </c>
      <c r="D40" s="1171">
        <v>0.51</v>
      </c>
      <c r="E40" s="1171">
        <v>0.49</v>
      </c>
      <c r="F40" s="1171">
        <v>0.47000000000000003</v>
      </c>
      <c r="G40" s="1171">
        <v>0.44</v>
      </c>
      <c r="H40" s="1171">
        <v>0.41000000000000003</v>
      </c>
      <c r="I40" s="1171">
        <v>0.38</v>
      </c>
      <c r="J40" s="1171">
        <v>0.35000000000000003</v>
      </c>
      <c r="K40" s="1171">
        <v>0.32</v>
      </c>
      <c r="L40" s="1171">
        <v>0.29</v>
      </c>
    </row>
    <row r="41" spans="1:12" x14ac:dyDescent="0.25">
      <c r="A41" s="1169">
        <v>38</v>
      </c>
      <c r="B41" s="1171">
        <v>0.54</v>
      </c>
      <c r="C41" s="1171">
        <v>0.52</v>
      </c>
      <c r="D41" s="1171">
        <v>0.5</v>
      </c>
      <c r="E41" s="1171">
        <v>0.48</v>
      </c>
      <c r="F41" s="1171">
        <v>0.46</v>
      </c>
      <c r="G41" s="1171">
        <v>0.43</v>
      </c>
      <c r="H41" s="1171">
        <v>0.4</v>
      </c>
      <c r="I41" s="1171">
        <v>0.37</v>
      </c>
      <c r="J41" s="1171">
        <v>0.34</v>
      </c>
      <c r="K41" s="1171">
        <v>0.31</v>
      </c>
      <c r="L41" s="1171">
        <v>0.28</v>
      </c>
    </row>
    <row r="42" spans="1:12" x14ac:dyDescent="0.25">
      <c r="A42" s="1169">
        <v>39</v>
      </c>
      <c r="B42" s="1171">
        <v>0.53</v>
      </c>
      <c r="C42" s="1171">
        <v>0.51</v>
      </c>
      <c r="D42" s="1171">
        <v>0.49</v>
      </c>
      <c r="E42" s="1171">
        <v>0.47000000000000003</v>
      </c>
      <c r="F42" s="1171">
        <v>0.45</v>
      </c>
      <c r="G42" s="1171">
        <v>0.42</v>
      </c>
      <c r="H42" s="1171">
        <v>0.39</v>
      </c>
      <c r="I42" s="1171">
        <v>0.36</v>
      </c>
      <c r="J42" s="1171">
        <v>0.33</v>
      </c>
      <c r="K42" s="1171">
        <v>0.3</v>
      </c>
      <c r="L42" s="1171">
        <v>0.27</v>
      </c>
    </row>
    <row r="43" spans="1:12" x14ac:dyDescent="0.25">
      <c r="A43" s="1169">
        <v>40</v>
      </c>
      <c r="B43" s="1171">
        <v>0.52</v>
      </c>
      <c r="C43" s="1171">
        <v>0.5</v>
      </c>
      <c r="D43" s="1171">
        <v>0.48</v>
      </c>
      <c r="E43" s="1171">
        <v>0.46</v>
      </c>
      <c r="F43" s="1171">
        <v>0.44</v>
      </c>
      <c r="G43" s="1171">
        <v>0.41000000000000003</v>
      </c>
      <c r="H43" s="1171">
        <v>0.38</v>
      </c>
      <c r="I43" s="1171">
        <v>0.35000000000000003</v>
      </c>
      <c r="J43" s="1171">
        <v>0.32</v>
      </c>
      <c r="K43" s="1171">
        <v>0.29</v>
      </c>
      <c r="L43" s="1171">
        <v>0.26</v>
      </c>
    </row>
    <row r="44" spans="1:12" x14ac:dyDescent="0.25">
      <c r="A44" s="1169">
        <v>41</v>
      </c>
      <c r="B44" s="1173">
        <v>0.515</v>
      </c>
      <c r="C44" s="1171">
        <v>0.495</v>
      </c>
      <c r="D44" s="1171">
        <v>0.47500000000000003</v>
      </c>
      <c r="E44" s="1171">
        <v>0.455</v>
      </c>
      <c r="F44" s="1171">
        <v>0.435</v>
      </c>
      <c r="G44" s="1171">
        <v>0.405</v>
      </c>
      <c r="H44" s="1171">
        <v>0.375</v>
      </c>
      <c r="I44" s="1171">
        <v>0.34500000000000003</v>
      </c>
      <c r="J44" s="1171">
        <v>0.315</v>
      </c>
      <c r="K44" s="1171">
        <v>0.28500000000000003</v>
      </c>
      <c r="L44" s="1171">
        <v>0.255</v>
      </c>
    </row>
    <row r="45" spans="1:12" x14ac:dyDescent="0.25">
      <c r="A45" s="1169">
        <v>42</v>
      </c>
      <c r="B45" s="1171">
        <v>0.51</v>
      </c>
      <c r="C45" s="1171">
        <v>0.49</v>
      </c>
      <c r="D45" s="1171">
        <v>0.47000000000000003</v>
      </c>
      <c r="E45" s="1171">
        <v>0.45</v>
      </c>
      <c r="F45" s="1171">
        <v>0.43</v>
      </c>
      <c r="G45" s="1171">
        <v>0.4</v>
      </c>
      <c r="H45" s="1171">
        <v>0.37</v>
      </c>
      <c r="I45" s="1171">
        <v>0.34</v>
      </c>
      <c r="J45" s="1171">
        <v>0.31</v>
      </c>
      <c r="K45" s="1171">
        <v>0.28</v>
      </c>
      <c r="L45" s="1171">
        <v>0.25</v>
      </c>
    </row>
    <row r="46" spans="1:12" x14ac:dyDescent="0.25">
      <c r="A46" s="1169">
        <v>43</v>
      </c>
      <c r="B46" s="1173">
        <v>0.505</v>
      </c>
      <c r="C46" s="1171">
        <v>0.485</v>
      </c>
      <c r="D46" s="1171">
        <v>0.465</v>
      </c>
      <c r="E46" s="1171">
        <v>0.445</v>
      </c>
      <c r="F46" s="1171">
        <v>0.425</v>
      </c>
      <c r="G46" s="1171">
        <v>0.395</v>
      </c>
      <c r="H46" s="1171">
        <v>0.365</v>
      </c>
      <c r="I46" s="1171">
        <v>0.335</v>
      </c>
      <c r="J46" s="1171">
        <v>0.305</v>
      </c>
      <c r="K46" s="1171">
        <v>0.275</v>
      </c>
      <c r="L46" s="1171">
        <v>0.245</v>
      </c>
    </row>
    <row r="47" spans="1:12" x14ac:dyDescent="0.25">
      <c r="A47" s="1169">
        <v>44</v>
      </c>
      <c r="B47" s="1171">
        <v>0.5</v>
      </c>
      <c r="C47" s="1171">
        <v>0.48</v>
      </c>
      <c r="D47" s="1171">
        <v>0.46</v>
      </c>
      <c r="E47" s="1171">
        <v>0.44</v>
      </c>
      <c r="F47" s="1171">
        <v>0.42</v>
      </c>
      <c r="G47" s="1171">
        <v>0.39</v>
      </c>
      <c r="H47" s="1171">
        <v>0.36</v>
      </c>
      <c r="I47" s="1171">
        <v>0.33</v>
      </c>
      <c r="J47" s="1171">
        <v>0.3</v>
      </c>
      <c r="K47" s="1171">
        <v>0.27</v>
      </c>
      <c r="L47" s="1171">
        <v>0.24</v>
      </c>
    </row>
    <row r="48" spans="1:12" x14ac:dyDescent="0.25">
      <c r="A48" s="1169">
        <v>45</v>
      </c>
      <c r="B48" s="1173">
        <v>0.495</v>
      </c>
      <c r="C48" s="1171">
        <v>0.47500000000000003</v>
      </c>
      <c r="D48" s="1171">
        <v>0.455</v>
      </c>
      <c r="E48" s="1171">
        <v>0.435</v>
      </c>
      <c r="F48" s="1171">
        <v>0.41500000000000004</v>
      </c>
      <c r="G48" s="1171">
        <v>0.385</v>
      </c>
      <c r="H48" s="1171">
        <v>0.355</v>
      </c>
      <c r="I48" s="1171">
        <v>0.325</v>
      </c>
      <c r="J48" s="1171">
        <v>0.295</v>
      </c>
      <c r="K48" s="1171">
        <v>0.265</v>
      </c>
      <c r="L48" s="1171">
        <v>0.23500000000000001</v>
      </c>
    </row>
    <row r="49" spans="1:12" x14ac:dyDescent="0.25">
      <c r="A49" s="1169">
        <v>46</v>
      </c>
      <c r="B49" s="1171">
        <v>0.49</v>
      </c>
      <c r="C49" s="1171">
        <v>0.47000000000000003</v>
      </c>
      <c r="D49" s="1171">
        <v>0.45</v>
      </c>
      <c r="E49" s="1171">
        <v>0.43</v>
      </c>
      <c r="F49" s="1171">
        <v>0.41000000000000003</v>
      </c>
      <c r="G49" s="1171">
        <v>0.38</v>
      </c>
      <c r="H49" s="1171">
        <v>0.35000000000000003</v>
      </c>
      <c r="I49" s="1171">
        <v>0.32</v>
      </c>
      <c r="J49" s="1171">
        <v>0.29</v>
      </c>
      <c r="K49" s="1171">
        <v>0.26</v>
      </c>
      <c r="L49" s="1171">
        <v>0.23</v>
      </c>
    </row>
    <row r="50" spans="1:12" x14ac:dyDescent="0.25">
      <c r="A50" s="1169">
        <v>47</v>
      </c>
      <c r="B50" s="1173">
        <v>0.485</v>
      </c>
      <c r="C50" s="1171">
        <v>0.465</v>
      </c>
      <c r="D50" s="1171">
        <v>0.445</v>
      </c>
      <c r="E50" s="1171">
        <v>0.425</v>
      </c>
      <c r="F50" s="1171">
        <v>0.405</v>
      </c>
      <c r="G50" s="1171">
        <v>0.375</v>
      </c>
      <c r="H50" s="1171">
        <v>0.34500000000000003</v>
      </c>
      <c r="I50" s="1171">
        <v>0.315</v>
      </c>
      <c r="J50" s="1171">
        <v>0.28500000000000003</v>
      </c>
      <c r="K50" s="1171">
        <v>0.255</v>
      </c>
      <c r="L50" s="1171">
        <v>0.225</v>
      </c>
    </row>
    <row r="51" spans="1:12" x14ac:dyDescent="0.25">
      <c r="A51" s="1175">
        <v>48</v>
      </c>
      <c r="B51" s="1176">
        <v>0.48</v>
      </c>
      <c r="C51" s="1176">
        <v>0.46</v>
      </c>
      <c r="D51" s="1176">
        <v>0.44</v>
      </c>
      <c r="E51" s="1176">
        <v>0.42</v>
      </c>
      <c r="F51" s="1176">
        <v>0.4</v>
      </c>
      <c r="G51" s="1176">
        <v>0.37</v>
      </c>
      <c r="H51" s="1176">
        <v>0.34</v>
      </c>
      <c r="I51" s="1176">
        <v>0.31</v>
      </c>
      <c r="J51" s="1176">
        <v>0.28</v>
      </c>
      <c r="K51" s="1176">
        <v>0.25</v>
      </c>
      <c r="L51" s="1176">
        <v>0.22</v>
      </c>
    </row>
    <row r="52" spans="1:12" x14ac:dyDescent="0.25">
      <c r="A52" s="1169">
        <v>49</v>
      </c>
      <c r="B52" s="1171">
        <v>0.47</v>
      </c>
      <c r="C52" s="1171">
        <v>0.45</v>
      </c>
      <c r="D52" s="1171">
        <v>0.43</v>
      </c>
      <c r="E52" s="1171">
        <v>0.41000000000000003</v>
      </c>
      <c r="F52" s="1171">
        <v>0.39</v>
      </c>
      <c r="G52" s="1171">
        <v>0.36</v>
      </c>
      <c r="H52" s="1171">
        <v>0.33</v>
      </c>
      <c r="I52" s="1171">
        <v>0.3</v>
      </c>
      <c r="J52" s="1171">
        <v>0.27</v>
      </c>
      <c r="K52" s="1171">
        <v>0.24</v>
      </c>
      <c r="L52" s="1171">
        <v>0.215</v>
      </c>
    </row>
    <row r="53" spans="1:12" x14ac:dyDescent="0.25">
      <c r="A53" s="1169">
        <v>50</v>
      </c>
      <c r="B53" s="1171">
        <v>0.46</v>
      </c>
      <c r="C53" s="1171">
        <v>0.44</v>
      </c>
      <c r="D53" s="1171">
        <v>0.42</v>
      </c>
      <c r="E53" s="1171">
        <v>0.4</v>
      </c>
      <c r="F53" s="1171">
        <v>0.38</v>
      </c>
      <c r="G53" s="1171">
        <v>0.35000000000000003</v>
      </c>
      <c r="H53" s="1171">
        <v>0.32</v>
      </c>
      <c r="I53" s="1171">
        <v>0.29</v>
      </c>
      <c r="J53" s="1171">
        <v>0.26</v>
      </c>
      <c r="K53" s="1171">
        <v>0.23</v>
      </c>
      <c r="L53" s="1171">
        <v>0.21</v>
      </c>
    </row>
    <row r="54" spans="1:12" x14ac:dyDescent="0.25">
      <c r="A54" s="1169">
        <v>51</v>
      </c>
      <c r="B54" s="1171">
        <v>0.45</v>
      </c>
      <c r="C54" s="1171">
        <v>0.43</v>
      </c>
      <c r="D54" s="1171">
        <v>0.41000000000000003</v>
      </c>
      <c r="E54" s="1171">
        <v>0.39</v>
      </c>
      <c r="F54" s="1171">
        <v>0.37</v>
      </c>
      <c r="G54" s="1171">
        <v>0.34</v>
      </c>
      <c r="H54" s="1171">
        <v>0.31</v>
      </c>
      <c r="I54" s="1171">
        <v>0.28</v>
      </c>
      <c r="J54" s="1171">
        <v>0.25</v>
      </c>
      <c r="K54" s="1171">
        <v>0.225</v>
      </c>
      <c r="L54" s="1171">
        <v>0.20500000000000002</v>
      </c>
    </row>
    <row r="55" spans="1:12" x14ac:dyDescent="0.25">
      <c r="A55" s="1169">
        <v>52</v>
      </c>
      <c r="B55" s="1171">
        <v>0.44</v>
      </c>
      <c r="C55" s="1171">
        <v>0.42</v>
      </c>
      <c r="D55" s="1171">
        <v>0.4</v>
      </c>
      <c r="E55" s="1171">
        <v>0.38</v>
      </c>
      <c r="F55" s="1171">
        <v>0.36</v>
      </c>
      <c r="G55" s="1171">
        <v>0.33</v>
      </c>
      <c r="H55" s="1171">
        <v>0.3</v>
      </c>
      <c r="I55" s="1171">
        <v>0.27</v>
      </c>
      <c r="J55" s="1171">
        <v>0.24</v>
      </c>
      <c r="K55" s="1171">
        <v>0.22</v>
      </c>
      <c r="L55" s="1171">
        <v>0.2</v>
      </c>
    </row>
    <row r="56" spans="1:12" x14ac:dyDescent="0.25">
      <c r="A56" s="1169">
        <v>53</v>
      </c>
      <c r="B56" s="1171">
        <v>0.43</v>
      </c>
      <c r="C56" s="1171">
        <v>0.41000000000000003</v>
      </c>
      <c r="D56" s="1171">
        <v>0.39</v>
      </c>
      <c r="E56" s="1171">
        <v>0.37</v>
      </c>
      <c r="F56" s="1171">
        <v>0.35000000000000003</v>
      </c>
      <c r="G56" s="1171">
        <v>0.32</v>
      </c>
      <c r="H56" s="1171">
        <v>0.29</v>
      </c>
      <c r="I56" s="1171">
        <v>0.26</v>
      </c>
      <c r="J56" s="1171">
        <v>0.23</v>
      </c>
      <c r="K56" s="1171">
        <v>0.215</v>
      </c>
      <c r="L56" s="1171">
        <v>0.195</v>
      </c>
    </row>
    <row r="57" spans="1:12" x14ac:dyDescent="0.25">
      <c r="A57" s="1169">
        <v>54</v>
      </c>
      <c r="B57" s="1171">
        <v>0.42</v>
      </c>
      <c r="C57" s="1171">
        <v>0.4</v>
      </c>
      <c r="D57" s="1171">
        <v>0.38</v>
      </c>
      <c r="E57" s="1171">
        <v>0.36</v>
      </c>
      <c r="F57" s="1171">
        <v>0.34</v>
      </c>
      <c r="G57" s="1171">
        <v>0.31</v>
      </c>
      <c r="H57" s="1171">
        <v>0.28</v>
      </c>
      <c r="I57" s="1171">
        <v>0.25</v>
      </c>
      <c r="J57" s="1171">
        <v>0.22</v>
      </c>
      <c r="K57" s="1171">
        <v>0.2</v>
      </c>
      <c r="L57" s="1171">
        <v>0.19</v>
      </c>
    </row>
    <row r="58" spans="1:12" x14ac:dyDescent="0.25">
      <c r="A58" s="1169">
        <v>55</v>
      </c>
      <c r="B58" s="1171">
        <v>0.41</v>
      </c>
      <c r="C58" s="1171">
        <v>0.39</v>
      </c>
      <c r="D58" s="1171">
        <v>0.37</v>
      </c>
      <c r="E58" s="1171">
        <v>0.35000000000000003</v>
      </c>
      <c r="F58" s="1171">
        <v>0.33</v>
      </c>
      <c r="G58" s="1171">
        <v>0.3</v>
      </c>
      <c r="H58" s="1171">
        <v>0.27</v>
      </c>
      <c r="I58" s="1171">
        <v>0.24</v>
      </c>
      <c r="J58" s="1171">
        <v>0.21</v>
      </c>
      <c r="K58" s="1171">
        <v>0.195</v>
      </c>
      <c r="L58" s="1171">
        <v>0.185</v>
      </c>
    </row>
    <row r="59" spans="1:12" x14ac:dyDescent="0.25">
      <c r="A59" s="1169">
        <v>56</v>
      </c>
      <c r="B59" s="1171">
        <v>0.4</v>
      </c>
      <c r="C59" s="1171">
        <v>0.38</v>
      </c>
      <c r="D59" s="1171">
        <v>0.36</v>
      </c>
      <c r="E59" s="1171">
        <v>0.34</v>
      </c>
      <c r="F59" s="1171">
        <v>0.32</v>
      </c>
      <c r="G59" s="1171">
        <v>0.29</v>
      </c>
      <c r="H59" s="1171">
        <v>0.26</v>
      </c>
      <c r="I59" s="1171">
        <v>0.23</v>
      </c>
      <c r="J59" s="1171">
        <v>0.2</v>
      </c>
      <c r="K59" s="1171">
        <v>0.19</v>
      </c>
      <c r="L59" s="1171">
        <v>0.18</v>
      </c>
    </row>
    <row r="60" spans="1:12" x14ac:dyDescent="0.25">
      <c r="A60" s="1169">
        <v>57</v>
      </c>
      <c r="B60" s="1173">
        <v>0.395</v>
      </c>
      <c r="C60" s="1171">
        <v>0.375</v>
      </c>
      <c r="D60" s="1171">
        <v>0.355</v>
      </c>
      <c r="E60" s="1171">
        <v>0.335</v>
      </c>
      <c r="F60" s="1171">
        <v>0.315</v>
      </c>
      <c r="G60" s="1171">
        <v>0.28500000000000003</v>
      </c>
      <c r="H60" s="1171">
        <v>0.255</v>
      </c>
      <c r="I60" s="1171">
        <v>0.225</v>
      </c>
      <c r="J60" s="1171">
        <v>0.195</v>
      </c>
      <c r="K60" s="1171">
        <v>0.185</v>
      </c>
      <c r="L60" s="1171">
        <v>0.17500000000000002</v>
      </c>
    </row>
    <row r="61" spans="1:12" x14ac:dyDescent="0.25">
      <c r="A61" s="1169">
        <v>58</v>
      </c>
      <c r="B61" s="1171">
        <v>0.39</v>
      </c>
      <c r="C61" s="1171">
        <v>0.37</v>
      </c>
      <c r="D61" s="1171">
        <v>0.35000000000000003</v>
      </c>
      <c r="E61" s="1171">
        <v>0.33</v>
      </c>
      <c r="F61" s="1171">
        <v>0.31</v>
      </c>
      <c r="G61" s="1171">
        <v>0.28</v>
      </c>
      <c r="H61" s="1171">
        <v>0.25</v>
      </c>
      <c r="I61" s="1171">
        <v>0.22</v>
      </c>
      <c r="J61" s="1171">
        <v>0.19</v>
      </c>
      <c r="K61" s="1171">
        <v>0.18</v>
      </c>
      <c r="L61" s="1171">
        <v>0.17</v>
      </c>
    </row>
    <row r="62" spans="1:12" x14ac:dyDescent="0.25">
      <c r="A62" s="1169">
        <v>59</v>
      </c>
      <c r="B62" s="1173">
        <v>0.385</v>
      </c>
      <c r="C62" s="1171">
        <v>0.365</v>
      </c>
      <c r="D62" s="1171">
        <v>0.34500000000000003</v>
      </c>
      <c r="E62" s="1171">
        <v>0.325</v>
      </c>
      <c r="F62" s="1171">
        <v>0.305</v>
      </c>
      <c r="G62" s="1171">
        <v>0.275</v>
      </c>
      <c r="H62" s="1171">
        <v>0.245</v>
      </c>
      <c r="I62" s="1171">
        <v>0.215</v>
      </c>
      <c r="J62" s="1171">
        <v>0.185</v>
      </c>
      <c r="K62" s="1171">
        <v>0.17500000000000002</v>
      </c>
      <c r="L62" s="1171">
        <v>0.165</v>
      </c>
    </row>
    <row r="63" spans="1:12" x14ac:dyDescent="0.25">
      <c r="A63" s="1175">
        <v>60</v>
      </c>
      <c r="B63" s="1176">
        <v>0.38</v>
      </c>
      <c r="C63" s="1176">
        <v>0.36</v>
      </c>
      <c r="D63" s="1176">
        <v>0.34</v>
      </c>
      <c r="E63" s="1176">
        <v>0.32</v>
      </c>
      <c r="F63" s="1176">
        <v>0.3</v>
      </c>
      <c r="G63" s="1176">
        <v>0.27</v>
      </c>
      <c r="H63" s="1176">
        <v>0.24</v>
      </c>
      <c r="I63" s="1176">
        <v>0.21</v>
      </c>
      <c r="J63" s="1176">
        <v>0.18</v>
      </c>
      <c r="K63" s="1176">
        <v>0.17</v>
      </c>
      <c r="L63" s="1176">
        <v>0.16</v>
      </c>
    </row>
    <row r="64" spans="1:12" x14ac:dyDescent="0.25">
      <c r="A64" s="1169">
        <v>61</v>
      </c>
      <c r="B64" s="1173">
        <v>0.375</v>
      </c>
      <c r="C64" s="1171">
        <v>0.355</v>
      </c>
      <c r="D64" s="1171">
        <v>0.335</v>
      </c>
      <c r="E64" s="1171">
        <v>0.315</v>
      </c>
      <c r="F64" s="1171">
        <v>0.295</v>
      </c>
      <c r="G64" s="1171">
        <v>0.265</v>
      </c>
      <c r="H64" s="1171">
        <v>0.23500000000000001</v>
      </c>
      <c r="I64" s="1171">
        <v>0.20500000000000002</v>
      </c>
      <c r="J64" s="1171">
        <v>0.17500000000000002</v>
      </c>
      <c r="K64" s="1171">
        <v>0.165</v>
      </c>
      <c r="L64" s="1171">
        <v>0.155</v>
      </c>
    </row>
    <row r="65" spans="1:12" x14ac:dyDescent="0.25">
      <c r="A65" s="1169">
        <v>62</v>
      </c>
      <c r="B65" s="1171">
        <v>0.37</v>
      </c>
      <c r="C65" s="1171">
        <v>0.35000000000000003</v>
      </c>
      <c r="D65" s="1171">
        <v>0.33</v>
      </c>
      <c r="E65" s="1171">
        <v>0.31</v>
      </c>
      <c r="F65" s="1171">
        <v>0.29</v>
      </c>
      <c r="G65" s="1171">
        <v>0.26</v>
      </c>
      <c r="H65" s="1171">
        <v>0.23</v>
      </c>
      <c r="I65" s="1171">
        <v>0.2</v>
      </c>
      <c r="J65" s="1171">
        <v>0.17</v>
      </c>
      <c r="K65" s="1171">
        <v>0.16</v>
      </c>
      <c r="L65" s="1171">
        <v>0.15</v>
      </c>
    </row>
    <row r="66" spans="1:12" x14ac:dyDescent="0.25">
      <c r="A66" s="1169">
        <v>63</v>
      </c>
      <c r="B66" s="1173">
        <v>0.365</v>
      </c>
      <c r="C66" s="1171">
        <v>0.34500000000000003</v>
      </c>
      <c r="D66" s="1171">
        <v>0.325</v>
      </c>
      <c r="E66" s="1171">
        <v>0.305</v>
      </c>
      <c r="F66" s="1171">
        <v>0.28500000000000003</v>
      </c>
      <c r="G66" s="1171">
        <v>0.255</v>
      </c>
      <c r="H66" s="1171">
        <v>0.225</v>
      </c>
      <c r="I66" s="1171">
        <v>0.195</v>
      </c>
      <c r="J66" s="1171">
        <v>0.165</v>
      </c>
      <c r="K66" s="1171">
        <v>0.155</v>
      </c>
      <c r="L66" s="1171">
        <v>0.145</v>
      </c>
    </row>
    <row r="67" spans="1:12" x14ac:dyDescent="0.25">
      <c r="A67" s="1169">
        <v>64</v>
      </c>
      <c r="B67" s="1171">
        <v>0.36</v>
      </c>
      <c r="C67" s="1171">
        <v>0.34</v>
      </c>
      <c r="D67" s="1171">
        <v>0.32</v>
      </c>
      <c r="E67" s="1171">
        <v>0.3</v>
      </c>
      <c r="F67" s="1171">
        <v>0.28</v>
      </c>
      <c r="G67" s="1171">
        <v>0.25</v>
      </c>
      <c r="H67" s="1171">
        <v>0.22</v>
      </c>
      <c r="I67" s="1171">
        <v>0.19</v>
      </c>
      <c r="J67" s="1171">
        <v>0.16</v>
      </c>
      <c r="K67" s="1171">
        <v>0.15</v>
      </c>
      <c r="L67" s="1171">
        <v>0.14</v>
      </c>
    </row>
    <row r="68" spans="1:12" x14ac:dyDescent="0.25">
      <c r="A68" s="1169">
        <v>65</v>
      </c>
      <c r="B68" s="1173">
        <v>0.355</v>
      </c>
      <c r="C68" s="1171">
        <v>0.335</v>
      </c>
      <c r="D68" s="1171">
        <v>0.315</v>
      </c>
      <c r="E68" s="1171">
        <v>0.295</v>
      </c>
      <c r="F68" s="1171">
        <v>0.275</v>
      </c>
      <c r="G68" s="1171">
        <v>0.245</v>
      </c>
      <c r="H68" s="1171">
        <v>0.215</v>
      </c>
      <c r="I68" s="1171">
        <v>0.185</v>
      </c>
      <c r="J68" s="1171">
        <v>0.155</v>
      </c>
      <c r="K68" s="1171">
        <v>0.145</v>
      </c>
      <c r="L68" s="1171">
        <v>0.135</v>
      </c>
    </row>
    <row r="69" spans="1:12" x14ac:dyDescent="0.25">
      <c r="A69" s="1169">
        <v>66</v>
      </c>
      <c r="B69" s="1171">
        <v>0.35</v>
      </c>
      <c r="C69" s="1171">
        <v>0.33</v>
      </c>
      <c r="D69" s="1171">
        <v>0.31</v>
      </c>
      <c r="E69" s="1171">
        <v>0.29</v>
      </c>
      <c r="F69" s="1171">
        <v>0.27</v>
      </c>
      <c r="G69" s="1171">
        <v>0.24</v>
      </c>
      <c r="H69" s="1171">
        <v>0.21</v>
      </c>
      <c r="I69" s="1171">
        <v>0.18</v>
      </c>
      <c r="J69" s="1171">
        <v>0.15</v>
      </c>
      <c r="K69" s="1171">
        <v>0.14</v>
      </c>
      <c r="L69" s="1171">
        <v>0.13</v>
      </c>
    </row>
    <row r="70" spans="1:12" x14ac:dyDescent="0.25">
      <c r="A70" s="1169">
        <v>67</v>
      </c>
      <c r="B70" s="1173">
        <v>0.345</v>
      </c>
      <c r="C70" s="1171">
        <v>0.325</v>
      </c>
      <c r="D70" s="1171">
        <v>0.305</v>
      </c>
      <c r="E70" s="1171">
        <v>0.28500000000000003</v>
      </c>
      <c r="F70" s="1171">
        <v>0.265</v>
      </c>
      <c r="G70" s="1171">
        <v>0.23500000000000001</v>
      </c>
      <c r="H70" s="1171">
        <v>0.20500000000000002</v>
      </c>
      <c r="I70" s="1171">
        <v>0.17500000000000002</v>
      </c>
      <c r="J70" s="1171">
        <v>0.145</v>
      </c>
      <c r="K70" s="1171">
        <v>0.135</v>
      </c>
      <c r="L70" s="1171">
        <v>0.125</v>
      </c>
    </row>
    <row r="71" spans="1:12" x14ac:dyDescent="0.25">
      <c r="A71" s="1169">
        <v>68</v>
      </c>
      <c r="B71" s="1171">
        <v>0.34</v>
      </c>
      <c r="C71" s="1171">
        <v>0.32</v>
      </c>
      <c r="D71" s="1171">
        <v>0.3</v>
      </c>
      <c r="E71" s="1171">
        <v>0.28</v>
      </c>
      <c r="F71" s="1171">
        <v>0.26</v>
      </c>
      <c r="G71" s="1171">
        <v>0.23</v>
      </c>
      <c r="H71" s="1171">
        <v>0.2</v>
      </c>
      <c r="I71" s="1171">
        <v>0.17</v>
      </c>
      <c r="J71" s="1171">
        <v>0.14</v>
      </c>
      <c r="K71" s="1171">
        <v>0.13</v>
      </c>
      <c r="L71" s="1171">
        <v>0.12</v>
      </c>
    </row>
    <row r="72" spans="1:12" x14ac:dyDescent="0.25">
      <c r="A72" s="1169">
        <v>69</v>
      </c>
      <c r="B72" s="1173">
        <v>0.335</v>
      </c>
      <c r="C72" s="1171">
        <v>0.315</v>
      </c>
      <c r="D72" s="1171">
        <v>0.295</v>
      </c>
      <c r="E72" s="1171">
        <v>0.275</v>
      </c>
      <c r="F72" s="1171">
        <v>0.255</v>
      </c>
      <c r="G72" s="1171">
        <v>0.225</v>
      </c>
      <c r="H72" s="1171">
        <v>0.195</v>
      </c>
      <c r="I72" s="1171">
        <v>0.165</v>
      </c>
      <c r="J72" s="1171">
        <v>0.135</v>
      </c>
      <c r="K72" s="1171">
        <v>0.125</v>
      </c>
      <c r="L72" s="1171">
        <v>0.115</v>
      </c>
    </row>
    <row r="73" spans="1:12" x14ac:dyDescent="0.25">
      <c r="A73" s="1169">
        <v>70</v>
      </c>
      <c r="B73" s="1171">
        <v>0.33</v>
      </c>
      <c r="C73" s="1171">
        <v>0.31</v>
      </c>
      <c r="D73" s="1171">
        <v>0.29</v>
      </c>
      <c r="E73" s="1171">
        <v>0.27</v>
      </c>
      <c r="F73" s="1171">
        <v>0.25</v>
      </c>
      <c r="G73" s="1171">
        <v>0.22</v>
      </c>
      <c r="H73" s="1171">
        <v>0.19</v>
      </c>
      <c r="I73" s="1171">
        <v>0.16</v>
      </c>
      <c r="J73" s="1171">
        <v>0.13</v>
      </c>
      <c r="K73" s="1171">
        <v>0.12</v>
      </c>
      <c r="L73" s="1171">
        <v>0.11</v>
      </c>
    </row>
    <row r="74" spans="1:12" x14ac:dyDescent="0.25">
      <c r="A74" s="1169">
        <v>71</v>
      </c>
      <c r="B74" s="1173">
        <v>0.325</v>
      </c>
      <c r="C74" s="1171">
        <v>0.305</v>
      </c>
      <c r="D74" s="1171">
        <v>0.28500000000000003</v>
      </c>
      <c r="E74" s="1171">
        <v>0.265</v>
      </c>
      <c r="F74" s="1171">
        <v>0.245</v>
      </c>
      <c r="G74" s="1171">
        <v>0.215</v>
      </c>
      <c r="H74" s="1171">
        <v>0.185</v>
      </c>
      <c r="I74" s="1171">
        <v>0.155</v>
      </c>
      <c r="J74" s="1171">
        <v>0.125</v>
      </c>
      <c r="K74" s="1171">
        <v>0.115</v>
      </c>
      <c r="L74" s="1171">
        <v>0.105</v>
      </c>
    </row>
    <row r="75" spans="1:12" x14ac:dyDescent="0.25">
      <c r="A75" s="1175">
        <v>72</v>
      </c>
      <c r="B75" s="1176">
        <v>0.32</v>
      </c>
      <c r="C75" s="1176">
        <v>0.3</v>
      </c>
      <c r="D75" s="1176">
        <v>0.28</v>
      </c>
      <c r="E75" s="1176">
        <v>0.26</v>
      </c>
      <c r="F75" s="1176">
        <v>0.24</v>
      </c>
      <c r="G75" s="1176">
        <v>0.21</v>
      </c>
      <c r="H75" s="1176">
        <v>0.18</v>
      </c>
      <c r="I75" s="1176">
        <v>0.15</v>
      </c>
      <c r="J75" s="1176">
        <v>0.12</v>
      </c>
      <c r="K75" s="1176">
        <v>0.11</v>
      </c>
      <c r="L75" s="1176">
        <v>0.1</v>
      </c>
    </row>
    <row r="76" spans="1:12" x14ac:dyDescent="0.25">
      <c r="A76" s="1137">
        <v>73</v>
      </c>
      <c r="B76" s="1179">
        <v>0.31</v>
      </c>
      <c r="C76" s="1171">
        <v>0.295</v>
      </c>
      <c r="D76" s="1171">
        <v>0.275</v>
      </c>
      <c r="E76" s="1171">
        <v>0.255</v>
      </c>
      <c r="F76" s="1171">
        <v>0.23500000000000001</v>
      </c>
      <c r="G76" s="1171">
        <v>0.20500000000000002</v>
      </c>
      <c r="H76" s="1171">
        <v>0.17500000000000002</v>
      </c>
      <c r="I76" s="1171">
        <v>0.145</v>
      </c>
      <c r="J76" s="1171">
        <v>0.115</v>
      </c>
      <c r="K76" s="1171">
        <v>0.105</v>
      </c>
      <c r="L76" s="1171">
        <v>0.095</v>
      </c>
    </row>
    <row r="77" spans="1:12" x14ac:dyDescent="0.25">
      <c r="A77" s="1137">
        <v>74</v>
      </c>
      <c r="B77" s="1179">
        <v>0.29</v>
      </c>
      <c r="C77" s="1171">
        <v>0.29</v>
      </c>
      <c r="D77" s="1171">
        <v>0.27</v>
      </c>
      <c r="E77" s="1171">
        <v>0.25</v>
      </c>
      <c r="F77" s="1171">
        <v>0.23</v>
      </c>
      <c r="G77" s="1171">
        <v>0.2</v>
      </c>
      <c r="H77" s="1171">
        <v>0.17</v>
      </c>
      <c r="I77" s="1171">
        <v>0.14</v>
      </c>
      <c r="J77" s="1171">
        <v>0.11</v>
      </c>
      <c r="K77" s="1171">
        <v>0.1</v>
      </c>
      <c r="L77" s="1171">
        <v>0.09</v>
      </c>
    </row>
    <row r="78" spans="1:12" x14ac:dyDescent="0.25">
      <c r="A78" s="1137">
        <v>75</v>
      </c>
      <c r="B78" s="1179">
        <v>0.28</v>
      </c>
      <c r="C78" s="1171">
        <v>0.28500000000000003</v>
      </c>
      <c r="D78" s="1171">
        <v>0.265</v>
      </c>
      <c r="E78" s="1171">
        <v>0.245</v>
      </c>
      <c r="F78" s="1171">
        <v>0.225</v>
      </c>
      <c r="G78" s="1171">
        <v>0.195</v>
      </c>
      <c r="H78" s="1171">
        <v>0.165</v>
      </c>
      <c r="I78" s="1171">
        <v>0.135</v>
      </c>
      <c r="J78" s="1171">
        <v>0.105</v>
      </c>
      <c r="K78" s="1171">
        <v>0.095</v>
      </c>
      <c r="L78" s="1171">
        <v>0.085</v>
      </c>
    </row>
    <row r="79" spans="1:12" x14ac:dyDescent="0.25">
      <c r="A79" s="1137">
        <v>76</v>
      </c>
      <c r="B79" s="1179">
        <v>0.26</v>
      </c>
      <c r="C79" s="1171">
        <v>0.28</v>
      </c>
      <c r="D79" s="1171">
        <v>0.26</v>
      </c>
      <c r="E79" s="1171">
        <v>0.24</v>
      </c>
      <c r="F79" s="1171">
        <v>0.22</v>
      </c>
      <c r="G79" s="1171">
        <v>0.19</v>
      </c>
      <c r="H79" s="1171">
        <v>0.16</v>
      </c>
      <c r="I79" s="1171">
        <v>0.13</v>
      </c>
      <c r="J79" s="1171">
        <v>0.1</v>
      </c>
      <c r="K79" s="1171">
        <v>0.09</v>
      </c>
      <c r="L79" s="1171">
        <v>0.08</v>
      </c>
    </row>
    <row r="80" spans="1:12" x14ac:dyDescent="0.25">
      <c r="A80" s="1137">
        <v>77</v>
      </c>
      <c r="B80" s="1179">
        <v>0.24</v>
      </c>
      <c r="C80" s="1171">
        <v>0.275</v>
      </c>
      <c r="D80" s="1171">
        <v>0.255</v>
      </c>
      <c r="E80" s="1171">
        <v>0.23500000000000001</v>
      </c>
      <c r="F80" s="1171">
        <v>0.215</v>
      </c>
      <c r="G80" s="1171">
        <v>0.185</v>
      </c>
      <c r="H80" s="1171">
        <v>0.155</v>
      </c>
      <c r="I80" s="1171">
        <v>0.125</v>
      </c>
      <c r="J80" s="1171">
        <v>0.095</v>
      </c>
      <c r="K80" s="1171">
        <v>0.085</v>
      </c>
      <c r="L80" s="1171">
        <v>0.075</v>
      </c>
    </row>
    <row r="81" spans="1:12" x14ac:dyDescent="0.25">
      <c r="A81" s="1137">
        <v>78</v>
      </c>
      <c r="B81" s="1179">
        <v>0.23</v>
      </c>
      <c r="C81" s="1171">
        <v>0.27</v>
      </c>
      <c r="D81" s="1171">
        <v>0.25</v>
      </c>
      <c r="E81" s="1171">
        <v>0.23</v>
      </c>
      <c r="F81" s="1171">
        <v>0.21</v>
      </c>
      <c r="G81" s="1171">
        <v>0.18</v>
      </c>
      <c r="H81" s="1171">
        <v>0.15</v>
      </c>
      <c r="I81" s="1171">
        <v>0.12</v>
      </c>
      <c r="J81" s="1171">
        <v>0.09</v>
      </c>
      <c r="K81" s="1171">
        <v>0.08</v>
      </c>
      <c r="L81" s="1171">
        <v>0.07</v>
      </c>
    </row>
    <row r="82" spans="1:12" x14ac:dyDescent="0.25">
      <c r="A82" s="1137">
        <v>79</v>
      </c>
      <c r="B82" s="1179">
        <v>0.22</v>
      </c>
      <c r="C82" s="1171">
        <v>0.265</v>
      </c>
      <c r="D82" s="1171">
        <v>0.245</v>
      </c>
      <c r="E82" s="1171">
        <v>0.225</v>
      </c>
      <c r="F82" s="1171">
        <v>0.20500000000000002</v>
      </c>
      <c r="G82" s="1171">
        <v>0.17500000000000002</v>
      </c>
      <c r="H82" s="1171">
        <v>0.145</v>
      </c>
      <c r="I82" s="1171">
        <v>0.115</v>
      </c>
      <c r="J82" s="1171">
        <v>0.085</v>
      </c>
      <c r="K82" s="1171">
        <v>0.075</v>
      </c>
      <c r="L82" s="1171">
        <v>0.065</v>
      </c>
    </row>
    <row r="83" spans="1:12" x14ac:dyDescent="0.25">
      <c r="A83" s="1137">
        <v>80</v>
      </c>
      <c r="B83" s="1179">
        <v>0.21</v>
      </c>
      <c r="C83" s="1171">
        <v>0.26</v>
      </c>
      <c r="D83" s="1171">
        <v>0.24</v>
      </c>
      <c r="E83" s="1171">
        <v>0.22</v>
      </c>
      <c r="F83" s="1171">
        <v>0.2</v>
      </c>
      <c r="G83" s="1171">
        <v>0.17</v>
      </c>
      <c r="H83" s="1171">
        <v>0.14</v>
      </c>
      <c r="I83" s="1171">
        <v>0.11</v>
      </c>
      <c r="J83" s="1171">
        <v>0.08</v>
      </c>
      <c r="K83" s="1171">
        <v>0.07</v>
      </c>
      <c r="L83" s="1171">
        <v>0.06</v>
      </c>
    </row>
    <row r="84" spans="1:12" x14ac:dyDescent="0.25">
      <c r="A84" s="1137">
        <v>81</v>
      </c>
      <c r="B84" s="1179">
        <v>0.2</v>
      </c>
      <c r="C84" s="1171">
        <v>0.255</v>
      </c>
      <c r="D84" s="1171">
        <v>0.23500000000000001</v>
      </c>
      <c r="E84" s="1171">
        <v>0.215</v>
      </c>
      <c r="F84" s="1171">
        <v>0.195</v>
      </c>
      <c r="G84" s="1171">
        <v>0.165</v>
      </c>
      <c r="H84" s="1171">
        <v>0.135</v>
      </c>
      <c r="I84" s="1171">
        <v>0.105</v>
      </c>
      <c r="J84" s="1171">
        <v>0.075</v>
      </c>
      <c r="K84" s="1171">
        <v>0.065</v>
      </c>
      <c r="L84" s="1171">
        <v>0.055</v>
      </c>
    </row>
    <row r="85" spans="1:12" x14ac:dyDescent="0.25">
      <c r="A85" s="1137">
        <v>82</v>
      </c>
      <c r="B85" s="1179">
        <v>0.19</v>
      </c>
      <c r="C85" s="1171">
        <v>0.25</v>
      </c>
      <c r="D85" s="1171">
        <v>0.23</v>
      </c>
      <c r="E85" s="1171">
        <v>0.21</v>
      </c>
      <c r="F85" s="1171">
        <v>0.19</v>
      </c>
      <c r="G85" s="1171">
        <v>0.16</v>
      </c>
      <c r="H85" s="1171">
        <v>0.13</v>
      </c>
      <c r="I85" s="1171">
        <v>0.1</v>
      </c>
      <c r="J85" s="1171">
        <v>0.07</v>
      </c>
      <c r="K85" s="1171">
        <v>0.06</v>
      </c>
      <c r="L85" s="1171">
        <v>0.05</v>
      </c>
    </row>
    <row r="86" spans="1:12" x14ac:dyDescent="0.25">
      <c r="A86" s="1137">
        <v>83</v>
      </c>
      <c r="B86" s="1179">
        <v>0.18</v>
      </c>
      <c r="C86" s="1171">
        <v>0.245</v>
      </c>
      <c r="D86" s="1171">
        <v>0.225</v>
      </c>
      <c r="E86" s="1171">
        <v>0.20500000000000002</v>
      </c>
      <c r="F86" s="1171">
        <v>0.185</v>
      </c>
      <c r="G86" s="1171">
        <v>0.155</v>
      </c>
      <c r="H86" s="1171">
        <v>0.125</v>
      </c>
      <c r="I86" s="1171">
        <v>0.095</v>
      </c>
      <c r="J86" s="1171">
        <v>0.065</v>
      </c>
      <c r="K86" s="1171">
        <v>0.055</v>
      </c>
      <c r="L86" s="1171">
        <v>0.045</v>
      </c>
    </row>
    <row r="87" spans="1:12" x14ac:dyDescent="0.25">
      <c r="A87" s="1180">
        <v>84</v>
      </c>
      <c r="B87" s="1181">
        <v>0.17</v>
      </c>
      <c r="C87" s="1176">
        <v>0.24</v>
      </c>
      <c r="D87" s="1176">
        <v>0.22</v>
      </c>
      <c r="E87" s="1176">
        <v>0.2</v>
      </c>
      <c r="F87" s="1176">
        <v>0.18</v>
      </c>
      <c r="G87" s="1176">
        <v>0.15</v>
      </c>
      <c r="H87" s="1176">
        <v>0.12</v>
      </c>
      <c r="I87" s="1176">
        <v>0.09</v>
      </c>
      <c r="J87" s="1176">
        <v>0.06</v>
      </c>
      <c r="K87" s="1176">
        <v>0.05</v>
      </c>
      <c r="L87" s="1176">
        <v>0.04</v>
      </c>
    </row>
    <row r="88" spans="1:1" x14ac:dyDescent="0.25">
      <c r="A88" s="1137"/>
    </row>
    <row r="89" spans="1:1" x14ac:dyDescent="0.25">
      <c r="A89" s="1137"/>
    </row>
    <row r="90" spans="1:1" x14ac:dyDescent="0.25">
      <c r="A90" s="1137"/>
    </row>
    <row r="91" spans="1:1" x14ac:dyDescent="0.25">
      <c r="A91" s="1137"/>
    </row>
    <row r="92" spans="1:1" x14ac:dyDescent="0.25">
      <c r="A92" s="1137"/>
    </row>
    <row r="93" spans="1:1" x14ac:dyDescent="0.25">
      <c r="A93" s="1137"/>
    </row>
    <row r="94" spans="1:1" x14ac:dyDescent="0.25">
      <c r="A94" s="1137"/>
    </row>
    <row r="95" spans="1:1" x14ac:dyDescent="0.25">
      <c r="A95" s="1137"/>
    </row>
    <row r="96" spans="1:1" x14ac:dyDescent="0.25">
      <c r="A96" s="1137"/>
    </row>
    <row r="97" spans="1:1" x14ac:dyDescent="0.25">
      <c r="A97" s="1137"/>
    </row>
    <row r="98" spans="1:1" x14ac:dyDescent="0.25">
      <c r="A98" s="1137"/>
    </row>
    <row r="99" spans="1:1" x14ac:dyDescent="0.25">
      <c r="A99" s="1137"/>
    </row>
    <row r="100" spans="1:1" x14ac:dyDescent="0.25">
      <c r="A100" s="1137"/>
    </row>
    <row r="101" spans="1:1" x14ac:dyDescent="0.25">
      <c r="A101" s="1137"/>
    </row>
    <row r="102" spans="1:1" x14ac:dyDescent="0.25">
      <c r="A102" s="1137"/>
    </row>
    <row r="103" spans="1:1" x14ac:dyDescent="0.25">
      <c r="A103" s="1137"/>
    </row>
    <row r="104" spans="1:1" x14ac:dyDescent="0.25">
      <c r="A104" s="1137"/>
    </row>
    <row r="105" spans="1:1" x14ac:dyDescent="0.25">
      <c r="A105" s="1137"/>
    </row>
    <row r="106" spans="1:1" x14ac:dyDescent="0.25">
      <c r="A106" s="1137"/>
    </row>
    <row r="107" spans="1:1" x14ac:dyDescent="0.25">
      <c r="A107" s="1137"/>
    </row>
    <row r="108" spans="1:1" x14ac:dyDescent="0.25">
      <c r="A108" s="1137"/>
    </row>
    <row r="109" spans="1:1" x14ac:dyDescent="0.25">
      <c r="A109" s="1137"/>
    </row>
    <row r="110" spans="1:1" x14ac:dyDescent="0.25">
      <c r="A110" s="1137"/>
    </row>
    <row r="111" spans="1:1" x14ac:dyDescent="0.25">
      <c r="A111" s="1137"/>
    </row>
    <row r="112" spans="1:1" x14ac:dyDescent="0.25">
      <c r="A112" s="1137"/>
    </row>
    <row r="113" spans="1:1" x14ac:dyDescent="0.25">
      <c r="A113" s="1137"/>
    </row>
    <row r="114" spans="1:1" x14ac:dyDescent="0.25">
      <c r="A114" s="1137"/>
    </row>
    <row r="115" spans="1:1" x14ac:dyDescent="0.25">
      <c r="A115" s="1137"/>
    </row>
    <row r="116" spans="1:1" x14ac:dyDescent="0.25">
      <c r="A116" s="1137"/>
    </row>
    <row r="117" spans="1:1" x14ac:dyDescent="0.25">
      <c r="A117" s="1137"/>
    </row>
    <row r="118" spans="1:1" x14ac:dyDescent="0.25">
      <c r="A118" s="1137"/>
    </row>
    <row r="119" spans="1:1" x14ac:dyDescent="0.25">
      <c r="A119" s="113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"/>
  </sheetPr>
  <dimension ref="A1:A1"/>
  <sheetViews>
    <sheetView workbookViewId="0" zoomScale="100" zoomScaleNormal="100">
      <selection activeCell="I19" sqref="I19"/>
    </sheetView>
  </sheetViews>
  <sheetFormatPr defaultRowHeight="17" outlineLevelRow="0" outlineLevelCol="0" x14ac:dyDescent="0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국산차 견적</vt:lpstr>
      <vt:lpstr>발주요청서</vt:lpstr>
      <vt:lpstr>임직원보험가입신청서</vt:lpstr>
      <vt:lpstr>수입차 과세출고확인서</vt:lpstr>
      <vt:lpstr>전자약정신청서</vt:lpstr>
      <vt:lpstr>위약금율표</vt:lpstr>
      <vt:lpstr>정비상품</vt:lpstr>
      <vt:lpstr>국산_DB</vt:lpstr>
      <vt:lpstr>정비비(입고)</vt:lpstr>
      <vt:lpstr>스노우타이어</vt:lpstr>
      <vt:lpstr>잔가테이블</vt:lpstr>
      <vt:lpstr>보험료(공제)</vt:lpstr>
      <vt:lpstr>용품</vt:lpstr>
      <vt:lpstr>정비비(실속형)</vt:lpstr>
      <vt:lpstr>탁송료</vt:lpstr>
      <vt:lpstr>Sheet7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enduser</cp:lastModifiedBy>
  <cp:lastPrinted>2022-02-18T09:41:50Z</cp:lastPrinted>
  <dcterms:created xsi:type="dcterms:W3CDTF">2020-03-26T01:58:51Z</dcterms:created>
  <dcterms:modified xsi:type="dcterms:W3CDTF">2023-02-04T04:46:42Z</dcterms:modified>
</cp:coreProperties>
</file>