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135" windowWidth="27960" windowHeight="14145"/>
  </bookViews>
  <sheets>
    <sheet name="上り" sheetId="9" r:id="rId1"/>
    <sheet name="下り" sheetId="8" r:id="rId2"/>
  </sheets>
  <definedNames>
    <definedName name="beforehand" localSheetId="1">下り!$B$2</definedName>
    <definedName name="beforehand" localSheetId="0">上り!$B$2</definedName>
    <definedName name="fromHiroshima" localSheetId="1">下り!$C$68</definedName>
    <definedName name="fromHiroshima" localSheetId="0">上り!$C$22</definedName>
    <definedName name="fromKobe" localSheetId="1">下り!$C$44</definedName>
    <definedName name="fromKokura" localSheetId="1">下り!$C$83</definedName>
    <definedName name="fromKokura" localSheetId="0">上り!$C$7</definedName>
    <definedName name="fromKyoto" localSheetId="0">上り!$C$52</definedName>
    <definedName name="fromNagoya" localSheetId="1">下り!$C$31</definedName>
    <definedName name="fromNagoya" localSheetId="0">上り!$C$59</definedName>
    <definedName name="fromOkayama" localSheetId="1">下り!$C$54</definedName>
    <definedName name="fromOkayama" localSheetId="0">上り!$C$36</definedName>
    <definedName name="fromYokohama" localSheetId="1">下り!$C$10</definedName>
    <definedName name="Nozomi" localSheetId="1">下り!$E$1:$AK$1</definedName>
    <definedName name="Nozomi" localSheetId="0">上り!$E$1:$AM$1</definedName>
    <definedName name="selector" localSheetId="1">下り!$A$1</definedName>
    <definedName name="selector" localSheetId="0">上り!$A$1</definedName>
    <definedName name="table" localSheetId="1">下り!$E$1:$AK$86</definedName>
    <definedName name="table" localSheetId="0">上り!$E$1:$AM$86</definedName>
    <definedName name="toHakata" localSheetId="1">下り!$C$85</definedName>
    <definedName name="toHiroshima" localSheetId="1">下り!$C$67</definedName>
    <definedName name="toHiroshima" localSheetId="0">上り!$C$21</definedName>
    <definedName name="toKobe" localSheetId="0">上り!$C$45</definedName>
    <definedName name="toKokura" localSheetId="1">下り!$C$82</definedName>
    <definedName name="toKyoto" localSheetId="1">下り!$C$37</definedName>
    <definedName name="toNagoya" localSheetId="1">下り!$C$30</definedName>
    <definedName name="toNagoya" localSheetId="0">上り!$C$58</definedName>
    <definedName name="toOkayama" localSheetId="1">下り!$C$53</definedName>
    <definedName name="toOkayama" localSheetId="0">上り!$C$35</definedName>
    <definedName name="toYokohama" localSheetId="0">上り!$C$79</definedName>
  </definedNames>
  <calcPr calcId="145621"/>
</workbook>
</file>

<file path=xl/calcChain.xml><?xml version="1.0" encoding="utf-8"?>
<calcChain xmlns="http://schemas.openxmlformats.org/spreadsheetml/2006/main">
  <c r="B2" i="9" l="1"/>
  <c r="B2" i="8"/>
  <c r="C14" i="9" l="1"/>
  <c r="C13" i="9"/>
  <c r="C17" i="9"/>
  <c r="C16" i="9"/>
  <c r="C40" i="9"/>
  <c r="C85" i="9"/>
  <c r="C83" i="9"/>
  <c r="C82" i="9"/>
  <c r="C80" i="9"/>
  <c r="C79" i="9"/>
  <c r="C59" i="9"/>
  <c r="C58" i="9"/>
  <c r="C52" i="9"/>
  <c r="C51" i="9"/>
  <c r="C49" i="9"/>
  <c r="C48" i="9"/>
  <c r="C46" i="9"/>
  <c r="C45" i="9"/>
  <c r="C36" i="9"/>
  <c r="C35" i="9"/>
  <c r="C31" i="9"/>
  <c r="C30" i="9"/>
  <c r="C22" i="9"/>
  <c r="C21" i="9"/>
  <c r="C7" i="9"/>
  <c r="C6" i="9"/>
  <c r="C4" i="9"/>
  <c r="C2" i="9"/>
  <c r="C85" i="8"/>
  <c r="C83" i="8"/>
  <c r="C82" i="8"/>
  <c r="C76" i="8"/>
  <c r="C75" i="8"/>
  <c r="C73" i="8"/>
  <c r="C72" i="8"/>
  <c r="C68" i="8"/>
  <c r="C67" i="8"/>
  <c r="C59" i="8"/>
  <c r="C58" i="8"/>
  <c r="C54" i="8"/>
  <c r="C53" i="8"/>
  <c r="C49" i="8"/>
  <c r="C48" i="8"/>
  <c r="C44" i="8"/>
  <c r="C43" i="8"/>
  <c r="C41" i="8"/>
  <c r="C40" i="8"/>
  <c r="C38" i="8"/>
  <c r="C37" i="8"/>
  <c r="C31" i="8"/>
  <c r="C30" i="8"/>
  <c r="C10" i="8"/>
  <c r="C9" i="8"/>
  <c r="C7" i="8"/>
  <c r="C6" i="8"/>
  <c r="C4" i="8"/>
  <c r="C2" i="8"/>
  <c r="C1" i="8"/>
  <c r="C1" i="9"/>
  <c r="A85" i="9" l="1"/>
  <c r="B49" i="8"/>
  <c r="B66" i="8"/>
  <c r="B41" i="9"/>
  <c r="A41" i="9"/>
  <c r="B40" i="9"/>
  <c r="B76" i="9"/>
  <c r="B74" i="9"/>
  <c r="B72" i="9"/>
  <c r="B70" i="9"/>
  <c r="B68" i="9"/>
  <c r="B66" i="9"/>
  <c r="B64" i="9"/>
  <c r="B62" i="9"/>
  <c r="B60" i="9"/>
  <c r="B55" i="9"/>
  <c r="B53" i="9"/>
  <c r="A83" i="9"/>
  <c r="A82" i="9"/>
  <c r="A80" i="9"/>
  <c r="A79" i="9"/>
  <c r="A59" i="9"/>
  <c r="A58" i="9"/>
  <c r="A52" i="9"/>
  <c r="A51" i="9"/>
  <c r="A49" i="9"/>
  <c r="A48" i="9"/>
  <c r="A46" i="9"/>
  <c r="A45" i="9"/>
  <c r="B39" i="9"/>
  <c r="A36" i="9"/>
  <c r="B36" i="9"/>
  <c r="A35" i="9"/>
  <c r="B34" i="9"/>
  <c r="B29" i="9"/>
  <c r="B31" i="9"/>
  <c r="A31" i="9"/>
  <c r="B30" i="9"/>
  <c r="A29" i="9"/>
  <c r="B42" i="9"/>
  <c r="B37" i="9"/>
  <c r="B32" i="9"/>
  <c r="B27" i="9"/>
  <c r="B25" i="9"/>
  <c r="B23" i="9"/>
  <c r="B52" i="8"/>
  <c r="B7" i="9"/>
  <c r="B22" i="9"/>
  <c r="A22" i="9"/>
  <c r="A21" i="9"/>
  <c r="B20" i="9"/>
  <c r="B5" i="9"/>
  <c r="A17" i="9"/>
  <c r="A14" i="9"/>
  <c r="B17" i="9"/>
  <c r="B14" i="9"/>
  <c r="B73" i="8"/>
  <c r="B71" i="8"/>
  <c r="B15" i="9"/>
  <c r="B16" i="9"/>
  <c r="B13" i="9"/>
  <c r="B12" i="9"/>
  <c r="A12" i="9"/>
  <c r="A15" i="9"/>
  <c r="B18" i="9"/>
  <c r="B10" i="9"/>
  <c r="B8" i="9"/>
  <c r="A7" i="9"/>
  <c r="A6" i="9"/>
  <c r="A4" i="9"/>
  <c r="B3" i="9"/>
  <c r="AO79" i="9"/>
  <c r="AO76" i="9"/>
  <c r="A76" i="9" s="1"/>
  <c r="AO74" i="9"/>
  <c r="A74" i="9" s="1"/>
  <c r="AO72" i="9"/>
  <c r="A72" i="9" s="1"/>
  <c r="AO70" i="9"/>
  <c r="A70" i="9" s="1"/>
  <c r="AO68" i="9"/>
  <c r="A68" i="9" s="1"/>
  <c r="AO66" i="9"/>
  <c r="A66" i="9" s="1"/>
  <c r="AO64" i="9"/>
  <c r="A64" i="9" s="1"/>
  <c r="AO62" i="9"/>
  <c r="A62" i="9" s="1"/>
  <c r="AO60" i="9"/>
  <c r="A60" i="9" s="1"/>
  <c r="AO21" i="9"/>
  <c r="AO35" i="9"/>
  <c r="AO45" i="9"/>
  <c r="AO58" i="9"/>
  <c r="AO55" i="9"/>
  <c r="A55" i="9" s="1"/>
  <c r="AO53" i="9"/>
  <c r="A53" i="9" s="1"/>
  <c r="AO42" i="9"/>
  <c r="A42" i="9" s="1"/>
  <c r="AO40" i="9"/>
  <c r="A40" i="9" s="1"/>
  <c r="AO37" i="9"/>
  <c r="A37" i="9" s="1"/>
  <c r="AO32" i="9"/>
  <c r="A32" i="9" s="1"/>
  <c r="AO30" i="9"/>
  <c r="A30" i="9" s="1"/>
  <c r="AO27" i="9"/>
  <c r="A27" i="9" s="1"/>
  <c r="AO25" i="9"/>
  <c r="A25" i="9" s="1"/>
  <c r="AO23" i="9"/>
  <c r="A23" i="9" s="1"/>
  <c r="AO18" i="9"/>
  <c r="A18" i="9" s="1"/>
  <c r="AO16" i="9"/>
  <c r="A16" i="9" s="1"/>
  <c r="AO13" i="9"/>
  <c r="A13" i="9" s="1"/>
  <c r="AO10" i="9"/>
  <c r="A10" i="9" s="1"/>
  <c r="AO8" i="9"/>
  <c r="A8" i="9" s="1"/>
  <c r="B74" i="8" l="1"/>
  <c r="B75" i="8"/>
  <c r="AM85" i="8"/>
  <c r="A71" i="8"/>
  <c r="B72" i="8"/>
  <c r="B69" i="8"/>
  <c r="AM69" i="8"/>
  <c r="A69" i="8" s="1"/>
  <c r="AM72" i="8"/>
  <c r="A72" i="8" s="1"/>
  <c r="AM75" i="8"/>
  <c r="A75" i="8" s="1"/>
  <c r="AM77" i="8"/>
  <c r="A77" i="8" s="1"/>
  <c r="AM79" i="8"/>
  <c r="A79" i="8" s="1"/>
  <c r="AM82" i="8"/>
  <c r="B57" i="8"/>
  <c r="A57" i="8"/>
  <c r="B58" i="8"/>
  <c r="AM55" i="8"/>
  <c r="A55" i="8" s="1"/>
  <c r="AM58" i="8"/>
  <c r="A58" i="8" s="1"/>
  <c r="AM60" i="8"/>
  <c r="A60" i="8" s="1"/>
  <c r="AM62" i="8"/>
  <c r="A62" i="8" s="1"/>
  <c r="AM64" i="8"/>
  <c r="A64" i="8" s="1"/>
  <c r="AM67" i="8"/>
  <c r="A47" i="8"/>
  <c r="B47" i="8"/>
  <c r="B48" i="8"/>
  <c r="AM45" i="8"/>
  <c r="A45" i="8" s="1"/>
  <c r="AM48" i="8"/>
  <c r="A48" i="8" s="1"/>
  <c r="AM50" i="8"/>
  <c r="A50" i="8" s="1"/>
  <c r="AM53" i="8"/>
  <c r="AM37" i="8"/>
  <c r="AM34" i="8"/>
  <c r="A34" i="8" s="1"/>
  <c r="AM32" i="8"/>
  <c r="A32" i="8" s="1"/>
  <c r="AM30" i="8"/>
  <c r="AM27" i="8"/>
  <c r="A27" i="8" s="1"/>
  <c r="AM25" i="8"/>
  <c r="A25" i="8" s="1"/>
  <c r="AM23" i="8"/>
  <c r="A23" i="8" s="1"/>
  <c r="AM21" i="8"/>
  <c r="A21" i="8" s="1"/>
  <c r="AM19" i="8"/>
  <c r="A19" i="8" s="1"/>
  <c r="AM17" i="8"/>
  <c r="A17" i="8" s="1"/>
  <c r="AM15" i="8"/>
  <c r="A15" i="8" s="1"/>
  <c r="AM13" i="8"/>
  <c r="A13" i="8" s="1"/>
  <c r="AM11" i="8"/>
  <c r="A11" i="8" s="1"/>
  <c r="B68" i="8" l="1"/>
  <c r="A76" i="8"/>
  <c r="B76" i="8"/>
  <c r="A73" i="8"/>
  <c r="B59" i="8"/>
  <c r="A49" i="8"/>
  <c r="A59" i="8"/>
  <c r="B54" i="8"/>
  <c r="B44" i="8"/>
  <c r="A85" i="8"/>
  <c r="A83" i="8"/>
  <c r="A82" i="8"/>
  <c r="A68" i="8"/>
  <c r="A67" i="8"/>
  <c r="A54" i="8"/>
  <c r="A53" i="8"/>
  <c r="A44" i="8"/>
  <c r="A43" i="8"/>
  <c r="A41" i="8"/>
  <c r="A40" i="8"/>
  <c r="A38" i="8"/>
  <c r="A37" i="8"/>
  <c r="A31" i="8"/>
  <c r="A30" i="8"/>
  <c r="A10" i="8"/>
  <c r="A9" i="8"/>
  <c r="A6" i="8"/>
  <c r="A29" i="8"/>
  <c r="A7" i="8"/>
  <c r="B79" i="8"/>
  <c r="B77" i="8"/>
  <c r="B64" i="8"/>
  <c r="B62" i="8"/>
  <c r="B60" i="8"/>
  <c r="B55" i="8"/>
  <c r="B50" i="8"/>
  <c r="B45" i="8"/>
  <c r="B34" i="8"/>
  <c r="B32" i="8"/>
  <c r="B27" i="8"/>
  <c r="B25" i="8"/>
  <c r="B23" i="8"/>
  <c r="B21" i="8"/>
  <c r="B19" i="8"/>
  <c r="B17" i="8"/>
  <c r="B11" i="8"/>
  <c r="B13" i="8"/>
  <c r="B15" i="8"/>
  <c r="B3" i="8"/>
  <c r="A4" i="8"/>
  <c r="A42" i="8" l="1"/>
  <c r="A52" i="8"/>
  <c r="A3" i="9"/>
  <c r="A44" i="9"/>
  <c r="A39" i="9"/>
  <c r="A34" i="9"/>
  <c r="A81" i="9"/>
  <c r="A78" i="9"/>
  <c r="A57" i="9"/>
  <c r="A20" i="9"/>
  <c r="A50" i="9"/>
  <c r="A5" i="9"/>
  <c r="A84" i="9"/>
  <c r="A47" i="9"/>
  <c r="A74" i="8"/>
  <c r="A3" i="8"/>
  <c r="A5" i="8"/>
  <c r="A8" i="8"/>
  <c r="A66" i="8"/>
  <c r="A81" i="8"/>
  <c r="A36" i="8"/>
  <c r="A84" i="8"/>
  <c r="A39" i="8"/>
</calcChain>
</file>

<file path=xl/sharedStrings.xml><?xml version="1.0" encoding="utf-8"?>
<sst xmlns="http://schemas.openxmlformats.org/spreadsheetml/2006/main" count="199" uniqueCount="171">
  <si>
    <t>Odawara</t>
    <phoneticPr fontId="1"/>
  </si>
  <si>
    <t>Atami</t>
    <phoneticPr fontId="1"/>
  </si>
  <si>
    <t>km</t>
    <phoneticPr fontId="1"/>
  </si>
  <si>
    <t>Himeji</t>
    <phoneticPr fontId="1"/>
  </si>
  <si>
    <t>Tokyo</t>
    <phoneticPr fontId="1"/>
  </si>
  <si>
    <t>Shinagawa</t>
    <phoneticPr fontId="1"/>
  </si>
  <si>
    <r>
      <rPr>
        <sz val="11"/>
        <color theme="1" tint="0.14999847407452621"/>
        <rFont val="ＭＳ Ｐゴシック"/>
        <family val="3"/>
        <charset val="128"/>
      </rPr>
      <t>東京</t>
    </r>
    <rPh sb="0" eb="2">
      <t>トウキョウ</t>
    </rPh>
    <phoneticPr fontId="1"/>
  </si>
  <si>
    <r>
      <rPr>
        <sz val="11"/>
        <color theme="1" tint="0.14999847407452621"/>
        <rFont val="ＭＳ Ｐゴシック"/>
        <family val="3"/>
        <charset val="128"/>
      </rPr>
      <t>品川</t>
    </r>
    <rPh sb="0" eb="2">
      <t>シナガワ</t>
    </rPh>
    <phoneticPr fontId="1"/>
  </si>
  <si>
    <r>
      <rPr>
        <sz val="11"/>
        <color theme="1" tint="0.14999847407452621"/>
        <rFont val="ＭＳ Ｐゴシック"/>
        <family val="3"/>
        <charset val="128"/>
      </rPr>
      <t>新横浜</t>
    </r>
    <rPh sb="0" eb="3">
      <t>シンヨコハマ</t>
    </rPh>
    <phoneticPr fontId="1"/>
  </si>
  <si>
    <r>
      <rPr>
        <sz val="11"/>
        <color theme="0" tint="-4.9989318521683403E-2"/>
        <rFont val="HGPｺﾞｼｯｸM"/>
        <family val="3"/>
        <charset val="128"/>
      </rPr>
      <t>小田原</t>
    </r>
  </si>
  <si>
    <r>
      <rPr>
        <sz val="11"/>
        <color theme="0" tint="-4.9989318521683403E-2"/>
        <rFont val="HGPｺﾞｼｯｸM"/>
        <family val="3"/>
        <charset val="128"/>
      </rPr>
      <t>熱海</t>
    </r>
  </si>
  <si>
    <r>
      <rPr>
        <sz val="11"/>
        <color theme="0" tint="-4.9989318521683403E-2"/>
        <rFont val="HGPｺﾞｼｯｸM"/>
        <family val="3"/>
        <charset val="128"/>
      </rPr>
      <t>三島</t>
    </r>
  </si>
  <si>
    <r>
      <rPr>
        <sz val="11"/>
        <color theme="0" tint="-4.9989318521683403E-2"/>
        <rFont val="HGPｺﾞｼｯｸM"/>
        <family val="3"/>
        <charset val="128"/>
      </rPr>
      <t>新富士</t>
    </r>
  </si>
  <si>
    <r>
      <rPr>
        <sz val="11"/>
        <color theme="0" tint="-4.9989318521683403E-2"/>
        <rFont val="HGPｺﾞｼｯｸM"/>
        <family val="3"/>
        <charset val="128"/>
      </rPr>
      <t>静岡</t>
    </r>
  </si>
  <si>
    <r>
      <rPr>
        <sz val="11"/>
        <color theme="0" tint="-4.9989318521683403E-2"/>
        <rFont val="HGPｺﾞｼｯｸM"/>
        <family val="3"/>
        <charset val="128"/>
      </rPr>
      <t>掛川</t>
    </r>
  </si>
  <si>
    <r>
      <rPr>
        <sz val="11"/>
        <color theme="0" tint="-4.9989318521683403E-2"/>
        <rFont val="HGPｺﾞｼｯｸM"/>
        <family val="3"/>
        <charset val="128"/>
      </rPr>
      <t>浜松</t>
    </r>
  </si>
  <si>
    <r>
      <rPr>
        <sz val="11"/>
        <color theme="0" tint="-4.9989318521683403E-2"/>
        <rFont val="HGPｺﾞｼｯｸM"/>
        <family val="3"/>
        <charset val="128"/>
      </rPr>
      <t>豊橋</t>
    </r>
  </si>
  <si>
    <r>
      <rPr>
        <sz val="11"/>
        <color theme="0" tint="-4.9989318521683403E-2"/>
        <rFont val="HGPｺﾞｼｯｸM"/>
        <family val="3"/>
        <charset val="128"/>
      </rPr>
      <t>三河安城</t>
    </r>
  </si>
  <si>
    <r>
      <rPr>
        <sz val="11"/>
        <color theme="1" tint="0.14999847407452621"/>
        <rFont val="ＭＳ Ｐゴシック"/>
        <family val="3"/>
        <charset val="128"/>
      </rPr>
      <t>名古屋</t>
    </r>
    <rPh sb="0" eb="3">
      <t>ナゴヤ</t>
    </rPh>
    <phoneticPr fontId="1"/>
  </si>
  <si>
    <r>
      <rPr>
        <sz val="11"/>
        <color theme="0" tint="-4.9989318521683403E-2"/>
        <rFont val="HGPｺﾞｼｯｸM"/>
        <family val="3"/>
        <charset val="128"/>
      </rPr>
      <t>岐阜羽島</t>
    </r>
  </si>
  <si>
    <r>
      <rPr>
        <sz val="11"/>
        <color theme="1" tint="0.14999847407452621"/>
        <rFont val="ＭＳ Ｐゴシック"/>
        <family val="3"/>
        <charset val="128"/>
      </rPr>
      <t>京都</t>
    </r>
    <rPh sb="0" eb="2">
      <t>キョウト</t>
    </rPh>
    <phoneticPr fontId="1"/>
  </si>
  <si>
    <r>
      <rPr>
        <sz val="11"/>
        <color theme="1" tint="0.14999847407452621"/>
        <rFont val="ＭＳ Ｐゴシック"/>
        <family val="3"/>
        <charset val="128"/>
      </rPr>
      <t>新大阪</t>
    </r>
    <rPh sb="0" eb="3">
      <t>シンオオサカ</t>
    </rPh>
    <phoneticPr fontId="1"/>
  </si>
  <si>
    <r>
      <rPr>
        <sz val="11"/>
        <color theme="1" tint="0.14999847407452621"/>
        <rFont val="ＭＳ Ｐゴシック"/>
        <family val="3"/>
        <charset val="128"/>
      </rPr>
      <t>新神戸</t>
    </r>
    <rPh sb="0" eb="3">
      <t>シンコウベ</t>
    </rPh>
    <phoneticPr fontId="1"/>
  </si>
  <si>
    <r>
      <rPr>
        <sz val="11"/>
        <color theme="0" tint="-4.9989318521683403E-2"/>
        <rFont val="ＭＳ Ｐゴシック"/>
        <family val="3"/>
        <charset val="128"/>
      </rPr>
      <t>姫路</t>
    </r>
    <rPh sb="0" eb="2">
      <t>ヒメジ</t>
    </rPh>
    <phoneticPr fontId="1"/>
  </si>
  <si>
    <r>
      <rPr>
        <sz val="11"/>
        <color theme="1" tint="0.14999847407452621"/>
        <rFont val="ＭＳ Ｐゴシック"/>
        <family val="3"/>
        <charset val="128"/>
      </rPr>
      <t>岡山</t>
    </r>
    <rPh sb="0" eb="2">
      <t>オカヤマ</t>
    </rPh>
    <phoneticPr fontId="1"/>
  </si>
  <si>
    <r>
      <rPr>
        <sz val="11"/>
        <color theme="0" tint="-4.9989318521683403E-2"/>
        <rFont val="ＭＳ Ｐゴシック"/>
        <family val="3"/>
        <charset val="128"/>
      </rPr>
      <t>新倉敷</t>
    </r>
    <rPh sb="0" eb="3">
      <t>シンクラシキ</t>
    </rPh>
    <phoneticPr fontId="1"/>
  </si>
  <si>
    <r>
      <rPr>
        <sz val="11"/>
        <color theme="0" tint="-4.9989318521683403E-2"/>
        <rFont val="ＭＳ Ｐゴシック"/>
        <family val="3"/>
        <charset val="128"/>
      </rPr>
      <t>福山</t>
    </r>
    <rPh sb="0" eb="2">
      <t>フクヤマ</t>
    </rPh>
    <phoneticPr fontId="1"/>
  </si>
  <si>
    <r>
      <rPr>
        <sz val="11"/>
        <color theme="0" tint="-4.9989318521683403E-2"/>
        <rFont val="ＭＳ Ｐゴシック"/>
        <family val="3"/>
        <charset val="128"/>
      </rPr>
      <t>三原</t>
    </r>
    <rPh sb="0" eb="2">
      <t>ミハラ</t>
    </rPh>
    <phoneticPr fontId="1"/>
  </si>
  <si>
    <r>
      <rPr>
        <sz val="11"/>
        <color theme="1" tint="0.14999847407452621"/>
        <rFont val="ＭＳ Ｐゴシック"/>
        <family val="3"/>
        <charset val="128"/>
      </rPr>
      <t>広島</t>
    </r>
    <rPh sb="0" eb="2">
      <t>ヒロシマ</t>
    </rPh>
    <phoneticPr fontId="1"/>
  </si>
  <si>
    <r>
      <rPr>
        <sz val="11"/>
        <color theme="0" tint="-4.9989318521683403E-2"/>
        <rFont val="ＭＳ Ｐゴシック"/>
        <family val="3"/>
        <charset val="128"/>
      </rPr>
      <t>徳山</t>
    </r>
    <rPh sb="0" eb="2">
      <t>トクヤマ</t>
    </rPh>
    <phoneticPr fontId="1"/>
  </si>
  <si>
    <r>
      <rPr>
        <sz val="11"/>
        <color theme="0" tint="-4.9989318521683403E-2"/>
        <rFont val="ＭＳ Ｐゴシック"/>
        <family val="3"/>
        <charset val="128"/>
      </rPr>
      <t>新山口</t>
    </r>
    <rPh sb="0" eb="3">
      <t>シンヤマグチ</t>
    </rPh>
    <phoneticPr fontId="1"/>
  </si>
  <si>
    <r>
      <rPr>
        <sz val="11"/>
        <color theme="1" tint="0.14999847407452621"/>
        <rFont val="ＭＳ Ｐゴシック"/>
        <family val="3"/>
        <charset val="128"/>
      </rPr>
      <t>小倉</t>
    </r>
    <rPh sb="0" eb="2">
      <t>コクラ</t>
    </rPh>
    <phoneticPr fontId="1"/>
  </si>
  <si>
    <r>
      <rPr>
        <sz val="11"/>
        <color theme="1" tint="0.14999847407452621"/>
        <rFont val="ＭＳ Ｐゴシック"/>
        <family val="3"/>
        <charset val="128"/>
      </rPr>
      <t>博多</t>
    </r>
    <rPh sb="0" eb="2">
      <t>ハカタ</t>
    </rPh>
    <phoneticPr fontId="1"/>
  </si>
  <si>
    <r>
      <rPr>
        <sz val="11"/>
        <color theme="0" tint="-4.9989318521683403E-2"/>
        <rFont val="HGPｺﾞｼｯｸM"/>
        <family val="3"/>
        <charset val="128"/>
      </rPr>
      <t>米原</t>
    </r>
    <phoneticPr fontId="1"/>
  </si>
  <si>
    <r>
      <rPr>
        <sz val="11"/>
        <color theme="0" tint="-4.9989318521683403E-2"/>
        <rFont val="ＭＳ Ｐゴシック"/>
        <family val="3"/>
        <charset val="128"/>
      </rPr>
      <t>西明石</t>
    </r>
    <phoneticPr fontId="1"/>
  </si>
  <si>
    <r>
      <rPr>
        <sz val="11"/>
        <color theme="0" tint="-4.9989318521683403E-2"/>
        <rFont val="ＭＳ Ｐゴシック"/>
        <family val="3"/>
        <charset val="128"/>
      </rPr>
      <t>相生</t>
    </r>
    <phoneticPr fontId="1"/>
  </si>
  <si>
    <r>
      <rPr>
        <sz val="11"/>
        <color theme="0" tint="-4.9989318521683403E-2"/>
        <rFont val="ＭＳ Ｐゴシック"/>
        <family val="3"/>
        <charset val="128"/>
      </rPr>
      <t>新尾道</t>
    </r>
    <phoneticPr fontId="1"/>
  </si>
  <si>
    <r>
      <rPr>
        <sz val="11"/>
        <color theme="0" tint="-4.9989318521683403E-2"/>
        <rFont val="ＭＳ Ｐゴシック"/>
        <family val="3"/>
        <charset val="128"/>
      </rPr>
      <t>東広島</t>
    </r>
    <phoneticPr fontId="1"/>
  </si>
  <si>
    <r>
      <rPr>
        <sz val="11"/>
        <color theme="0" tint="-4.9989318521683403E-2"/>
        <rFont val="ＭＳ Ｐゴシック"/>
        <family val="3"/>
        <charset val="128"/>
      </rPr>
      <t>新岩国</t>
    </r>
    <phoneticPr fontId="1"/>
  </si>
  <si>
    <r>
      <rPr>
        <sz val="11"/>
        <color theme="0" tint="-4.9989318521683403E-2"/>
        <rFont val="ＭＳ Ｐゴシック"/>
        <family val="3"/>
        <charset val="128"/>
      </rPr>
      <t>厚狭</t>
    </r>
    <phoneticPr fontId="1"/>
  </si>
  <si>
    <r>
      <rPr>
        <sz val="11"/>
        <color theme="0" tint="-4.9989318521683403E-2"/>
        <rFont val="ＭＳ Ｐゴシック"/>
        <family val="3"/>
        <charset val="128"/>
      </rPr>
      <t>新下関</t>
    </r>
    <phoneticPr fontId="1"/>
  </si>
  <si>
    <t>Mishima</t>
    <phoneticPr fontId="1"/>
  </si>
  <si>
    <t>Shin-Fuji</t>
    <phoneticPr fontId="1"/>
  </si>
  <si>
    <t>Shizuoka</t>
    <phoneticPr fontId="1"/>
  </si>
  <si>
    <t>Kakegawa</t>
    <phoneticPr fontId="1"/>
  </si>
  <si>
    <t>Hamamatsu</t>
    <phoneticPr fontId="1"/>
  </si>
  <si>
    <t>Toyohashi</t>
    <phoneticPr fontId="1"/>
  </si>
  <si>
    <t>Mikawa-Anjo</t>
    <phoneticPr fontId="1"/>
  </si>
  <si>
    <t>Nagoya</t>
    <phoneticPr fontId="1"/>
  </si>
  <si>
    <t>Gifu-Hashima</t>
    <phoneticPr fontId="1"/>
  </si>
  <si>
    <t>Maibara</t>
    <phoneticPr fontId="1"/>
  </si>
  <si>
    <t>Kyoto</t>
    <phoneticPr fontId="1"/>
  </si>
  <si>
    <t>Shin-Osaka</t>
    <phoneticPr fontId="1"/>
  </si>
  <si>
    <t>Shin-Kobe</t>
    <phoneticPr fontId="1"/>
  </si>
  <si>
    <t>Nishi-Akashi</t>
    <phoneticPr fontId="1"/>
  </si>
  <si>
    <t>Aioi</t>
    <phoneticPr fontId="1"/>
  </si>
  <si>
    <t>Shin-Kurashiki</t>
    <phoneticPr fontId="1"/>
  </si>
  <si>
    <t>Fukuyama</t>
    <phoneticPr fontId="1"/>
  </si>
  <si>
    <t>Shin-Onomichi</t>
    <phoneticPr fontId="1"/>
  </si>
  <si>
    <t>Mihara</t>
    <phoneticPr fontId="1"/>
  </si>
  <si>
    <t>Higashi-Hiroshima</t>
    <phoneticPr fontId="1"/>
  </si>
  <si>
    <t>Hiroshia</t>
    <phoneticPr fontId="1"/>
  </si>
  <si>
    <t>Shin-Iwakuni</t>
    <phoneticPr fontId="1"/>
  </si>
  <si>
    <t>Tokuyama</t>
    <phoneticPr fontId="1"/>
  </si>
  <si>
    <t>Shin-Yamaguchi</t>
    <phoneticPr fontId="1"/>
  </si>
  <si>
    <t>Asa</t>
    <phoneticPr fontId="1"/>
  </si>
  <si>
    <t>Shin-Shimonoseki</t>
    <phoneticPr fontId="1"/>
  </si>
  <si>
    <t>Kokura</t>
    <phoneticPr fontId="1"/>
  </si>
  <si>
    <t>Hakata</t>
    <phoneticPr fontId="1"/>
  </si>
  <si>
    <t>Shin-Yokohama</t>
    <phoneticPr fontId="1"/>
  </si>
  <si>
    <t>Okayama</t>
    <phoneticPr fontId="1"/>
  </si>
  <si>
    <t>Nozomi:</t>
    <phoneticPr fontId="1"/>
  </si>
  <si>
    <t>Pattern:</t>
    <phoneticPr fontId="1"/>
  </si>
  <si>
    <r>
      <t>|</t>
    </r>
    <r>
      <rPr>
        <sz val="11"/>
        <color theme="0" tint="-4.9989318521683403E-2"/>
        <rFont val="ＭＳ Ｐゴシック"/>
        <family val="3"/>
        <charset val="128"/>
      </rPr>
      <t>次は　　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品　川</t>
    </r>
    <r>
      <rPr>
        <sz val="11"/>
        <color theme="0" tint="-4.9989318521683403E-2"/>
        <rFont val="Arial"/>
        <family val="2"/>
      </rPr>
      <t>}</t>
    </r>
    <rPh sb="1" eb="2">
      <t>ツギ</t>
    </rPh>
    <rPh sb="7" eb="8">
      <t>ヒン</t>
    </rPh>
    <rPh sb="9" eb="10">
      <t>カワ</t>
    </rPh>
    <phoneticPr fontId="1"/>
  </si>
  <si>
    <r>
      <t>!</t>
    </r>
    <r>
      <rPr>
        <sz val="11"/>
        <color theme="0" tint="-4.9989318521683403E-2"/>
        <rFont val="ＭＳ Ｐゴシック"/>
        <family val="3"/>
        <charset val="128"/>
      </rPr>
      <t>まもなく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品川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です。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山手線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京浜東北線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東北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・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高崎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・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常磐線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東海道線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横須賀線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総武線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と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京浜急行線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はお乗り換えです。お降りの時は足元にご注意ください。今日も新幹線をご利用くださいましてありがとうございました。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品川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を出ますと、次は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新横浜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に停まります。。</t>
    </r>
    <r>
      <rPr>
        <sz val="11"/>
        <color theme="0" tint="-4.9989318521683403E-2"/>
        <rFont val="Arial"/>
        <family val="2"/>
      </rPr>
      <t>We will soon make a brief stop at {+Shinagawa}. Passengers going to the {+Yamanote}, {+Keihin-Tohoku}, {+Tohoku}, {+Takasaki}, {+Joban}, {+Tokaido}, {+Yokosuka}, {+Sobu} and {+Keihinkyuko} lines, please change trains here at {+Shinagawa}. We will depart shortly after arriving at {+Shinagawa}, so please be ready to get off before the train stops. Thank you.</t>
    </r>
    <phoneticPr fontId="1"/>
  </si>
  <si>
    <r>
      <t>|!{+</t>
    </r>
    <r>
      <rPr>
        <sz val="11"/>
        <color theme="0" tint="-4.9989318521683403E-2"/>
        <rFont val="ＭＳ Ｐゴシック"/>
        <family val="3"/>
        <charset val="128"/>
      </rPr>
      <t>品　川</t>
    </r>
    <r>
      <rPr>
        <sz val="11"/>
        <color theme="0" tint="-4.9989318521683403E-2"/>
        <rFont val="Arial"/>
        <family val="2"/>
      </rPr>
      <t>}</t>
    </r>
    <phoneticPr fontId="1"/>
  </si>
  <si>
    <r>
      <t>|</t>
    </r>
    <r>
      <rPr>
        <sz val="11"/>
        <color theme="0" tint="-4.9989318521683403E-2"/>
        <rFont val="ＭＳ Ｐゴシック"/>
        <family val="3"/>
        <charset val="128"/>
      </rPr>
      <t>次は　　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新横浜</t>
    </r>
    <r>
      <rPr>
        <sz val="11"/>
        <color theme="0" tint="-4.9989318521683403E-2"/>
        <rFont val="Arial"/>
        <family val="2"/>
      </rPr>
      <t>}</t>
    </r>
    <rPh sb="1" eb="2">
      <t>ツギ</t>
    </rPh>
    <rPh sb="7" eb="10">
      <t>シンヨコハマ</t>
    </rPh>
    <phoneticPr fontId="1"/>
  </si>
  <si>
    <r>
      <t>!</t>
    </r>
    <r>
      <rPr>
        <sz val="11"/>
        <color theme="0" tint="-4.9989318521683403E-2"/>
        <rFont val="ＭＳ Ｐゴシック"/>
        <family val="3"/>
        <charset val="128"/>
      </rPr>
      <t>まもなく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新横浜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です。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横浜線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相鉄新横浜線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東急新横浜線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と、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市営地下鉄線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はお乗り換えです。お降りの時は足元にご注意ください。今日も新幹線をご利用くださいましてありがとうございました。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新横浜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を出ますと、次は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名古屋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に停まります。</t>
    </r>
    <r>
      <rPr>
        <sz val="11"/>
        <color theme="0" tint="-4.9989318521683403E-2"/>
        <rFont val="Arial"/>
        <family val="2"/>
      </rPr>
      <t>We will soon make a brief stop at {+Shin-Yokohama}. Passengers going to the {+Yokohama}, {+Sotetsu Shin-Yokohama}, {+Tokyu Shin-Yokohama}, and {+Municipal Subway lines}, please change trains here at {+Shin-Yokohama}. We will depart shortly after arriving at {+Shin-Yokohama}, so please be ready to get off before the train stops. Thank you.</t>
    </r>
    <phoneticPr fontId="1"/>
  </si>
  <si>
    <r>
      <t>|!{+</t>
    </r>
    <r>
      <rPr>
        <sz val="11"/>
        <color theme="0" tint="-4.9989318521683403E-2"/>
        <rFont val="ＭＳ Ｐゴシック"/>
        <family val="3"/>
        <charset val="128"/>
      </rPr>
      <t>新　横　浜</t>
    </r>
    <r>
      <rPr>
        <sz val="11"/>
        <color theme="0" tint="-4.9989318521683403E-2"/>
        <rFont val="Arial"/>
        <family val="2"/>
      </rPr>
      <t>}</t>
    </r>
    <phoneticPr fontId="1"/>
  </si>
  <si>
    <r>
      <t>|</t>
    </r>
    <r>
      <rPr>
        <sz val="11"/>
        <color theme="0" tint="-4.9989318521683403E-2"/>
        <rFont val="ＭＳ Ｐゴシック"/>
        <family val="3"/>
        <charset val="128"/>
      </rPr>
      <t>次は　　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名古屋</t>
    </r>
    <r>
      <rPr>
        <sz val="11"/>
        <color theme="0" tint="-4.9989318521683403E-2"/>
        <rFont val="Arial"/>
        <family val="2"/>
      </rPr>
      <t>}</t>
    </r>
    <phoneticPr fontId="1"/>
  </si>
  <si>
    <r>
      <t>!</t>
    </r>
    <r>
      <rPr>
        <sz val="11"/>
        <color theme="0" tint="-4.9989318521683403E-2"/>
        <rFont val="ＭＳ Ｐゴシック"/>
        <family val="3"/>
        <charset val="128"/>
      </rPr>
      <t>まもなく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名古屋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です。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東海道線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中央線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関西線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と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名鉄線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近鉄線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あおなみ線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地下鉄線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はお乗り換えです。お降りの時は足元にご注意ください。今日も新幹線をご利用くださいましてありがとうございました。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名古屋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を出ますと、次は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京都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に停まります。</t>
    </r>
    <r>
      <rPr>
        <sz val="11"/>
        <color theme="0" tint="-4.9989318521683403E-2"/>
        <rFont val="Arial"/>
        <family val="2"/>
      </rPr>
      <t>We will soon make a brief stop at {+Nagoya}. Passengers going to the {+Tokaido}, {+Chuo}, {+Kansai}, {+Meitetsu}, {+Kintetsu}, {+Aonami}, and {+subway lines}, please change trains here at {+Nagoya}. We will depart shortly after arriving at {+Nagoya}, so please be ready to get off before the train stops. Thank you.</t>
    </r>
    <phoneticPr fontId="1"/>
  </si>
  <si>
    <r>
      <t>|!{+</t>
    </r>
    <r>
      <rPr>
        <sz val="11"/>
        <color theme="0" tint="-4.9989318521683403E-2"/>
        <rFont val="ＭＳ Ｐゴシック"/>
        <family val="3"/>
        <charset val="128"/>
      </rPr>
      <t>名　古　屋</t>
    </r>
    <r>
      <rPr>
        <sz val="11"/>
        <color theme="0" tint="-4.9989318521683403E-2"/>
        <rFont val="Arial"/>
        <family val="2"/>
      </rPr>
      <t>}</t>
    </r>
    <phoneticPr fontId="1"/>
  </si>
  <si>
    <r>
      <t>|</t>
    </r>
    <r>
      <rPr>
        <sz val="11"/>
        <color theme="0" tint="-4.9989318521683403E-2"/>
        <rFont val="ＭＳ Ｐゴシック"/>
        <family val="3"/>
        <charset val="128"/>
      </rPr>
      <t>次は　　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京　都</t>
    </r>
    <r>
      <rPr>
        <sz val="11"/>
        <color theme="0" tint="-4.9989318521683403E-2"/>
        <rFont val="Arial"/>
        <family val="2"/>
      </rPr>
      <t>}</t>
    </r>
    <phoneticPr fontId="1"/>
  </si>
  <si>
    <r>
      <t>!</t>
    </r>
    <r>
      <rPr>
        <sz val="11"/>
        <color theme="0" tint="-4.9989318521683403E-2"/>
        <rFont val="ＭＳ Ｐゴシック"/>
        <family val="3"/>
        <charset val="128"/>
      </rPr>
      <t>まもなく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京都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です。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東海道線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山陰線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湖西線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奈良線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と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近鉄線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地下鉄線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はお乗り換えです。お降りの時は足元にご注意ください。今日も新幹線をご利用くださいましてありがとうございました。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京都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を出ますと、次は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新大阪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に停まります。</t>
    </r>
    <r>
      <rPr>
        <sz val="11"/>
        <color theme="0" tint="-4.9989318521683403E-2"/>
        <rFont val="Arial"/>
        <family val="2"/>
      </rPr>
      <t>We will soon make a brief stop at {+Kyoto}. Passengers going to the {+Tokaido}, {+Sanin}, {+Kosei}, {+Nara}, {+Kintetsu} and {+subway lines}, please change trains here at {+Kyoto}. We will depart shortly after arriving at {+Kyoto}, so please be ready to get off before the train stops. Thank you.</t>
    </r>
    <phoneticPr fontId="1"/>
  </si>
  <si>
    <r>
      <t>|!{+</t>
    </r>
    <r>
      <rPr>
        <sz val="11"/>
        <color theme="0" tint="-4.9989318521683403E-2"/>
        <rFont val="ＭＳ Ｐゴシック"/>
        <family val="3"/>
        <charset val="128"/>
      </rPr>
      <t>京　都</t>
    </r>
    <r>
      <rPr>
        <sz val="11"/>
        <color theme="0" tint="-4.9989318521683403E-2"/>
        <rFont val="Arial"/>
        <family val="2"/>
      </rPr>
      <t>}</t>
    </r>
    <phoneticPr fontId="1"/>
  </si>
  <si>
    <r>
      <t>|</t>
    </r>
    <r>
      <rPr>
        <sz val="11"/>
        <color theme="0" tint="-4.9989318521683403E-2"/>
        <rFont val="ＭＳ Ｐゴシック"/>
        <family val="3"/>
        <charset val="128"/>
      </rPr>
      <t>次は　　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新大阪</t>
    </r>
    <r>
      <rPr>
        <sz val="11"/>
        <color theme="0" tint="-4.9989318521683403E-2"/>
        <rFont val="Arial"/>
        <family val="2"/>
      </rPr>
      <t>}</t>
    </r>
    <phoneticPr fontId="1"/>
  </si>
  <si>
    <r>
      <t>!</t>
    </r>
    <r>
      <rPr>
        <sz val="11"/>
        <color theme="0" tint="-4.9989318521683403E-2"/>
        <rFont val="ＭＳ Ｐゴシック"/>
        <family val="3"/>
        <charset val="128"/>
      </rPr>
      <t>まもなく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新大阪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です。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東海道線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おおさか東線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と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地下鉄線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はお乗り換えです。お降りの時は足元にご注意ください。今日も新幹線をご利用くださいましてありがとうございました。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新大阪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を出ますと、次は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新神戸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に停まります。</t>
    </r>
    <r>
      <rPr>
        <sz val="11"/>
        <color theme="0" tint="-4.9989318521683403E-2"/>
        <rFont val="Arial"/>
        <family val="2"/>
      </rPr>
      <t>We will soon make a brief stop at {+Shin-Osaka}. Passengers going to the {+Tokaido}, {+Osaka-Higashi}, and {+subway lines}, please change trains here at {+Shin-Osaka}. We will depart shortly after arriving at {+Shin-Osaka}, so please be ready to get off before the train stops. Thank you.</t>
    </r>
    <phoneticPr fontId="1"/>
  </si>
  <si>
    <r>
      <t>|!{+</t>
    </r>
    <r>
      <rPr>
        <sz val="11"/>
        <color theme="0" tint="-4.9989318521683403E-2"/>
        <rFont val="ＭＳ Ｐゴシック"/>
        <family val="3"/>
        <charset val="128"/>
      </rPr>
      <t>新　大　阪</t>
    </r>
    <r>
      <rPr>
        <sz val="11"/>
        <color theme="0" tint="-4.9989318521683403E-2"/>
        <rFont val="Arial"/>
        <family val="2"/>
      </rPr>
      <t>}</t>
    </r>
    <phoneticPr fontId="1"/>
  </si>
  <si>
    <r>
      <t>!</t>
    </r>
    <r>
      <rPr>
        <sz val="11"/>
        <color theme="0" tint="-4.9989318521683403E-2"/>
        <rFont val="ＭＳ Ｐゴシック"/>
        <family val="3"/>
        <charset val="128"/>
      </rPr>
      <t>まもなく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新神戸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です。お出口は、左側です。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地下鉄線（三ノ宮方面）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はお乗り換えです。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地下鉄線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をご利用の方は、改札口を出て、地下ホームへおいでください。</t>
    </r>
    <r>
      <rPr>
        <sz val="11"/>
        <color theme="0" tint="-4.9989318521683403E-2"/>
        <rFont val="Arial"/>
        <family val="2"/>
      </rPr>
      <t>{+JR</t>
    </r>
    <r>
      <rPr>
        <sz val="11"/>
        <color theme="0" tint="-4.9989318521683403E-2"/>
        <rFont val="ＭＳ Ｐゴシック"/>
        <family val="3"/>
        <charset val="128"/>
      </rPr>
      <t>神戸線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をご利用のお客様は、黄色の自動改札機をご利用ください。電車とホームとの間が、少々空いているところがあります。お降りの際は、足元にご注意ください。小さなお子様をお連れのお客様は、手を繋いでお降りください。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新神戸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を出ますと、次は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岡山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に停まります。</t>
    </r>
    <r>
      <rPr>
        <sz val="11"/>
        <color theme="0" tint="-4.9989318521683403E-2"/>
        <rFont val="Arial"/>
        <family val="2"/>
      </rPr>
      <t>We will soon make a brief stop at {+Shin-Kobe}. The exit will be on the left side of the train. Passengers going to {+Sannomiya}, please change trains here for the subway line. We will depart shortly after arriving at {+Shin-Kobe}, so please be ready to get off before the train stops. Thank you.</t>
    </r>
    <phoneticPr fontId="1"/>
  </si>
  <si>
    <r>
      <t>|!{+</t>
    </r>
    <r>
      <rPr>
        <sz val="11"/>
        <color theme="0" tint="-4.9989318521683403E-2"/>
        <rFont val="ＭＳ Ｐゴシック"/>
        <family val="3"/>
        <charset val="128"/>
      </rPr>
      <t>新　神　戸</t>
    </r>
    <r>
      <rPr>
        <sz val="11"/>
        <color theme="0" tint="-4.9989318521683403E-2"/>
        <rFont val="Arial"/>
        <family val="2"/>
      </rPr>
      <t>}</t>
    </r>
    <phoneticPr fontId="1"/>
  </si>
  <si>
    <r>
      <t>|!{+</t>
    </r>
    <r>
      <rPr>
        <sz val="11"/>
        <color theme="0" tint="-4.9989318521683403E-2"/>
        <rFont val="ＭＳ Ｐゴシック"/>
        <family val="3"/>
        <charset val="128"/>
      </rPr>
      <t>岡　山</t>
    </r>
    <r>
      <rPr>
        <sz val="11"/>
        <color theme="0" tint="-4.9989318521683403E-2"/>
        <rFont val="Arial"/>
        <family val="2"/>
      </rPr>
      <t>}</t>
    </r>
    <phoneticPr fontId="1"/>
  </si>
  <si>
    <r>
      <t>|!{+</t>
    </r>
    <r>
      <rPr>
        <sz val="11"/>
        <color theme="0" tint="-4.9989318521683403E-2"/>
        <rFont val="ＭＳ Ｐゴシック"/>
        <family val="3"/>
        <charset val="128"/>
      </rPr>
      <t>広　島</t>
    </r>
    <r>
      <rPr>
        <sz val="11"/>
        <color theme="0" tint="-4.9989318521683403E-2"/>
        <rFont val="Arial"/>
        <family val="2"/>
      </rPr>
      <t>}</t>
    </r>
    <phoneticPr fontId="1"/>
  </si>
  <si>
    <r>
      <t>!</t>
    </r>
    <r>
      <rPr>
        <sz val="11"/>
        <color theme="0" tint="-4.9989318521683403E-2"/>
        <rFont val="ＭＳ Ｐゴシック"/>
        <family val="3"/>
        <charset val="128"/>
      </rPr>
      <t>まもなく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小倉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です。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鹿児島線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日豊線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筑豊線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日田彦山線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はお乗換えです。お降りの時は足元にご注意ください。今日も新幹線をご利用くださいましてありがとうございました。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小倉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を出ますと次は終点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博多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です。</t>
    </r>
    <r>
      <rPr>
        <sz val="11"/>
        <color theme="0" tint="-4.9989318521683403E-2"/>
        <rFont val="Arial"/>
        <family val="2"/>
      </rPr>
      <t>We will soon make a brief stop at {+Kokura}. Passengers going to the {+Nippo line}, all to local station {+Kagoshima line}, please change trains here at {+Kokura}. We will depart shortly after arriving at {+Kokura}, so please be ready to get off before the train stops. Thank you.</t>
    </r>
    <phoneticPr fontId="1"/>
  </si>
  <si>
    <r>
      <t>|!{+</t>
    </r>
    <r>
      <rPr>
        <sz val="11"/>
        <color theme="0" tint="-4.9989318521683403E-2"/>
        <rFont val="ＭＳ Ｐゴシック"/>
        <family val="3"/>
        <charset val="128"/>
      </rPr>
      <t>小　倉</t>
    </r>
    <r>
      <rPr>
        <sz val="11"/>
        <color theme="0" tint="-4.9989318521683403E-2"/>
        <rFont val="Arial"/>
        <family val="2"/>
      </rPr>
      <t>}</t>
    </r>
    <phoneticPr fontId="1"/>
  </si>
  <si>
    <r>
      <t>|</t>
    </r>
    <r>
      <rPr>
        <sz val="11"/>
        <color theme="0" tint="-4.9989318521683403E-2"/>
        <rFont val="ＭＳ Ｐゴシック"/>
        <family val="3"/>
        <charset val="128"/>
      </rPr>
      <t>次は　　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博　多</t>
    </r>
    <r>
      <rPr>
        <sz val="11"/>
        <color theme="0" tint="-4.9989318521683403E-2"/>
        <rFont val="Arial"/>
        <family val="2"/>
      </rPr>
      <t>}</t>
    </r>
    <phoneticPr fontId="1"/>
  </si>
  <si>
    <r>
      <t>!</t>
    </r>
    <r>
      <rPr>
        <sz val="11"/>
        <color theme="0" tint="-4.9989318521683403E-2"/>
        <rFont val="ＭＳ Ｐゴシック"/>
        <family val="3"/>
        <charset val="128"/>
      </rPr>
      <t>まもなく終点　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博多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です。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鹿児島線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長崎線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篠栗線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はお乗り換えです。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地下鉄線</t>
    </r>
    <r>
      <rPr>
        <sz val="11"/>
        <color theme="0" tint="-4.9989318521683403E-2"/>
        <rFont val="Arial"/>
        <family val="2"/>
      </rPr>
      <t>}</t>
    </r>
    <r>
      <rPr>
        <sz val="11"/>
        <color theme="0" tint="-4.9989318521683403E-2"/>
        <rFont val="ＭＳ Ｐゴシック"/>
        <family val="3"/>
        <charset val="128"/>
      </rPr>
      <t>をご利用の方は、改札口を出て、地下ホームへおいでください。車内で出ました不要なものは、ゴミ箱にお捨てくださいますよう、車内美化にご協力をお願いいたします。電車とホームとの間が、少々空いているところがあります。お降りの際は、足元にご注意ください。小さなお子様をお連れのお客様は、手を繋いでお降りください。今日も、新幹線をご利用くださいまして、ありがとうございました。</t>
    </r>
    <r>
      <rPr>
        <sz val="11"/>
        <color theme="0" tint="-4.9989318521683403E-2"/>
        <rFont val="Arial"/>
        <family val="2"/>
      </rPr>
      <t>We will arrive at {+Hakata} terminal in a few minutes. Passengers going to the {+Kagoshima}, {+Nagasaki}, {+Sasaguri}, and {+subway lines}, please change trains here at {+Hakata} terminal. Thank you.</t>
    </r>
    <phoneticPr fontId="1"/>
  </si>
  <si>
    <r>
      <t>|{+</t>
    </r>
    <r>
      <rPr>
        <sz val="11"/>
        <color theme="0" tint="-4.9989318521683403E-2"/>
        <rFont val="ＭＳ Ｐゴシック"/>
        <family val="3"/>
        <charset val="128"/>
      </rPr>
      <t>博　多</t>
    </r>
    <r>
      <rPr>
        <sz val="11"/>
        <color theme="0" tint="-4.9989318521683403E-2"/>
        <rFont val="Arial"/>
        <family val="2"/>
      </rPr>
      <t>}</t>
    </r>
    <phoneticPr fontId="1"/>
  </si>
  <si>
    <r>
      <t>|</t>
    </r>
    <r>
      <rPr>
        <sz val="11"/>
        <color theme="0" tint="-4.9989318521683403E-2"/>
        <rFont val="ＭＳ Ｐゴシック"/>
        <family val="3"/>
        <charset val="128"/>
      </rPr>
      <t>次は　　</t>
    </r>
    <r>
      <rPr>
        <sz val="11"/>
        <color theme="0" tint="-4.9989318521683403E-2"/>
        <rFont val="Arial"/>
        <family val="2"/>
      </rPr>
      <t>{+</t>
    </r>
    <r>
      <rPr>
        <sz val="11"/>
        <color theme="0" tint="-4.9989318521683403E-2"/>
        <rFont val="ＭＳ Ｐゴシック"/>
        <family val="3"/>
        <charset val="128"/>
      </rPr>
      <t>新神戸</t>
    </r>
    <r>
      <rPr>
        <sz val="11"/>
        <color theme="0" tint="-4.9989318521683403E-2"/>
        <rFont val="Arial"/>
        <family val="2"/>
      </rPr>
      <t>}</t>
    </r>
    <phoneticPr fontId="1"/>
  </si>
  <si>
    <t>time</t>
    <phoneticPr fontId="1"/>
  </si>
  <si>
    <t>km</t>
    <phoneticPr fontId="1"/>
  </si>
  <si>
    <t>time</t>
    <phoneticPr fontId="1"/>
  </si>
  <si>
    <r>
      <rPr>
        <sz val="11"/>
        <color theme="0" tint="-4.9989318521683403E-2"/>
        <rFont val="ＭＳ Ｐゴシック"/>
        <family val="3"/>
        <charset val="128"/>
      </rPr>
      <t>新下関</t>
    </r>
  </si>
  <si>
    <t>Shin-Shimonoseki</t>
  </si>
  <si>
    <r>
      <rPr>
        <sz val="11"/>
        <color theme="0" tint="-4.9989318521683403E-2"/>
        <rFont val="ＭＳ Ｐゴシック"/>
        <family val="3"/>
        <charset val="128"/>
      </rPr>
      <t>厚狭</t>
    </r>
  </si>
  <si>
    <t>Asa</t>
  </si>
  <si>
    <t>Hakata</t>
  </si>
  <si>
    <t>Kokura</t>
  </si>
  <si>
    <t>Shin-Yamaguchi</t>
  </si>
  <si>
    <t>Tokuyama</t>
  </si>
  <si>
    <r>
      <rPr>
        <sz val="11"/>
        <color theme="0" tint="-4.9989318521683403E-2"/>
        <rFont val="ＭＳ Ｐゴシック"/>
        <family val="3"/>
        <charset val="128"/>
      </rPr>
      <t>新岩国</t>
    </r>
  </si>
  <si>
    <t>Shin-Iwakuni</t>
  </si>
  <si>
    <t>Hiroshia</t>
  </si>
  <si>
    <r>
      <rPr>
        <sz val="11"/>
        <color theme="0" tint="-4.9989318521683403E-2"/>
        <rFont val="ＭＳ Ｐゴシック"/>
        <family val="3"/>
        <charset val="128"/>
      </rPr>
      <t>東広島</t>
    </r>
  </si>
  <si>
    <t>Higashi-Hiroshima</t>
  </si>
  <si>
    <t>Mihara</t>
  </si>
  <si>
    <r>
      <rPr>
        <sz val="11"/>
        <color theme="0" tint="-4.9989318521683403E-2"/>
        <rFont val="ＭＳ Ｐゴシック"/>
        <family val="3"/>
        <charset val="128"/>
      </rPr>
      <t>新尾道</t>
    </r>
  </si>
  <si>
    <t>Shin-Onomichi</t>
  </si>
  <si>
    <t>Fukuyama</t>
  </si>
  <si>
    <t>Shin-Kurashiki</t>
  </si>
  <si>
    <t>Okayama</t>
  </si>
  <si>
    <r>
      <rPr>
        <sz val="11"/>
        <color theme="0" tint="-4.9989318521683403E-2"/>
        <rFont val="ＭＳ Ｐゴシック"/>
        <family val="3"/>
        <charset val="128"/>
      </rPr>
      <t>相生</t>
    </r>
  </si>
  <si>
    <t>Aioi</t>
  </si>
  <si>
    <t>Himeji</t>
  </si>
  <si>
    <r>
      <rPr>
        <sz val="11"/>
        <color theme="0" tint="-4.9989318521683403E-2"/>
        <rFont val="ＭＳ Ｐゴシック"/>
        <family val="3"/>
        <charset val="128"/>
      </rPr>
      <t>西明石</t>
    </r>
  </si>
  <si>
    <t>Nishi-Akashi</t>
  </si>
  <si>
    <t>Shin-Kobe</t>
  </si>
  <si>
    <t>Shin-Osaka</t>
  </si>
  <si>
    <t>Kyoto</t>
  </si>
  <si>
    <r>
      <rPr>
        <sz val="11"/>
        <color theme="0" tint="-4.9989318521683403E-2"/>
        <rFont val="HGPｺﾞｼｯｸM"/>
        <family val="3"/>
        <charset val="128"/>
      </rPr>
      <t>米原</t>
    </r>
  </si>
  <si>
    <t>Maibara</t>
  </si>
  <si>
    <t>Gifu-Hashima</t>
  </si>
  <si>
    <t>Nagoya</t>
  </si>
  <si>
    <t>Mikawa-Anjo</t>
  </si>
  <si>
    <t>Toyohashi</t>
  </si>
  <si>
    <t>Hamamatsu</t>
  </si>
  <si>
    <t>Kakegawa</t>
  </si>
  <si>
    <t>Shizuoka</t>
  </si>
  <si>
    <t>Shin-Fuji</t>
  </si>
  <si>
    <t>Mishima</t>
  </si>
  <si>
    <t>Atami</t>
  </si>
  <si>
    <t>Odawara</t>
  </si>
  <si>
    <t>Shin-Yokohama</t>
  </si>
  <si>
    <t>Shinagawa</t>
  </si>
  <si>
    <r>
      <t>|</t>
    </r>
    <r>
      <rPr>
        <sz val="11"/>
        <color theme="0" tint="-4.9989318521683403E-2"/>
        <rFont val="ＭＳ Ｐゴシック"/>
        <family val="3"/>
        <charset val="128"/>
      </rPr>
      <t>次は　　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小　倉</t>
    </r>
    <r>
      <rPr>
        <sz val="11"/>
        <color theme="0" tint="-4.9989318521683403E-2"/>
        <rFont val="Arial"/>
        <family val="2"/>
        <charset val="128"/>
      </rPr>
      <t>}</t>
    </r>
  </si>
  <si>
    <r>
      <t>|!{+</t>
    </r>
    <r>
      <rPr>
        <sz val="11"/>
        <color theme="0" tint="-4.9989318521683403E-2"/>
        <rFont val="ＭＳ Ｐゴシック"/>
        <family val="3"/>
        <charset val="128"/>
      </rPr>
      <t>小　倉</t>
    </r>
    <r>
      <rPr>
        <sz val="11"/>
        <color theme="0" tint="-4.9989318521683403E-2"/>
        <rFont val="Arial"/>
        <family val="2"/>
        <charset val="128"/>
      </rPr>
      <t>}</t>
    </r>
  </si>
  <si>
    <r>
      <t>|!{+</t>
    </r>
    <r>
      <rPr>
        <sz val="11"/>
        <color theme="0" tint="-4.9989318521683403E-2"/>
        <rFont val="ＭＳ Ｐゴシック"/>
        <family val="3"/>
        <charset val="128"/>
      </rPr>
      <t>広　島</t>
    </r>
    <r>
      <rPr>
        <sz val="11"/>
        <color theme="0" tint="-4.9989318521683403E-2"/>
        <rFont val="Arial"/>
        <family val="2"/>
        <charset val="128"/>
      </rPr>
      <t>}</t>
    </r>
  </si>
  <si>
    <r>
      <t>|!{+</t>
    </r>
    <r>
      <rPr>
        <sz val="11"/>
        <color theme="0" tint="-4.9989318521683403E-2"/>
        <rFont val="ＭＳ Ｐゴシック"/>
        <family val="3"/>
        <charset val="128"/>
      </rPr>
      <t>岡　山</t>
    </r>
    <r>
      <rPr>
        <sz val="11"/>
        <color theme="0" tint="-4.9989318521683403E-2"/>
        <rFont val="Arial"/>
        <family val="2"/>
        <charset val="128"/>
      </rPr>
      <t>}</t>
    </r>
    <rPh sb="4" eb="5">
      <t>オカ</t>
    </rPh>
    <phoneticPr fontId="1"/>
  </si>
  <si>
    <r>
      <t>!</t>
    </r>
    <r>
      <rPr>
        <sz val="11"/>
        <color theme="0" tint="-4.9989318521683403E-2"/>
        <rFont val="ＭＳ Ｐゴシック"/>
        <family val="3"/>
        <charset val="128"/>
      </rPr>
      <t>まもなく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新神戸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です。お出口は、左側です。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地下鉄線（三ノ宮方面）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はお乗り換えです。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地下鉄線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をご利用の方は、改札口を出て、地下ホームへおいでください。</t>
    </r>
    <r>
      <rPr>
        <sz val="11"/>
        <color theme="0" tint="-4.9989318521683403E-2"/>
        <rFont val="Arial"/>
        <family val="2"/>
        <charset val="128"/>
      </rPr>
      <t>{+JR</t>
    </r>
    <r>
      <rPr>
        <sz val="11"/>
        <color theme="0" tint="-4.9989318521683403E-2"/>
        <rFont val="ＭＳ Ｐゴシック"/>
        <family val="3"/>
        <charset val="128"/>
      </rPr>
      <t>神戸線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をご利用のお客様は、黄色の自動改札機をご利用ください。電車とホームとの間が、少々空いているところがあります。お降りの際は、足元にご注意ください。小さなお子様をお連れのお客様は、手を繋いでお降りください。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新神戸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を出ますと、次は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新大阪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に停まります。</t>
    </r>
    <r>
      <rPr>
        <sz val="11"/>
        <color theme="0" tint="-4.9989318521683403E-2"/>
        <rFont val="Arial"/>
        <family val="2"/>
        <charset val="128"/>
      </rPr>
      <t>We will soon make a brief stop at {+Shin-Kobe}. The exit will be on the left side of the train. Passengers going to {+Sannomiya}, please change trains here for the subway line. We will depart shortly after arriving at {+Shin-Kobe}, so please be ready to get off before the train stops. Thank you.</t>
    </r>
    <rPh sb="208" eb="211">
      <t>シンオオサカ</t>
    </rPh>
    <phoneticPr fontId="1"/>
  </si>
  <si>
    <r>
      <t>|!{+</t>
    </r>
    <r>
      <rPr>
        <sz val="11"/>
        <color theme="0" tint="-4.9989318521683403E-2"/>
        <rFont val="ＭＳ Ｐゴシック"/>
        <family val="3"/>
        <charset val="128"/>
      </rPr>
      <t>新　神　戸</t>
    </r>
    <r>
      <rPr>
        <sz val="11"/>
        <color theme="0" tint="-4.9989318521683403E-2"/>
        <rFont val="Arial"/>
        <family val="2"/>
        <charset val="128"/>
      </rPr>
      <t>}</t>
    </r>
  </si>
  <si>
    <r>
      <t>|</t>
    </r>
    <r>
      <rPr>
        <sz val="11"/>
        <color theme="0" tint="-4.9989318521683403E-2"/>
        <rFont val="ＭＳ Ｐゴシック"/>
        <family val="3"/>
        <charset val="128"/>
      </rPr>
      <t>次は　　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新大阪</t>
    </r>
    <r>
      <rPr>
        <sz val="11"/>
        <color theme="0" tint="-4.9989318521683403E-2"/>
        <rFont val="Arial"/>
        <family val="2"/>
        <charset val="128"/>
      </rPr>
      <t>}</t>
    </r>
    <rPh sb="8" eb="10">
      <t>オオサカ</t>
    </rPh>
    <phoneticPr fontId="1"/>
  </si>
  <si>
    <r>
      <t>!</t>
    </r>
    <r>
      <rPr>
        <sz val="11"/>
        <color theme="0" tint="-4.9989318521683403E-2"/>
        <rFont val="ＭＳ Ｐゴシック"/>
        <family val="3"/>
        <charset val="128"/>
      </rPr>
      <t>まもなく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新大阪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です。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東海道線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おおさか東線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と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地下鉄線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はお乗り換えです。お降りの時は足元にご注意ください。今日も新幹線をご利用くださいましてありがとうございました。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新大阪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を出ますと、次は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京都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に停まります。</t>
    </r>
    <r>
      <rPr>
        <sz val="11"/>
        <color theme="0" tint="-4.9989318521683403E-2"/>
        <rFont val="Arial"/>
        <family val="2"/>
        <charset val="128"/>
      </rPr>
      <t>We will soon make a brief stop at {+Shin-Osaka}. Passengers going to the {+Tokaido}, {+Osaka-Higashi}, and {+subway lines}, please change trains here at {+Shin-Osaka}. We will depart shortly after arriving at {+Shin-Osaka}, so please be ready to get off before the train stops. Thank you.</t>
    </r>
    <rPh sb="110" eb="112">
      <t>キョウト</t>
    </rPh>
    <phoneticPr fontId="1"/>
  </si>
  <si>
    <r>
      <t>|!{+</t>
    </r>
    <r>
      <rPr>
        <sz val="11"/>
        <color theme="0" tint="-4.9989318521683403E-2"/>
        <rFont val="ＭＳ Ｐゴシック"/>
        <family val="3"/>
        <charset val="128"/>
      </rPr>
      <t>新　大　阪</t>
    </r>
    <r>
      <rPr>
        <sz val="11"/>
        <color theme="0" tint="-4.9989318521683403E-2"/>
        <rFont val="Arial"/>
        <family val="2"/>
        <charset val="128"/>
      </rPr>
      <t>}</t>
    </r>
  </si>
  <si>
    <r>
      <t>|</t>
    </r>
    <r>
      <rPr>
        <sz val="11"/>
        <color theme="0" tint="-4.9989318521683403E-2"/>
        <rFont val="ＭＳ Ｐゴシック"/>
        <family val="3"/>
        <charset val="128"/>
      </rPr>
      <t>次は　　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京都</t>
    </r>
    <r>
      <rPr>
        <sz val="11"/>
        <color theme="0" tint="-4.9989318521683403E-2"/>
        <rFont val="Arial"/>
        <family val="2"/>
        <charset val="128"/>
      </rPr>
      <t>}</t>
    </r>
    <rPh sb="7" eb="9">
      <t>キョウト</t>
    </rPh>
    <phoneticPr fontId="1"/>
  </si>
  <si>
    <r>
      <t>!</t>
    </r>
    <r>
      <rPr>
        <sz val="11"/>
        <color theme="0" tint="-4.9989318521683403E-2"/>
        <rFont val="ＭＳ Ｐゴシック"/>
        <family val="3"/>
        <charset val="128"/>
      </rPr>
      <t>まもなく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京都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です。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東海道線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山陰線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湖西線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奈良線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と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近鉄線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地下鉄線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はお乗り換えです。お降りの時は足元にご注意ください。今日も新幹線をご利用くださいましてありがとうございました。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京都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を出ますと、次は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名古屋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に停まります。</t>
    </r>
    <r>
      <rPr>
        <sz val="11"/>
        <color theme="0" tint="-4.9989318521683403E-2"/>
        <rFont val="Arial"/>
        <family val="2"/>
        <charset val="128"/>
      </rPr>
      <t>We will soon make a brief stop at {+Kyoto}. Passengers going to the {+Tokaido}, {+Sanin}, {+Kosei}, {+Nara}, {+Kintetsu} and {+subway lines}, please change trains here at {+Kyoto}. We will depart shortly after arriving at {+Kyoto}, so please be ready to get off before the train stops. Thank you.</t>
    </r>
    <rPh sb="126" eb="129">
      <t>ナゴヤ</t>
    </rPh>
    <phoneticPr fontId="1"/>
  </si>
  <si>
    <r>
      <t>|!{+</t>
    </r>
    <r>
      <rPr>
        <sz val="11"/>
        <color theme="0" tint="-4.9989318521683403E-2"/>
        <rFont val="ＭＳ Ｐゴシック"/>
        <family val="3"/>
        <charset val="128"/>
      </rPr>
      <t>京　都</t>
    </r>
    <r>
      <rPr>
        <sz val="11"/>
        <color theme="0" tint="-4.9989318521683403E-2"/>
        <rFont val="Arial"/>
        <family val="2"/>
        <charset val="128"/>
      </rPr>
      <t>}</t>
    </r>
  </si>
  <si>
    <r>
      <t>|</t>
    </r>
    <r>
      <rPr>
        <sz val="11"/>
        <color theme="0" tint="-4.9989318521683403E-2"/>
        <rFont val="ＭＳ Ｐゴシック"/>
        <family val="3"/>
        <charset val="128"/>
      </rPr>
      <t>次は　　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名古屋</t>
    </r>
    <r>
      <rPr>
        <sz val="11"/>
        <color theme="0" tint="-4.9989318521683403E-2"/>
        <rFont val="Arial"/>
        <family val="2"/>
        <charset val="128"/>
      </rPr>
      <t>}</t>
    </r>
    <rPh sb="7" eb="10">
      <t>ナゴヤ</t>
    </rPh>
    <phoneticPr fontId="1"/>
  </si>
  <si>
    <r>
      <t>!</t>
    </r>
    <r>
      <rPr>
        <sz val="11"/>
        <color theme="0" tint="-4.9989318521683403E-2"/>
        <rFont val="ＭＳ Ｐゴシック"/>
        <family val="3"/>
        <charset val="128"/>
      </rPr>
      <t>まもなく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名古屋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です。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東海道線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中央線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関西線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と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名鉄線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近鉄線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あおなみ線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地下鉄線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はお乗り換えです。お降りの時は足元にご注意ください。今日も新幹線をご利用くださいましてありがとうございました。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名古屋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を出ますと、次は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新横浜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に停まります。</t>
    </r>
    <r>
      <rPr>
        <sz val="11"/>
        <color theme="0" tint="-4.9989318521683403E-2"/>
        <rFont val="Arial"/>
        <family val="2"/>
        <charset val="128"/>
      </rPr>
      <t>We will soon make a brief stop at {+Nagoya}. Passengers going to the {+Tokaido}, {+Chuo}, {+Kansai}, {+Meitetsu}, {+Kintetsu}, {+Aonami}, and {+subway lines}, please change trains here at {+Nagoya}. We will depart shortly after arriving at {+Nagoya}, so please be ready to get off before the train stops. Thank you.</t>
    </r>
    <rPh sb="137" eb="140">
      <t>シンヨコハマ</t>
    </rPh>
    <phoneticPr fontId="1"/>
  </si>
  <si>
    <r>
      <t>|!{+</t>
    </r>
    <r>
      <rPr>
        <sz val="11"/>
        <color theme="0" tint="-4.9989318521683403E-2"/>
        <rFont val="ＭＳ Ｐゴシック"/>
        <family val="3"/>
        <charset val="128"/>
      </rPr>
      <t>名　古　屋</t>
    </r>
    <r>
      <rPr>
        <sz val="11"/>
        <color theme="0" tint="-4.9989318521683403E-2"/>
        <rFont val="Arial"/>
        <family val="2"/>
        <charset val="128"/>
      </rPr>
      <t>}</t>
    </r>
    <phoneticPr fontId="1"/>
  </si>
  <si>
    <r>
      <t>|</t>
    </r>
    <r>
      <rPr>
        <sz val="11"/>
        <color theme="0" tint="-4.9989318521683403E-2"/>
        <rFont val="ＭＳ Ｐゴシック"/>
        <family val="3"/>
        <charset val="128"/>
      </rPr>
      <t>次は　　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新横浜</t>
    </r>
    <r>
      <rPr>
        <sz val="11"/>
        <color theme="0" tint="-4.9989318521683403E-2"/>
        <rFont val="Arial"/>
        <family val="2"/>
        <charset val="128"/>
      </rPr>
      <t>}</t>
    </r>
    <rPh sb="7" eb="10">
      <t>シンヨコハマ</t>
    </rPh>
    <phoneticPr fontId="1"/>
  </si>
  <si>
    <r>
      <t>!</t>
    </r>
    <r>
      <rPr>
        <sz val="11"/>
        <color theme="0" tint="-4.9989318521683403E-2"/>
        <rFont val="ＭＳ Ｐゴシック"/>
        <family val="3"/>
        <charset val="128"/>
      </rPr>
      <t>まもなく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新横浜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です。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横浜線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相鉄新横浜線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東急新横浜線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と、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市営地下鉄線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はお乗り換えです。お降りの時は足元にご注意ください。今日も新幹線をご利用くださいましてありがとうございました。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新横浜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を出ますと、次は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品川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に停まります。</t>
    </r>
    <r>
      <rPr>
        <sz val="11"/>
        <color theme="0" tint="-4.9989318521683403E-2"/>
        <rFont val="Arial"/>
        <family val="2"/>
        <charset val="128"/>
      </rPr>
      <t>We will soon make a brief stop at {+Shin-Yokohama}. Passengers going to the {+Yokohama}, {+Sotetsu Shin-Yokohama}, {+Tokyu Shin-Yokohama}, and {+Municipal Subway lines}, please change trains here at {+Shin-Yokohama}. We will depart shortly after arriving at {+Shin-Yokohama}, so please be ready to get off before the train stops. Thank you.</t>
    </r>
    <rPh sb="122" eb="124">
      <t>シナガワ</t>
    </rPh>
    <phoneticPr fontId="1"/>
  </si>
  <si>
    <r>
      <t>|!{+</t>
    </r>
    <r>
      <rPr>
        <sz val="11"/>
        <color theme="0" tint="-4.9989318521683403E-2"/>
        <rFont val="ＭＳ Ｐゴシック"/>
        <family val="3"/>
        <charset val="128"/>
      </rPr>
      <t>新　横　浜</t>
    </r>
    <r>
      <rPr>
        <sz val="11"/>
        <color theme="0" tint="-4.9989318521683403E-2"/>
        <rFont val="Arial"/>
        <family val="2"/>
        <charset val="128"/>
      </rPr>
      <t>}</t>
    </r>
    <phoneticPr fontId="1"/>
  </si>
  <si>
    <r>
      <t>|</t>
    </r>
    <r>
      <rPr>
        <sz val="11"/>
        <color theme="0" tint="-4.9989318521683403E-2"/>
        <rFont val="ＭＳ Ｐゴシック"/>
        <family val="3"/>
        <charset val="128"/>
      </rPr>
      <t>次は　　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品　川</t>
    </r>
    <r>
      <rPr>
        <sz val="11"/>
        <color theme="0" tint="-4.9989318521683403E-2"/>
        <rFont val="Arial"/>
        <family val="2"/>
        <charset val="128"/>
      </rPr>
      <t>}</t>
    </r>
    <phoneticPr fontId="1"/>
  </si>
  <si>
    <r>
      <t>!</t>
    </r>
    <r>
      <rPr>
        <sz val="11"/>
        <color theme="0" tint="-4.9989318521683403E-2"/>
        <rFont val="ＭＳ Ｐゴシック"/>
        <family val="3"/>
        <charset val="128"/>
      </rPr>
      <t>まもなく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品川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です。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山手線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京浜東北線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東北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・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高崎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・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常磐線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東海道線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横須賀線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総武線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と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京浜急行線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はお乗り換えです。お降りの時は足元にご注意ください。今日も新幹線をご利用くださいましてありがとうございました。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品川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を出ますと、次は終点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東京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です。</t>
    </r>
    <r>
      <rPr>
        <sz val="11"/>
        <color theme="0" tint="-4.9989318521683403E-2"/>
        <rFont val="Arial"/>
        <family val="2"/>
        <charset val="128"/>
      </rPr>
      <t>We will soon make a brief stop at {+Shinagawa}. Passengers going to the {+Yamanote}, {+Keihin-Tohoku}, {+Tohoku}, {+Takasaki}, {+Joban}, {+Tokaido}, {+Yokosuka}, {+Sobu} and {+Keihinkyuko} lines, please change trains here at {+Shinagawa}. We will depart shortly after arriving at {+Shinagawa}, so please be ready to get off before the train stops. Thank you.</t>
    </r>
    <rPh sb="147" eb="149">
      <t>シュウテン</t>
    </rPh>
    <rPh sb="151" eb="153">
      <t>トウキョウ</t>
    </rPh>
    <phoneticPr fontId="1"/>
  </si>
  <si>
    <r>
      <t>|!{+</t>
    </r>
    <r>
      <rPr>
        <sz val="11"/>
        <color theme="0" tint="-4.9989318521683403E-2"/>
        <rFont val="ＭＳ Ｐゴシック"/>
        <family val="3"/>
        <charset val="128"/>
      </rPr>
      <t>品　川</t>
    </r>
    <r>
      <rPr>
        <sz val="11"/>
        <color theme="0" tint="-4.9989318521683403E-2"/>
        <rFont val="Arial"/>
        <family val="2"/>
        <charset val="128"/>
      </rPr>
      <t>}</t>
    </r>
    <phoneticPr fontId="1"/>
  </si>
  <si>
    <r>
      <t>|</t>
    </r>
    <r>
      <rPr>
        <sz val="11"/>
        <color theme="0" tint="-4.9989318521683403E-2"/>
        <rFont val="ＭＳ Ｐゴシック"/>
        <family val="3"/>
        <charset val="128"/>
      </rPr>
      <t>次は　　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東　京</t>
    </r>
    <r>
      <rPr>
        <sz val="11"/>
        <color theme="0" tint="-4.9989318521683403E-2"/>
        <rFont val="Arial"/>
        <family val="2"/>
        <charset val="128"/>
      </rPr>
      <t>}</t>
    </r>
    <rPh sb="7" eb="8">
      <t>ヒガシ</t>
    </rPh>
    <phoneticPr fontId="1"/>
  </si>
  <si>
    <r>
      <t>!</t>
    </r>
    <r>
      <rPr>
        <sz val="11"/>
        <color theme="0" tint="-4.9989318521683403E-2"/>
        <rFont val="ＭＳ Ｐゴシック"/>
        <family val="3"/>
        <charset val="128"/>
      </rPr>
      <t>まもなく終点　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東京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です。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中央線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山手線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京浜東北線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東北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・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高崎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・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常磐線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総武線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京葉線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、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東北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・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上越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・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北陸新幹線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と</t>
    </r>
    <r>
      <rPr>
        <sz val="11"/>
        <color theme="0" tint="-4.9989318521683403E-2"/>
        <rFont val="Arial"/>
        <family val="2"/>
        <charset val="128"/>
      </rPr>
      <t>{+</t>
    </r>
    <r>
      <rPr>
        <sz val="11"/>
        <color theme="0" tint="-4.9989318521683403E-2"/>
        <rFont val="ＭＳ Ｐゴシック"/>
        <family val="3"/>
        <charset val="128"/>
      </rPr>
      <t>地下鉄線</t>
    </r>
    <r>
      <rPr>
        <sz val="11"/>
        <color theme="0" tint="-4.9989318521683403E-2"/>
        <rFont val="Arial"/>
        <family val="2"/>
        <charset val="128"/>
      </rPr>
      <t>}</t>
    </r>
    <r>
      <rPr>
        <sz val="11"/>
        <color theme="0" tint="-4.9989318521683403E-2"/>
        <rFont val="ＭＳ Ｐゴシック"/>
        <family val="3"/>
        <charset val="128"/>
      </rPr>
      <t>はお乗り換えです。お降りの時は、足元にご注意ください。今日も、新幹線をご利用くださいまして、ありがとうございました。</t>
    </r>
    <r>
      <rPr>
        <sz val="11"/>
        <color theme="0" tint="-4.9989318521683403E-2"/>
        <rFont val="Arial"/>
        <family val="2"/>
        <charset val="128"/>
      </rPr>
      <t>We will arrive at Tokyo terminal in a few minutes. Passengers going to the {+Chuo}, {+Yamanote}, {+Keihin-Tohoku}, {+Tohoku}, {+Takasaki}, {+Joban}, {+Sobu} and {+Keiyo line}s, or to the {+Tohoku}, {+Joetsu} and {+Hokuriku Shinkansen} trains, or to the {+subway lines}, please change trains here at {+Tokyo} terminal. Thank you.</t>
    </r>
    <phoneticPr fontId="1"/>
  </si>
  <si>
    <r>
      <t>|{+</t>
    </r>
    <r>
      <rPr>
        <sz val="11"/>
        <color theme="0" tint="-4.9989318521683403E-2"/>
        <rFont val="ＭＳ Ｐゴシック"/>
        <family val="3"/>
        <charset val="128"/>
      </rPr>
      <t>東　京</t>
    </r>
    <r>
      <rPr>
        <sz val="11"/>
        <color theme="0" tint="-4.9989318521683403E-2"/>
        <rFont val="Arial"/>
        <family val="2"/>
        <charset val="128"/>
      </rPr>
      <t>}</t>
    </r>
    <phoneticPr fontId="1"/>
  </si>
  <si>
    <t>号 博多発 東京行</t>
    <rPh sb="0" eb="1">
      <t>ゴウ</t>
    </rPh>
    <rPh sb="2" eb="5">
      <t>ハカタハツ</t>
    </rPh>
    <rPh sb="6" eb="9">
      <t>トウキョウイ</t>
    </rPh>
    <phoneticPr fontId="1"/>
  </si>
  <si>
    <t>号 東京発 博多行</t>
    <rPh sb="0" eb="1">
      <t>ゴウ</t>
    </rPh>
    <rPh sb="4" eb="5">
      <t>ハッ</t>
    </rPh>
    <rPh sb="6" eb="8">
      <t>ハカタ</t>
    </rPh>
    <rPh sb="8" eb="9">
      <t>ギョウ</t>
    </rPh>
    <phoneticPr fontId="1"/>
  </si>
  <si>
    <t>Tokyo</t>
    <phoneticPr fontId="1"/>
  </si>
  <si>
    <t>東京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</si>
</sst>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h:mm:ss;@"/>
    <numFmt numFmtId="178" formatCode="[h]:mm:ss;@"/>
    <numFmt numFmtId="179" formatCode="hh:mm"/>
    <numFmt numFmtId="180" formatCode="hh:mm:ss"/>
  </numFmts>
  <fonts count="26" x14ac:knownFonts="1">
    <font>
      <sz val="11"/>
      <color theme="1"/>
      <name val="Arial"/>
      <family val="2"/>
      <charset val="128"/>
    </font>
    <font>
      <sz val="6"/>
      <name val="Arial"/>
      <family val="2"/>
      <charset val="128"/>
    </font>
    <font>
      <sz val="11"/>
      <color theme="1" tint="0.14999847407452621"/>
      <name val="Arial"/>
      <family val="2"/>
    </font>
    <font>
      <sz val="11"/>
      <color theme="0" tint="-4.9989318521683403E-2"/>
      <name val="Arial"/>
      <family val="2"/>
    </font>
    <font>
      <sz val="11"/>
      <color theme="0" tint="-4.9989318521683403E-2"/>
      <name val="HGPｺﾞｼｯｸM"/>
      <family val="3"/>
      <charset val="128"/>
    </font>
    <font>
      <sz val="11"/>
      <color theme="0" tint="-4.9989318521683403E-2"/>
      <name val="Arial"/>
      <family val="2"/>
      <charset val="128"/>
    </font>
    <font>
      <sz val="11"/>
      <color theme="0" tint="-4.9989318521683403E-2"/>
      <name val="ＭＳ Ｐゴシック"/>
      <family val="3"/>
      <charset val="128"/>
    </font>
    <font>
      <sz val="9"/>
      <color theme="0" tint="-4.9989318521683403E-2"/>
      <name val="Arial"/>
      <family val="2"/>
    </font>
    <font>
      <sz val="9"/>
      <color theme="0" tint="-4.9989318521683403E-2"/>
      <name val="Arial"/>
      <family val="2"/>
      <charset val="128"/>
    </font>
    <font>
      <sz val="9"/>
      <color theme="0" tint="-4.9989318521683403E-2"/>
      <name val="ＭＳ Ｐゴシック"/>
      <family val="3"/>
      <charset val="128"/>
    </font>
    <font>
      <sz val="11"/>
      <color theme="1" tint="0.14999847407452621"/>
      <name val="ＭＳ Ｐゴシック"/>
      <family val="3"/>
      <charset val="128"/>
    </font>
    <font>
      <sz val="9"/>
      <color theme="1" tint="0.14999847407452621"/>
      <name val="Arial"/>
      <family val="2"/>
    </font>
    <font>
      <sz val="11"/>
      <color theme="6" tint="-0.249977111117893"/>
      <name val="Arial"/>
      <family val="2"/>
      <charset val="128"/>
    </font>
    <font>
      <sz val="11"/>
      <color theme="7" tint="0.39997558519241921"/>
      <name val="Arial"/>
      <family val="2"/>
    </font>
    <font>
      <sz val="11"/>
      <color theme="7" tint="0.39997558519241921"/>
      <name val="Arial"/>
      <family val="2"/>
      <charset val="128"/>
    </font>
    <font>
      <sz val="11"/>
      <color theme="8" tint="-0.249977111117893"/>
      <name val="Arial"/>
      <family val="2"/>
      <charset val="128"/>
    </font>
    <font>
      <sz val="11"/>
      <color theme="4" tint="0.39997558519241921"/>
      <name val="Arial"/>
      <family val="2"/>
      <charset val="128"/>
    </font>
    <font>
      <sz val="11"/>
      <color theme="4" tint="0.39997558519241921"/>
      <name val="Arial"/>
      <family val="2"/>
    </font>
    <font>
      <sz val="11"/>
      <color theme="3" tint="0.39997558519241921"/>
      <name val="Arial"/>
      <family val="2"/>
      <charset val="128"/>
    </font>
    <font>
      <sz val="11"/>
      <color theme="6" tint="0.39997558519241921"/>
      <name val="Arial"/>
      <family val="2"/>
      <charset val="128"/>
    </font>
    <font>
      <sz val="11"/>
      <color theme="0" tint="-0.499984740745262"/>
      <name val="Arial"/>
      <family val="2"/>
      <charset val="128"/>
    </font>
    <font>
      <sz val="11"/>
      <color theme="0" tint="-0.499984740745262"/>
      <name val="Arial"/>
      <family val="2"/>
    </font>
    <font>
      <sz val="9"/>
      <color theme="0" tint="-0.499984740745262"/>
      <name val="Arial"/>
      <family val="2"/>
    </font>
    <font>
      <sz val="9"/>
      <color theme="1"/>
      <name val="Arial"/>
      <family val="2"/>
    </font>
    <font>
      <sz val="9"/>
      <color theme="1"/>
      <name val="ＭＳ Ｐゴシック"/>
      <family val="3"/>
      <charset val="128"/>
    </font>
    <font>
      <sz val="9"/>
      <color theme="1" tint="0.1499984740745262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</borders>
  <cellStyleXfs count="1">
    <xf numFmtId="0" fontId="0" fillId="0" borderId="0">
      <alignment vertical="center"/>
    </xf>
  </cellStyleXfs>
  <cellXfs count="181">
    <xf numFmtId="0" fontId="0" fillId="0" borderId="0" xfId="0">
      <alignment vertical="center"/>
    </xf>
    <xf numFmtId="0" fontId="3" fillId="2" borderId="0" xfId="0" applyFont="1" applyFill="1" applyBorder="1">
      <alignment vertical="center"/>
    </xf>
    <xf numFmtId="0" fontId="3" fillId="2" borderId="0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5" fillId="2" borderId="0" xfId="0" applyFont="1" applyFill="1" applyBorder="1">
      <alignment vertical="center"/>
    </xf>
    <xf numFmtId="176" fontId="5" fillId="2" borderId="0" xfId="0" applyNumberFormat="1" applyFont="1" applyFill="1" applyBorder="1" applyAlignment="1">
      <alignment horizontal="right" vertical="center"/>
    </xf>
    <xf numFmtId="0" fontId="5" fillId="5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177" fontId="5" fillId="2" borderId="0" xfId="0" applyNumberFormat="1" applyFont="1" applyFill="1" applyBorder="1" applyAlignment="1">
      <alignment horizontal="right" vertical="center"/>
    </xf>
    <xf numFmtId="179" fontId="8" fillId="5" borderId="0" xfId="0" applyNumberFormat="1" applyFont="1" applyFill="1" applyBorder="1" applyAlignment="1">
      <alignment horizontal="right" vertical="center"/>
    </xf>
    <xf numFmtId="179" fontId="7" fillId="3" borderId="0" xfId="0" applyNumberFormat="1" applyFont="1" applyFill="1" applyBorder="1" applyAlignment="1">
      <alignment horizontal="right" vertical="center"/>
    </xf>
    <xf numFmtId="0" fontId="2" fillId="8" borderId="0" xfId="0" applyFont="1" applyFill="1" applyBorder="1" applyAlignment="1">
      <alignment horizontal="center" vertical="center"/>
    </xf>
    <xf numFmtId="179" fontId="7" fillId="5" borderId="0" xfId="0" applyNumberFormat="1" applyFont="1" applyFill="1" applyBorder="1" applyAlignment="1">
      <alignment horizontal="right" vertical="center"/>
    </xf>
    <xf numFmtId="179" fontId="7" fillId="6" borderId="0" xfId="0" applyNumberFormat="1" applyFont="1" applyFill="1" applyBorder="1" applyAlignment="1">
      <alignment horizontal="right" vertical="center"/>
    </xf>
    <xf numFmtId="179" fontId="7" fillId="4" borderId="0" xfId="0" applyNumberFormat="1" applyFont="1" applyFill="1" applyBorder="1" applyAlignment="1">
      <alignment horizontal="right" vertical="center"/>
    </xf>
    <xf numFmtId="179" fontId="8" fillId="3" borderId="0" xfId="0" applyNumberFormat="1" applyFont="1" applyFill="1" applyBorder="1" applyAlignment="1">
      <alignment horizontal="right" vertical="center"/>
    </xf>
    <xf numFmtId="180" fontId="5" fillId="7" borderId="0" xfId="0" applyNumberFormat="1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right" vertical="center"/>
    </xf>
    <xf numFmtId="0" fontId="3" fillId="6" borderId="0" xfId="0" applyFont="1" applyFill="1" applyBorder="1" applyAlignment="1">
      <alignment horizontal="right" vertical="center"/>
    </xf>
    <xf numFmtId="0" fontId="3" fillId="4" borderId="0" xfId="0" applyFont="1" applyFill="1" applyBorder="1" applyAlignment="1">
      <alignment horizontal="right" vertical="center"/>
    </xf>
    <xf numFmtId="0" fontId="5" fillId="3" borderId="0" xfId="0" applyFont="1" applyFill="1" applyBorder="1" applyAlignment="1">
      <alignment horizontal="right" vertical="center"/>
    </xf>
    <xf numFmtId="0" fontId="11" fillId="8" borderId="0" xfId="0" applyFont="1" applyFill="1" applyBorder="1" applyAlignment="1">
      <alignment horizontal="center" vertical="center"/>
    </xf>
    <xf numFmtId="179" fontId="9" fillId="5" borderId="0" xfId="0" applyNumberFormat="1" applyFont="1" applyFill="1" applyBorder="1" applyAlignment="1">
      <alignment horizontal="right" vertical="center"/>
    </xf>
    <xf numFmtId="179" fontId="9" fillId="3" borderId="0" xfId="0" applyNumberFormat="1" applyFont="1" applyFill="1" applyBorder="1" applyAlignment="1">
      <alignment horizontal="right" vertical="center"/>
    </xf>
    <xf numFmtId="179" fontId="9" fillId="4" borderId="0" xfId="0" applyNumberFormat="1" applyFont="1" applyFill="1" applyBorder="1" applyAlignment="1">
      <alignment horizontal="right" vertical="center"/>
    </xf>
    <xf numFmtId="0" fontId="3" fillId="6" borderId="0" xfId="0" applyFont="1" applyFill="1" applyBorder="1" applyAlignment="1">
      <alignment horizontal="center" vertical="center"/>
    </xf>
    <xf numFmtId="179" fontId="9" fillId="6" borderId="0" xfId="0" applyNumberFormat="1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11" fillId="8" borderId="1" xfId="0" applyFont="1" applyFill="1" applyBorder="1" applyAlignment="1">
      <alignment horizontal="center" vertical="center"/>
    </xf>
    <xf numFmtId="179" fontId="7" fillId="5" borderId="1" xfId="0" applyNumberFormat="1" applyFont="1" applyFill="1" applyBorder="1" applyAlignment="1">
      <alignment horizontal="right" vertical="center"/>
    </xf>
    <xf numFmtId="179" fontId="7" fillId="3" borderId="1" xfId="0" applyNumberFormat="1" applyFont="1" applyFill="1" applyBorder="1" applyAlignment="1">
      <alignment horizontal="right" vertical="center"/>
    </xf>
    <xf numFmtId="179" fontId="7" fillId="6" borderId="1" xfId="0" applyNumberFormat="1" applyFont="1" applyFill="1" applyBorder="1" applyAlignment="1">
      <alignment horizontal="right" vertical="center"/>
    </xf>
    <xf numFmtId="179" fontId="7" fillId="4" borderId="1" xfId="0" applyNumberFormat="1" applyFont="1" applyFill="1" applyBorder="1" applyAlignment="1">
      <alignment horizontal="right" vertical="center"/>
    </xf>
    <xf numFmtId="179" fontId="8" fillId="3" borderId="1" xfId="0" applyNumberFormat="1" applyFont="1" applyFill="1" applyBorder="1" applyAlignment="1">
      <alignment horizontal="right" vertical="center"/>
    </xf>
    <xf numFmtId="179" fontId="8" fillId="5" borderId="1" xfId="0" applyNumberFormat="1" applyFont="1" applyFill="1" applyBorder="1" applyAlignment="1">
      <alignment horizontal="right" vertical="center"/>
    </xf>
    <xf numFmtId="180" fontId="5" fillId="7" borderId="1" xfId="0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7" borderId="0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13" fillId="7" borderId="0" xfId="0" applyFont="1" applyFill="1" applyBorder="1" applyAlignment="1">
      <alignment vertical="center" wrapText="1"/>
    </xf>
    <xf numFmtId="180" fontId="14" fillId="7" borderId="0" xfId="0" applyNumberFormat="1" applyFont="1" applyFill="1" applyBorder="1" applyAlignment="1">
      <alignment horizontal="right" vertical="center"/>
    </xf>
    <xf numFmtId="180" fontId="12" fillId="7" borderId="0" xfId="0" applyNumberFormat="1" applyFont="1" applyFill="1" applyBorder="1" applyAlignment="1">
      <alignment horizontal="right" vertical="center"/>
    </xf>
    <xf numFmtId="180" fontId="15" fillId="7" borderId="0" xfId="0" applyNumberFormat="1" applyFont="1" applyFill="1" applyBorder="1" applyAlignment="1">
      <alignment horizontal="right" vertical="center"/>
    </xf>
    <xf numFmtId="0" fontId="15" fillId="7" borderId="0" xfId="0" applyFont="1" applyFill="1" applyBorder="1" applyAlignment="1">
      <alignment vertical="center" wrapText="1"/>
    </xf>
    <xf numFmtId="180" fontId="16" fillId="7" borderId="0" xfId="0" applyNumberFormat="1" applyFont="1" applyFill="1" applyBorder="1" applyAlignment="1">
      <alignment horizontal="right" vertical="center"/>
    </xf>
    <xf numFmtId="0" fontId="17" fillId="7" borderId="0" xfId="0" applyFont="1" applyFill="1" applyBorder="1" applyAlignment="1">
      <alignment vertical="center" wrapText="1"/>
    </xf>
    <xf numFmtId="178" fontId="5" fillId="2" borderId="0" xfId="0" applyNumberFormat="1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7" fillId="3" borderId="0" xfId="0" applyFont="1" applyFill="1" applyBorder="1" applyAlignment="1">
      <alignment horizontal="right" vertical="center"/>
    </xf>
    <xf numFmtId="20" fontId="7" fillId="2" borderId="0" xfId="0" applyNumberFormat="1" applyFont="1" applyFill="1" applyBorder="1" applyAlignment="1">
      <alignment horizontal="right" vertical="center"/>
    </xf>
    <xf numFmtId="20" fontId="7" fillId="3" borderId="0" xfId="0" applyNumberFormat="1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right" vertical="center"/>
    </xf>
    <xf numFmtId="0" fontId="5" fillId="2" borderId="0" xfId="0" applyFont="1" applyFill="1" applyBorder="1">
      <alignment vertical="center"/>
    </xf>
    <xf numFmtId="0" fontId="3" fillId="4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5" fillId="2" borderId="0" xfId="0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right" vertical="center"/>
    </xf>
    <xf numFmtId="0" fontId="5" fillId="2" borderId="0" xfId="0" applyFont="1" applyFill="1" applyBorder="1">
      <alignment vertical="center"/>
    </xf>
    <xf numFmtId="0" fontId="3" fillId="5" borderId="0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right" vertical="center"/>
    </xf>
    <xf numFmtId="0" fontId="5" fillId="2" borderId="0" xfId="0" applyFont="1" applyFill="1" applyBorder="1">
      <alignment vertical="center"/>
    </xf>
    <xf numFmtId="0" fontId="5" fillId="2" borderId="0" xfId="0" applyFont="1" applyFill="1" applyBorder="1" applyAlignment="1">
      <alignment horizontal="right" vertical="center"/>
    </xf>
    <xf numFmtId="0" fontId="5" fillId="2" borderId="0" xfId="0" applyFont="1" applyFill="1" applyBorder="1">
      <alignment vertical="center"/>
    </xf>
    <xf numFmtId="0" fontId="3" fillId="6" borderId="0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right" vertical="center"/>
    </xf>
    <xf numFmtId="0" fontId="5" fillId="2" borderId="0" xfId="0" applyFont="1" applyFill="1" applyBorder="1">
      <alignment vertical="center"/>
    </xf>
    <xf numFmtId="0" fontId="5" fillId="2" borderId="0" xfId="0" applyFont="1" applyFill="1" applyBorder="1" applyAlignment="1">
      <alignment horizontal="right" vertical="center"/>
    </xf>
    <xf numFmtId="0" fontId="5" fillId="2" borderId="0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3" borderId="0" xfId="0" applyFont="1" applyFill="1" applyBorder="1">
      <alignment vertical="center"/>
    </xf>
    <xf numFmtId="0" fontId="3" fillId="2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2" fillId="8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right" vertical="center"/>
    </xf>
    <xf numFmtId="0" fontId="3" fillId="6" borderId="0" xfId="0" applyFont="1" applyFill="1" applyBorder="1" applyAlignment="1">
      <alignment horizontal="right" vertical="center"/>
    </xf>
    <xf numFmtId="0" fontId="3" fillId="4" borderId="0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11" fillId="8" borderId="1" xfId="0" applyFont="1" applyFill="1" applyBorder="1" applyAlignment="1">
      <alignment horizontal="center" vertical="center"/>
    </xf>
    <xf numFmtId="178" fontId="5" fillId="2" borderId="0" xfId="0" applyNumberFormat="1" applyFont="1" applyFill="1" applyBorder="1" applyAlignment="1">
      <alignment horizontal="right" vertical="center"/>
    </xf>
    <xf numFmtId="0" fontId="7" fillId="6" borderId="0" xfId="0" applyFont="1" applyFill="1" applyBorder="1" applyAlignment="1">
      <alignment horizontal="right" vertical="center"/>
    </xf>
    <xf numFmtId="20" fontId="7" fillId="6" borderId="0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20" fontId="7" fillId="5" borderId="0" xfId="0" applyNumberFormat="1" applyFont="1" applyFill="1" applyBorder="1" applyAlignment="1">
      <alignment horizontal="right" vertical="center"/>
    </xf>
    <xf numFmtId="0" fontId="3" fillId="5" borderId="0" xfId="0" applyFont="1" applyFill="1" applyBorder="1">
      <alignment vertical="center"/>
    </xf>
    <xf numFmtId="0" fontId="7" fillId="5" borderId="0" xfId="0" applyFont="1" applyFill="1" applyBorder="1">
      <alignment vertical="center"/>
    </xf>
    <xf numFmtId="20" fontId="7" fillId="5" borderId="0" xfId="0" applyNumberFormat="1" applyFont="1" applyFill="1" applyBorder="1">
      <alignment vertical="center"/>
    </xf>
    <xf numFmtId="0" fontId="7" fillId="4" borderId="0" xfId="0" applyFont="1" applyFill="1" applyBorder="1" applyAlignment="1">
      <alignment horizontal="right" vertical="center"/>
    </xf>
    <xf numFmtId="20" fontId="7" fillId="4" borderId="0" xfId="0" applyNumberFormat="1" applyFont="1" applyFill="1" applyBorder="1" applyAlignment="1">
      <alignment horizontal="right" vertical="center"/>
    </xf>
    <xf numFmtId="0" fontId="7" fillId="3" borderId="0" xfId="0" applyFont="1" applyFill="1" applyBorder="1">
      <alignment vertical="center"/>
    </xf>
    <xf numFmtId="20" fontId="7" fillId="3" borderId="0" xfId="0" applyNumberFormat="1" applyFont="1" applyFill="1" applyBorder="1">
      <alignment vertical="center"/>
    </xf>
    <xf numFmtId="0" fontId="5" fillId="2" borderId="0" xfId="0" applyFont="1" applyFill="1" applyBorder="1" applyAlignment="1">
      <alignment vertical="center" wrapText="1"/>
    </xf>
    <xf numFmtId="0" fontId="5" fillId="2" borderId="0" xfId="0" applyNumberFormat="1" applyFont="1" applyFill="1" applyBorder="1" applyAlignment="1">
      <alignment horizontal="right" vertical="center"/>
    </xf>
    <xf numFmtId="176" fontId="20" fillId="2" borderId="0" xfId="0" applyNumberFormat="1" applyFont="1" applyFill="1" applyBorder="1" applyAlignment="1">
      <alignment horizontal="right" vertical="center"/>
    </xf>
    <xf numFmtId="178" fontId="21" fillId="2" borderId="0" xfId="0" applyNumberFormat="1" applyFont="1" applyFill="1" applyBorder="1" applyAlignment="1">
      <alignment horizontal="right" vertical="center"/>
    </xf>
    <xf numFmtId="176" fontId="22" fillId="2" borderId="0" xfId="0" applyNumberFormat="1" applyFont="1" applyFill="1" applyBorder="1" applyAlignment="1">
      <alignment horizontal="right" vertical="center"/>
    </xf>
    <xf numFmtId="178" fontId="22" fillId="2" borderId="0" xfId="0" applyNumberFormat="1" applyFont="1" applyFill="1" applyBorder="1" applyAlignment="1">
      <alignment horizontal="right" vertical="center"/>
    </xf>
    <xf numFmtId="176" fontId="20" fillId="2" borderId="0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6" fontId="21" fillId="2" borderId="1" xfId="0" applyNumberFormat="1" applyFont="1" applyFill="1" applyBorder="1" applyAlignment="1">
      <alignment horizontal="right" vertical="center"/>
    </xf>
    <xf numFmtId="178" fontId="21" fillId="2" borderId="1" xfId="0" applyNumberFormat="1" applyFont="1" applyFill="1" applyBorder="1" applyAlignment="1">
      <alignment horizontal="right" vertical="center"/>
    </xf>
    <xf numFmtId="176" fontId="22" fillId="2" borderId="1" xfId="0" applyNumberFormat="1" applyFont="1" applyFill="1" applyBorder="1" applyAlignment="1">
      <alignment horizontal="right" vertical="center"/>
    </xf>
    <xf numFmtId="178" fontId="22" fillId="2" borderId="1" xfId="0" applyNumberFormat="1" applyFont="1" applyFill="1" applyBorder="1" applyAlignment="1">
      <alignment horizontal="right" vertical="center"/>
    </xf>
    <xf numFmtId="0" fontId="5" fillId="7" borderId="0" xfId="0" applyFont="1" applyFill="1" applyBorder="1" applyAlignment="1">
      <alignment vertical="center" wrapText="1"/>
    </xf>
    <xf numFmtId="180" fontId="18" fillId="7" borderId="0" xfId="0" applyNumberFormat="1" applyFont="1" applyFill="1" applyBorder="1" applyAlignment="1">
      <alignment horizontal="right" vertical="center"/>
    </xf>
    <xf numFmtId="0" fontId="18" fillId="7" borderId="0" xfId="0" applyFont="1" applyFill="1" applyBorder="1" applyAlignment="1">
      <alignment vertical="center" wrapText="1"/>
    </xf>
    <xf numFmtId="0" fontId="14" fillId="7" borderId="0" xfId="0" applyFont="1" applyFill="1" applyBorder="1" applyAlignment="1">
      <alignment vertical="center" wrapText="1"/>
    </xf>
    <xf numFmtId="180" fontId="19" fillId="7" borderId="0" xfId="0" applyNumberFormat="1" applyFont="1" applyFill="1" applyBorder="1" applyAlignment="1">
      <alignment horizontal="right" vertical="center"/>
    </xf>
    <xf numFmtId="0" fontId="19" fillId="7" borderId="0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right" vertical="center"/>
    </xf>
    <xf numFmtId="0" fontId="2" fillId="8" borderId="2" xfId="0" applyFont="1" applyFill="1" applyBorder="1" applyAlignment="1">
      <alignment horizontal="center" vertical="center"/>
    </xf>
    <xf numFmtId="0" fontId="7" fillId="5" borderId="2" xfId="0" applyFont="1" applyFill="1" applyBorder="1">
      <alignment vertical="center"/>
    </xf>
    <xf numFmtId="0" fontId="7" fillId="3" borderId="2" xfId="0" applyFont="1" applyFill="1" applyBorder="1">
      <alignment vertical="center"/>
    </xf>
    <xf numFmtId="0" fontId="7" fillId="3" borderId="2" xfId="0" applyFont="1" applyFill="1" applyBorder="1" applyAlignment="1">
      <alignment horizontal="right" vertical="center"/>
    </xf>
    <xf numFmtId="0" fontId="7" fillId="5" borderId="2" xfId="0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right" vertical="center"/>
    </xf>
    <xf numFmtId="20" fontId="7" fillId="3" borderId="2" xfId="0" applyNumberFormat="1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right" vertical="center"/>
    </xf>
    <xf numFmtId="176" fontId="22" fillId="2" borderId="2" xfId="0" applyNumberFormat="1" applyFont="1" applyFill="1" applyBorder="1" applyAlignment="1">
      <alignment horizontal="right" vertical="center"/>
    </xf>
    <xf numFmtId="178" fontId="22" fillId="2" borderId="2" xfId="0" applyNumberFormat="1" applyFont="1" applyFill="1" applyBorder="1" applyAlignment="1">
      <alignment horizontal="right" vertical="center"/>
    </xf>
    <xf numFmtId="20" fontId="7" fillId="6" borderId="1" xfId="0" applyNumberFormat="1" applyFont="1" applyFill="1" applyBorder="1" applyAlignment="1">
      <alignment horizontal="right" vertical="center"/>
    </xf>
    <xf numFmtId="20" fontId="7" fillId="5" borderId="1" xfId="0" applyNumberFormat="1" applyFont="1" applyFill="1" applyBorder="1">
      <alignment vertical="center"/>
    </xf>
    <xf numFmtId="20" fontId="7" fillId="3" borderId="1" xfId="0" applyNumberFormat="1" applyFont="1" applyFill="1" applyBorder="1">
      <alignment vertical="center"/>
    </xf>
    <xf numFmtId="20" fontId="7" fillId="3" borderId="1" xfId="0" applyNumberFormat="1" applyFont="1" applyFill="1" applyBorder="1" applyAlignment="1">
      <alignment horizontal="right" vertical="center"/>
    </xf>
    <xf numFmtId="20" fontId="7" fillId="5" borderId="1" xfId="0" applyNumberFormat="1" applyFont="1" applyFill="1" applyBorder="1" applyAlignment="1">
      <alignment horizontal="right" vertical="center"/>
    </xf>
    <xf numFmtId="20" fontId="7" fillId="4" borderId="1" xfId="0" applyNumberFormat="1" applyFont="1" applyFill="1" applyBorder="1" applyAlignment="1">
      <alignment horizontal="right" vertical="center"/>
    </xf>
    <xf numFmtId="20" fontId="7" fillId="2" borderId="1" xfId="0" applyNumberFormat="1" applyFont="1" applyFill="1" applyBorder="1" applyAlignment="1">
      <alignment horizontal="right" vertical="center"/>
    </xf>
    <xf numFmtId="20" fontId="7" fillId="6" borderId="2" xfId="0" applyNumberFormat="1" applyFont="1" applyFill="1" applyBorder="1" applyAlignment="1">
      <alignment horizontal="right" vertical="center"/>
    </xf>
    <xf numFmtId="20" fontId="7" fillId="5" borderId="2" xfId="0" applyNumberFormat="1" applyFont="1" applyFill="1" applyBorder="1">
      <alignment vertical="center"/>
    </xf>
    <xf numFmtId="20" fontId="7" fillId="3" borderId="2" xfId="0" applyNumberFormat="1" applyFont="1" applyFill="1" applyBorder="1">
      <alignment vertical="center"/>
    </xf>
    <xf numFmtId="20" fontId="7" fillId="5" borderId="2" xfId="0" applyNumberFormat="1" applyFont="1" applyFill="1" applyBorder="1" applyAlignment="1">
      <alignment horizontal="right" vertical="center"/>
    </xf>
    <xf numFmtId="20" fontId="7" fillId="4" borderId="2" xfId="0" applyNumberFormat="1" applyFont="1" applyFill="1" applyBorder="1" applyAlignment="1">
      <alignment horizontal="right" vertical="center"/>
    </xf>
    <xf numFmtId="20" fontId="7" fillId="2" borderId="2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7" fillId="5" borderId="1" xfId="0" applyFont="1" applyFill="1" applyBorder="1">
      <alignment vertical="center"/>
    </xf>
    <xf numFmtId="0" fontId="3" fillId="4" borderId="2" xfId="0" applyFont="1" applyFill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0" fontId="3" fillId="5" borderId="2" xfId="0" applyFont="1" applyFill="1" applyBorder="1" applyAlignment="1">
      <alignment horizontal="center" vertical="center"/>
    </xf>
    <xf numFmtId="176" fontId="20" fillId="2" borderId="2" xfId="0" applyNumberFormat="1" applyFont="1" applyFill="1" applyBorder="1" applyAlignment="1">
      <alignment horizontal="right" vertical="center"/>
    </xf>
    <xf numFmtId="178" fontId="21" fillId="2" borderId="2" xfId="0" applyNumberFormat="1" applyFont="1" applyFill="1" applyBorder="1" applyAlignment="1">
      <alignment horizontal="right" vertical="center"/>
    </xf>
    <xf numFmtId="0" fontId="3" fillId="6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11" fillId="8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right" vertical="center"/>
    </xf>
    <xf numFmtId="0" fontId="6" fillId="2" borderId="0" xfId="0" applyNumberFormat="1" applyFont="1" applyFill="1" applyBorder="1" applyAlignment="1">
      <alignment vertical="center" wrapText="1"/>
    </xf>
    <xf numFmtId="0" fontId="23" fillId="9" borderId="0" xfId="0" applyFont="1" applyFill="1" applyBorder="1" applyAlignment="1">
      <alignment horizontal="right" vertical="center"/>
    </xf>
    <xf numFmtId="179" fontId="23" fillId="9" borderId="0" xfId="0" applyNumberFormat="1" applyFont="1" applyFill="1" applyBorder="1" applyAlignment="1">
      <alignment horizontal="right" vertical="center"/>
    </xf>
    <xf numFmtId="0" fontId="23" fillId="9" borderId="1" xfId="0" applyFont="1" applyFill="1" applyBorder="1" applyAlignment="1">
      <alignment horizontal="right" vertical="center"/>
    </xf>
    <xf numFmtId="179" fontId="23" fillId="9" borderId="1" xfId="0" applyNumberFormat="1" applyFont="1" applyFill="1" applyBorder="1" applyAlignment="1">
      <alignment horizontal="right" vertical="center"/>
    </xf>
    <xf numFmtId="179" fontId="24" fillId="9" borderId="0" xfId="0" applyNumberFormat="1" applyFont="1" applyFill="1" applyBorder="1" applyAlignment="1">
      <alignment horizontal="right" vertical="center"/>
    </xf>
    <xf numFmtId="0" fontId="10" fillId="8" borderId="2" xfId="0" applyFont="1" applyFill="1" applyBorder="1" applyAlignment="1">
      <alignment horizontal="center" vertical="center"/>
    </xf>
    <xf numFmtId="0" fontId="25" fillId="8" borderId="0" xfId="0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7"/>
  <sheetViews>
    <sheetView tabSelected="1" workbookViewId="0">
      <pane xSplit="4" ySplit="2" topLeftCell="O3" activePane="bottomRight" state="frozen"/>
      <selection pane="topRight" activeCell="E1" sqref="E1"/>
      <selection pane="bottomLeft" activeCell="A3" sqref="A3"/>
      <selection pane="bottomRight"/>
    </sheetView>
  </sheetViews>
  <sheetFormatPr defaultRowHeight="14.25" x14ac:dyDescent="0.2"/>
  <cols>
    <col min="1" max="1" width="8.625" style="118" customWidth="1"/>
    <col min="2" max="2" width="84.125" style="117" customWidth="1"/>
    <col min="3" max="3" width="4.875" style="65" customWidth="1"/>
    <col min="4" max="4" width="14.5" style="4" customWidth="1"/>
    <col min="5" max="6" width="4.875" style="1" customWidth="1"/>
    <col min="7" max="8" width="4.875" style="97" customWidth="1"/>
    <col min="9" max="9" width="4.875" style="1" customWidth="1"/>
    <col min="10" max="10" width="4.875" style="97" customWidth="1"/>
    <col min="11" max="11" width="4.875" style="92" customWidth="1"/>
    <col min="12" max="12" width="4.875" style="1" customWidth="1"/>
    <col min="13" max="14" width="4.875" style="92" customWidth="1"/>
    <col min="15" max="15" width="4.875" style="1" customWidth="1"/>
    <col min="16" max="16" width="4.875" style="92" customWidth="1"/>
    <col min="17" max="17" width="4.875" style="1" customWidth="1"/>
    <col min="18" max="18" width="4.875" style="4" customWidth="1"/>
    <col min="19" max="20" width="4.875" style="1" customWidth="1"/>
    <col min="21" max="26" width="4.875" style="2" customWidth="1"/>
    <col min="27" max="27" width="4.875" style="75" customWidth="1"/>
    <col min="28" max="29" width="4.875" style="2" customWidth="1"/>
    <col min="30" max="30" width="4.875" style="75" customWidth="1"/>
    <col min="31" max="35" width="4.875" style="2" customWidth="1"/>
    <col min="36" max="36" width="4.875" style="75" customWidth="1"/>
    <col min="37" max="39" width="4.875" style="2" customWidth="1"/>
    <col min="40" max="40" width="5.25" style="5" customWidth="1"/>
    <col min="41" max="41" width="7.375" style="105" customWidth="1"/>
    <col min="42" max="45" width="9" style="3"/>
    <col min="46" max="16384" width="9" style="4"/>
  </cols>
  <sheetData>
    <row r="1" spans="1:41" x14ac:dyDescent="0.2">
      <c r="A1" s="118">
        <v>54</v>
      </c>
      <c r="B1" s="172" t="s">
        <v>167</v>
      </c>
      <c r="C1" s="173">
        <f>HLOOKUP(selector,table,1,FALSE)</f>
        <v>54</v>
      </c>
      <c r="D1" s="97" t="s">
        <v>71</v>
      </c>
      <c r="E1" s="96">
        <v>2</v>
      </c>
      <c r="F1" s="96">
        <v>4</v>
      </c>
      <c r="G1" s="102">
        <v>114</v>
      </c>
      <c r="H1" s="102">
        <v>6</v>
      </c>
      <c r="I1" s="96">
        <v>8</v>
      </c>
      <c r="J1" s="102">
        <v>10</v>
      </c>
      <c r="K1" s="110">
        <v>12</v>
      </c>
      <c r="L1" s="96">
        <v>14</v>
      </c>
      <c r="M1" s="110">
        <v>128</v>
      </c>
      <c r="N1" s="110">
        <v>16</v>
      </c>
      <c r="O1" s="96">
        <v>18</v>
      </c>
      <c r="P1" s="110">
        <v>20</v>
      </c>
      <c r="Q1" s="96">
        <v>22</v>
      </c>
      <c r="R1" s="110">
        <v>24</v>
      </c>
      <c r="S1" s="96">
        <v>26</v>
      </c>
      <c r="T1" s="110">
        <v>28</v>
      </c>
      <c r="U1" s="98">
        <v>30</v>
      </c>
      <c r="V1" s="100">
        <v>32</v>
      </c>
      <c r="W1" s="98">
        <v>34</v>
      </c>
      <c r="X1" s="100">
        <v>168</v>
      </c>
      <c r="Y1" s="100">
        <v>36</v>
      </c>
      <c r="Z1" s="98">
        <v>38</v>
      </c>
      <c r="AA1" s="101">
        <v>40</v>
      </c>
      <c r="AB1" s="102">
        <v>42</v>
      </c>
      <c r="AC1" s="98">
        <v>44</v>
      </c>
      <c r="AD1" s="101">
        <v>46</v>
      </c>
      <c r="AE1" s="102">
        <v>48</v>
      </c>
      <c r="AF1" s="98">
        <v>50</v>
      </c>
      <c r="AG1" s="101">
        <v>52</v>
      </c>
      <c r="AH1" s="100">
        <v>54</v>
      </c>
      <c r="AI1" s="98">
        <v>56</v>
      </c>
      <c r="AJ1" s="101">
        <v>58</v>
      </c>
      <c r="AK1" s="100">
        <v>60</v>
      </c>
      <c r="AL1" s="98">
        <v>62</v>
      </c>
      <c r="AM1" s="2">
        <v>64</v>
      </c>
      <c r="AN1" s="119" t="s">
        <v>99</v>
      </c>
      <c r="AO1" s="120" t="s">
        <v>100</v>
      </c>
    </row>
    <row r="2" spans="1:41" x14ac:dyDescent="0.2">
      <c r="A2" s="171"/>
      <c r="B2" s="180">
        <f>3/(24*60)</f>
        <v>2.0833333333333333E-3</v>
      </c>
      <c r="C2" s="173">
        <f>HLOOKUP(selector,table,2,FALSE)</f>
        <v>1</v>
      </c>
      <c r="D2" s="97" t="s">
        <v>72</v>
      </c>
      <c r="E2" s="115">
        <v>2</v>
      </c>
      <c r="F2" s="115">
        <v>2</v>
      </c>
      <c r="G2" s="113">
        <v>4</v>
      </c>
      <c r="H2" s="113">
        <v>4</v>
      </c>
      <c r="I2" s="115">
        <v>2</v>
      </c>
      <c r="J2" s="113">
        <v>4</v>
      </c>
      <c r="K2" s="111">
        <v>1</v>
      </c>
      <c r="L2" s="115">
        <v>2</v>
      </c>
      <c r="M2" s="111">
        <v>1</v>
      </c>
      <c r="N2" s="111">
        <v>1</v>
      </c>
      <c r="O2" s="115">
        <v>2</v>
      </c>
      <c r="P2" s="111">
        <v>1</v>
      </c>
      <c r="Q2" s="115">
        <v>2</v>
      </c>
      <c r="R2" s="111">
        <v>1</v>
      </c>
      <c r="S2" s="115">
        <v>2</v>
      </c>
      <c r="T2" s="111">
        <v>1</v>
      </c>
      <c r="U2" s="66">
        <v>2</v>
      </c>
      <c r="V2" s="108">
        <v>1</v>
      </c>
      <c r="W2" s="66">
        <v>2</v>
      </c>
      <c r="X2" s="108">
        <v>1</v>
      </c>
      <c r="Y2" s="108">
        <v>1</v>
      </c>
      <c r="Z2" s="66">
        <v>2</v>
      </c>
      <c r="AA2" s="106">
        <v>3</v>
      </c>
      <c r="AB2" s="113">
        <v>4</v>
      </c>
      <c r="AC2" s="66">
        <v>2</v>
      </c>
      <c r="AD2" s="106">
        <v>3</v>
      </c>
      <c r="AE2" s="113">
        <v>4</v>
      </c>
      <c r="AF2" s="66">
        <v>2</v>
      </c>
      <c r="AG2" s="106">
        <v>3</v>
      </c>
      <c r="AH2" s="108">
        <v>1</v>
      </c>
      <c r="AI2" s="66">
        <v>2</v>
      </c>
      <c r="AJ2" s="106">
        <v>3</v>
      </c>
      <c r="AK2" s="108">
        <v>1</v>
      </c>
      <c r="AL2" s="66">
        <v>2</v>
      </c>
      <c r="AM2" s="65">
        <v>0</v>
      </c>
      <c r="AN2" s="121"/>
      <c r="AO2" s="122"/>
    </row>
    <row r="3" spans="1:41" ht="85.5" x14ac:dyDescent="0.2">
      <c r="A3" s="18">
        <f>C4-beforehand</f>
        <v>0.71666666666666667</v>
      </c>
      <c r="B3" s="129" t="str">
        <f>"!今日も、新幹線をご利用くださいまして、ありがとうございます。のぞみ"&amp;C1&amp;"号{+東京}行です。途中の停車駅は、{+小倉}、"&amp;IF(C2=4,"{+徳山}、",)&amp;IF(C2=2,"{+新山口}、",)&amp;"{+広島}、"&amp;IF(C2=1,"{+福山}、",)&amp;"{+岡山}、"&amp;IF(C2=3,"{+姫路}、",)&amp;"{+新神戸}、{+新大阪}、{+京都}、{+名古屋}、{+新横浜}、{+品川}です。Welcome to the Shinkansen. This is the NOZOMI Super Express bound for {+Tokyo}. We will be stopping at {+Kokura}"&amp;IF(C2=4,", {+Tokuyama}",)&amp;IF(C2=2,", {+Shin-Yamaguchi}",)&amp;", {+Hiroshima}"&amp;IF(C2=1,", {+Fukuyama}",)&amp;", {+Okayama}"&amp;IF(C2=3,", {+Himeji}",)&amp;", {+Shin-Kobe}, {+Shin-Osaka}, {+Kyoto}, {+Nagoya}, {+Shin-Yokohama}, {+Shinagawa stations} before arriving at {+Tokyo} terminal."</f>
        <v>!今日も、新幹線をご利用くださいまして、ありがとうございます。のぞみ54号{+東京}行です。途中の停車駅は、{+小倉}、{+広島}、{+福山}、{+岡山}、{+新神戸}、{+新大阪}、{+京都}、{+名古屋}、{+新横浜}、{+品川}です。Welcome to the Shinkansen. This is the NOZOMI Super Express bound for {+Tokyo}. We will be stopping at {+Kokura}, {+Hiroshima}, {+Fukuyama}, {+Okayama}, {+Shin-Kobe}, {+Shin-Osaka}, {+Kyoto}, {+Nagoya}, {+Shin-Yokohama}, {+Shinagawa stations} before arriving at {+Tokyo} terminal.</v>
      </c>
      <c r="C3" s="174"/>
      <c r="D3" s="136" t="s">
        <v>32</v>
      </c>
      <c r="E3" s="138"/>
      <c r="F3" s="138"/>
      <c r="G3" s="141"/>
      <c r="H3" s="141"/>
      <c r="I3" s="138"/>
      <c r="J3" s="141"/>
      <c r="K3" s="137"/>
      <c r="L3" s="138"/>
      <c r="M3" s="137"/>
      <c r="N3" s="137"/>
      <c r="O3" s="138"/>
      <c r="P3" s="137"/>
      <c r="Q3" s="138"/>
      <c r="R3" s="137"/>
      <c r="S3" s="138"/>
      <c r="T3" s="137"/>
      <c r="U3" s="139"/>
      <c r="V3" s="140"/>
      <c r="W3" s="139"/>
      <c r="X3" s="140"/>
      <c r="Y3" s="140"/>
      <c r="Z3" s="139"/>
      <c r="AA3" s="135"/>
      <c r="AB3" s="141"/>
      <c r="AC3" s="142"/>
      <c r="AD3" s="135"/>
      <c r="AE3" s="141"/>
      <c r="AF3" s="139"/>
      <c r="AG3" s="135"/>
      <c r="AH3" s="140"/>
      <c r="AI3" s="139"/>
      <c r="AJ3" s="135"/>
      <c r="AK3" s="140"/>
      <c r="AL3" s="139"/>
      <c r="AM3" s="143"/>
      <c r="AN3" s="144"/>
      <c r="AO3" s="145"/>
    </row>
    <row r="4" spans="1:41" x14ac:dyDescent="0.2">
      <c r="A4" s="18">
        <f>C4</f>
        <v>0.71875</v>
      </c>
      <c r="B4" s="129" t="s">
        <v>143</v>
      </c>
      <c r="C4" s="174">
        <f>HLOOKUP(selector,table,4,FALSE)</f>
        <v>0.71875</v>
      </c>
      <c r="D4" s="104" t="s">
        <v>105</v>
      </c>
      <c r="E4" s="148">
        <v>0.25</v>
      </c>
      <c r="F4" s="148">
        <v>0.27499999999999997</v>
      </c>
      <c r="G4" s="151">
        <v>0.28125</v>
      </c>
      <c r="H4" s="151">
        <v>0.30208333333333331</v>
      </c>
      <c r="I4" s="148">
        <v>0.31666666666666665</v>
      </c>
      <c r="J4" s="151">
        <v>0.33333333333333331</v>
      </c>
      <c r="K4" s="147">
        <v>0.34375</v>
      </c>
      <c r="L4" s="148">
        <v>0.35833333333333334</v>
      </c>
      <c r="M4" s="147">
        <v>0.37916666666666665</v>
      </c>
      <c r="N4" s="147">
        <v>0.38541666666666669</v>
      </c>
      <c r="O4" s="148">
        <v>0.39999999999999997</v>
      </c>
      <c r="P4" s="147">
        <v>0.42708333333333331</v>
      </c>
      <c r="Q4" s="148">
        <v>0.44166666666666665</v>
      </c>
      <c r="R4" s="147">
        <v>0.46875</v>
      </c>
      <c r="S4" s="148">
        <v>0.48333333333333334</v>
      </c>
      <c r="T4" s="147">
        <v>0.51041666666666663</v>
      </c>
      <c r="U4" s="149">
        <v>0.52500000000000002</v>
      </c>
      <c r="V4" s="150">
        <v>0.55208333333333337</v>
      </c>
      <c r="W4" s="149">
        <v>0.56666666666666665</v>
      </c>
      <c r="X4" s="150">
        <v>0.58750000000000002</v>
      </c>
      <c r="Y4" s="150">
        <v>0.59375</v>
      </c>
      <c r="Z4" s="149">
        <v>0.60833333333333328</v>
      </c>
      <c r="AA4" s="146">
        <v>0.625</v>
      </c>
      <c r="AB4" s="151">
        <v>0.63541666666666663</v>
      </c>
      <c r="AC4" s="149">
        <v>0.65</v>
      </c>
      <c r="AD4" s="146">
        <v>0.66666666666666663</v>
      </c>
      <c r="AE4" s="151">
        <v>0.67708333333333337</v>
      </c>
      <c r="AF4" s="149">
        <v>0.69166666666666676</v>
      </c>
      <c r="AG4" s="146">
        <v>0.70833333333333337</v>
      </c>
      <c r="AH4" s="150">
        <v>0.71875</v>
      </c>
      <c r="AI4" s="149">
        <v>0.73333333333333339</v>
      </c>
      <c r="AJ4" s="146">
        <v>0.75208333333333333</v>
      </c>
      <c r="AK4" s="150">
        <v>0.76250000000000007</v>
      </c>
      <c r="AL4" s="149">
        <v>0.77500000000000002</v>
      </c>
      <c r="AM4" s="152">
        <v>0.79166666666666663</v>
      </c>
      <c r="AN4" s="127">
        <v>0</v>
      </c>
      <c r="AO4" s="128"/>
    </row>
    <row r="5" spans="1:41" ht="85.5" x14ac:dyDescent="0.2">
      <c r="A5" s="18">
        <f>C6-beforehand</f>
        <v>0.7270833333333333</v>
      </c>
      <c r="B5" s="129" t="str">
        <f>"!まもなく{+小倉}です。{+鹿児島線}、{+日豊線}、{+筑豊線}、{+日田彦山線}はお乗換えです。お降りの時は足元にご注意ください。今日も新幹線をご利用くださいましてありがとうございました。{+小倉}を出ますと次は"&amp;IF(C2=2,"{+新山口}",IF(C2=4,"{+徳山}","{+広島}"))&amp;"に止まります。"&amp;"We will soon make a brief stop at {+Kokura}. Passengers going to the {+Nippo line}, all to local station {+Kagoshima line}, please change trains here at {+Kokura}."&amp;" We will depart shortly after arriving at {+Kokura}, so please be ready to get off before the train stops. Thank you."</f>
        <v>!まもなく{+小倉}です。{+鹿児島線}、{+日豊線}、{+筑豊線}、{+日田彦山線}はお乗換えです。お降りの時は足元にご注意ください。今日も新幹線をご利用くださいましてありがとうございました。{+小倉}を出ますと次は{+広島}に止まります。We will soon make a brief stop at {+Kokura}. Passengers going to the {+Nippo line}, all to local station {+Kagoshima line}, please change trains here at {+Kokura}. We will depart shortly after arriving at {+Kokura}, so please be ready to get off before the train stops. Thank you.</v>
      </c>
      <c r="C5" s="174"/>
      <c r="D5" s="136"/>
      <c r="E5" s="155"/>
      <c r="F5" s="155"/>
      <c r="G5" s="157"/>
      <c r="H5" s="157"/>
      <c r="I5" s="155"/>
      <c r="J5" s="157"/>
      <c r="K5" s="154"/>
      <c r="L5" s="155"/>
      <c r="M5" s="154"/>
      <c r="N5" s="154"/>
      <c r="O5" s="155"/>
      <c r="P5" s="154"/>
      <c r="Q5" s="155"/>
      <c r="R5" s="154"/>
      <c r="S5" s="155"/>
      <c r="T5" s="154"/>
      <c r="U5" s="142"/>
      <c r="V5" s="156"/>
      <c r="W5" s="142"/>
      <c r="X5" s="156"/>
      <c r="Y5" s="156"/>
      <c r="Z5" s="142"/>
      <c r="AA5" s="153"/>
      <c r="AB5" s="157"/>
      <c r="AC5" s="142"/>
      <c r="AD5" s="153"/>
      <c r="AE5" s="157"/>
      <c r="AF5" s="142"/>
      <c r="AG5" s="153"/>
      <c r="AH5" s="156"/>
      <c r="AI5" s="142"/>
      <c r="AJ5" s="153"/>
      <c r="AK5" s="156"/>
      <c r="AL5" s="142"/>
      <c r="AM5" s="158"/>
      <c r="AN5" s="144"/>
      <c r="AO5" s="145"/>
    </row>
    <row r="6" spans="1:41" x14ac:dyDescent="0.2">
      <c r="A6" s="18">
        <f>C6</f>
        <v>0.72916666666666663</v>
      </c>
      <c r="B6" s="129" t="s">
        <v>144</v>
      </c>
      <c r="C6" s="174">
        <f>HLOOKUP(selector,table,6,FALSE)</f>
        <v>0.72916666666666663</v>
      </c>
      <c r="D6" s="99" t="s">
        <v>31</v>
      </c>
      <c r="E6" s="116">
        <v>0.26180555555555557</v>
      </c>
      <c r="F6" s="116">
        <v>0.28541666666666665</v>
      </c>
      <c r="G6" s="114">
        <v>0.29166666666666669</v>
      </c>
      <c r="H6" s="114">
        <v>0.3125</v>
      </c>
      <c r="I6" s="116">
        <v>0.32708333333333334</v>
      </c>
      <c r="J6" s="114">
        <v>0.34375</v>
      </c>
      <c r="K6" s="112">
        <v>0.39583333333333331</v>
      </c>
      <c r="L6" s="116">
        <v>0.36874999999999997</v>
      </c>
      <c r="M6" s="112">
        <v>0.39027777777777778</v>
      </c>
      <c r="N6" s="112">
        <v>0.39583333333333331</v>
      </c>
      <c r="O6" s="116">
        <v>0.41041666666666665</v>
      </c>
      <c r="P6" s="112">
        <v>0.4375</v>
      </c>
      <c r="Q6" s="116">
        <v>0.45208333333333334</v>
      </c>
      <c r="R6" s="112">
        <v>0.47916666666666669</v>
      </c>
      <c r="S6" s="116">
        <v>0.49374999999999997</v>
      </c>
      <c r="T6" s="112">
        <v>0.52083333333333337</v>
      </c>
      <c r="U6" s="68">
        <v>0.53541666666666665</v>
      </c>
      <c r="V6" s="109">
        <v>0.5625</v>
      </c>
      <c r="W6" s="68">
        <v>0.57708333333333328</v>
      </c>
      <c r="X6" s="109">
        <v>0.59861111111111109</v>
      </c>
      <c r="Y6" s="109">
        <v>0.60416666666666663</v>
      </c>
      <c r="Z6" s="68">
        <v>0.61875000000000002</v>
      </c>
      <c r="AA6" s="107">
        <v>0.63541666666666663</v>
      </c>
      <c r="AB6" s="114">
        <v>0.64583333333333337</v>
      </c>
      <c r="AC6" s="68">
        <v>0.66041666666666665</v>
      </c>
      <c r="AD6" s="107">
        <v>0.67708333333333337</v>
      </c>
      <c r="AE6" s="114">
        <v>0.6875</v>
      </c>
      <c r="AF6" s="68">
        <v>0.70208333333333339</v>
      </c>
      <c r="AG6" s="107">
        <v>0.71875</v>
      </c>
      <c r="AH6" s="109">
        <v>0.72916666666666663</v>
      </c>
      <c r="AI6" s="68">
        <v>0.74375000000000002</v>
      </c>
      <c r="AJ6" s="107">
        <v>0.76250000000000007</v>
      </c>
      <c r="AK6" s="109">
        <v>0.7729166666666667</v>
      </c>
      <c r="AL6" s="68">
        <v>0.78541666666666676</v>
      </c>
      <c r="AM6" s="67">
        <v>0.80208333333333337</v>
      </c>
      <c r="AN6" s="121">
        <v>55.91</v>
      </c>
      <c r="AO6" s="122"/>
    </row>
    <row r="7" spans="1:41" x14ac:dyDescent="0.2">
      <c r="A7" s="18">
        <f>C7</f>
        <v>0.72986111111111107</v>
      </c>
      <c r="B7" s="129" t="str">
        <f>"|次は　　"&amp;IF(C2=4,"{+徳　山}",IF(C2=2,"{+新山口}","{+広　島}") )</f>
        <v>|次は　　{+広　島}</v>
      </c>
      <c r="C7" s="174">
        <f>HLOOKUP(selector,table,7,FALSE)</f>
        <v>0.72986111111111107</v>
      </c>
      <c r="D7" s="104" t="s">
        <v>106</v>
      </c>
      <c r="E7" s="148">
        <v>0.26250000000000001</v>
      </c>
      <c r="F7" s="148">
        <v>0.28611111111111115</v>
      </c>
      <c r="G7" s="151">
        <v>0.29236111111111113</v>
      </c>
      <c r="H7" s="151">
        <v>0.31319444444444444</v>
      </c>
      <c r="I7" s="148">
        <v>0.32777777777777778</v>
      </c>
      <c r="J7" s="151">
        <v>0.3444444444444445</v>
      </c>
      <c r="K7" s="147">
        <v>0.39652777777777781</v>
      </c>
      <c r="L7" s="148">
        <v>0.36944444444444446</v>
      </c>
      <c r="M7" s="147">
        <v>0.39097222222222222</v>
      </c>
      <c r="N7" s="147">
        <v>0.39652777777777781</v>
      </c>
      <c r="O7" s="148">
        <v>0.41111111111111115</v>
      </c>
      <c r="P7" s="147">
        <v>0.4381944444444445</v>
      </c>
      <c r="Q7" s="148">
        <v>0.45277777777777778</v>
      </c>
      <c r="R7" s="147">
        <v>0.47986111111111113</v>
      </c>
      <c r="S7" s="148">
        <v>0.49444444444444446</v>
      </c>
      <c r="T7" s="147">
        <v>0.52152777777777781</v>
      </c>
      <c r="U7" s="149">
        <v>0.53611111111111109</v>
      </c>
      <c r="V7" s="150">
        <v>0.56319444444444444</v>
      </c>
      <c r="W7" s="149">
        <v>0.57777777777777783</v>
      </c>
      <c r="X7" s="150">
        <v>0.59930555555555554</v>
      </c>
      <c r="Y7" s="150">
        <v>0.60486111111111118</v>
      </c>
      <c r="Z7" s="149">
        <v>0.61944444444444446</v>
      </c>
      <c r="AA7" s="146">
        <v>0.63611111111111118</v>
      </c>
      <c r="AB7" s="151">
        <v>0.64652777777777781</v>
      </c>
      <c r="AC7" s="149">
        <v>0.66111111111111109</v>
      </c>
      <c r="AD7" s="146">
        <v>0.6777777777777777</v>
      </c>
      <c r="AE7" s="151">
        <v>0.68819444444444444</v>
      </c>
      <c r="AF7" s="149">
        <v>0.70277777777777783</v>
      </c>
      <c r="AG7" s="146">
        <v>0.71944444444444444</v>
      </c>
      <c r="AH7" s="150">
        <v>0.72986111111111107</v>
      </c>
      <c r="AI7" s="149">
        <v>0.74444444444444446</v>
      </c>
      <c r="AJ7" s="146">
        <v>0.7631944444444444</v>
      </c>
      <c r="AK7" s="150">
        <v>0.77361111111111114</v>
      </c>
      <c r="AL7" s="149">
        <v>0.78611111111111109</v>
      </c>
      <c r="AM7" s="152">
        <v>0.8027777777777777</v>
      </c>
      <c r="AN7" s="127"/>
      <c r="AO7" s="128"/>
    </row>
    <row r="8" spans="1:41" x14ac:dyDescent="0.2">
      <c r="A8" s="18">
        <f>fromKokura+AO8</f>
        <v>0.73331231587111412</v>
      </c>
      <c r="B8" s="129" t="str">
        <f>"ただいま{+"&amp;D8&amp;"駅}を通過。Passing {+"&amp;D9&amp;"} station."</f>
        <v>ただいま{+新下関駅}を通過。Passing {+Shin-Shimonoseki} station.</v>
      </c>
      <c r="C8" s="174"/>
      <c r="D8" s="159" t="s">
        <v>101</v>
      </c>
      <c r="E8" s="155"/>
      <c r="F8" s="155"/>
      <c r="G8" s="157"/>
      <c r="H8" s="157"/>
      <c r="I8" s="155"/>
      <c r="J8" s="157"/>
      <c r="K8" s="154"/>
      <c r="L8" s="155"/>
      <c r="M8" s="154"/>
      <c r="N8" s="154"/>
      <c r="O8" s="155"/>
      <c r="P8" s="154"/>
      <c r="Q8" s="155"/>
      <c r="R8" s="154"/>
      <c r="S8" s="155"/>
      <c r="T8" s="154"/>
      <c r="U8" s="142"/>
      <c r="V8" s="156"/>
      <c r="W8" s="142"/>
      <c r="X8" s="156"/>
      <c r="Y8" s="156"/>
      <c r="Z8" s="142"/>
      <c r="AA8" s="153"/>
      <c r="AB8" s="157"/>
      <c r="AC8" s="142"/>
      <c r="AD8" s="153"/>
      <c r="AE8" s="157"/>
      <c r="AF8" s="142"/>
      <c r="AG8" s="153"/>
      <c r="AH8" s="156"/>
      <c r="AI8" s="142"/>
      <c r="AJ8" s="153"/>
      <c r="AK8" s="156"/>
      <c r="AL8" s="142"/>
      <c r="AM8" s="158"/>
      <c r="AN8" s="144">
        <v>20.74</v>
      </c>
      <c r="AO8" s="145">
        <f>SUM(AN8:AN8)/SUM(AN8:AN21)*(toHiroshima-fromKokura)</f>
        <v>3.4512047600030213E-3</v>
      </c>
    </row>
    <row r="9" spans="1:41" x14ac:dyDescent="0.2">
      <c r="A9" s="18"/>
      <c r="B9" s="129"/>
      <c r="C9" s="174"/>
      <c r="D9" s="93" t="s">
        <v>102</v>
      </c>
      <c r="E9" s="148"/>
      <c r="F9" s="148"/>
      <c r="G9" s="151"/>
      <c r="H9" s="151"/>
      <c r="I9" s="148"/>
      <c r="J9" s="151"/>
      <c r="K9" s="147"/>
      <c r="L9" s="148"/>
      <c r="M9" s="147"/>
      <c r="N9" s="147"/>
      <c r="O9" s="148"/>
      <c r="P9" s="147"/>
      <c r="Q9" s="148"/>
      <c r="R9" s="147"/>
      <c r="S9" s="148"/>
      <c r="T9" s="147"/>
      <c r="U9" s="149"/>
      <c r="V9" s="150"/>
      <c r="W9" s="149"/>
      <c r="X9" s="150"/>
      <c r="Y9" s="150"/>
      <c r="Z9" s="149"/>
      <c r="AA9" s="146"/>
      <c r="AB9" s="151"/>
      <c r="AC9" s="149"/>
      <c r="AD9" s="146"/>
      <c r="AE9" s="151"/>
      <c r="AF9" s="149"/>
      <c r="AG9" s="146"/>
      <c r="AH9" s="150"/>
      <c r="AI9" s="149"/>
      <c r="AJ9" s="146"/>
      <c r="AK9" s="150"/>
      <c r="AL9" s="149"/>
      <c r="AM9" s="152"/>
      <c r="AN9" s="127"/>
      <c r="AO9" s="128"/>
    </row>
    <row r="10" spans="1:41" x14ac:dyDescent="0.2">
      <c r="A10" s="18">
        <f>fromKokura+AO10</f>
        <v>0.73727105074288224</v>
      </c>
      <c r="B10" s="129" t="str">
        <f>"ただいま{+"&amp;D10&amp;"駅}を通過。Passing {+"&amp;D11&amp;"} station."</f>
        <v>ただいま{+厚狭駅}を通過。Passing {+Asa} station.</v>
      </c>
      <c r="C10" s="174"/>
      <c r="D10" s="159" t="s">
        <v>103</v>
      </c>
      <c r="E10" s="155"/>
      <c r="F10" s="155"/>
      <c r="G10" s="157"/>
      <c r="H10" s="157"/>
      <c r="I10" s="155"/>
      <c r="J10" s="157"/>
      <c r="K10" s="154"/>
      <c r="L10" s="155"/>
      <c r="M10" s="154"/>
      <c r="N10" s="154"/>
      <c r="O10" s="155"/>
      <c r="P10" s="154"/>
      <c r="Q10" s="155"/>
      <c r="R10" s="154"/>
      <c r="S10" s="155"/>
      <c r="T10" s="154"/>
      <c r="U10" s="142"/>
      <c r="V10" s="156"/>
      <c r="W10" s="142"/>
      <c r="X10" s="156"/>
      <c r="Y10" s="156"/>
      <c r="Z10" s="142"/>
      <c r="AA10" s="153"/>
      <c r="AB10" s="157"/>
      <c r="AC10" s="142"/>
      <c r="AD10" s="153"/>
      <c r="AE10" s="157"/>
      <c r="AF10" s="142"/>
      <c r="AG10" s="153"/>
      <c r="AH10" s="156"/>
      <c r="AI10" s="142"/>
      <c r="AJ10" s="153"/>
      <c r="AK10" s="156"/>
      <c r="AL10" s="142"/>
      <c r="AM10" s="158"/>
      <c r="AN10" s="144">
        <v>23.79</v>
      </c>
      <c r="AO10" s="145">
        <f>SUM(AN8:AN10)/SUM(AN8:AN21)*(toHiroshima-fromKokura)</f>
        <v>7.4099396317711935E-3</v>
      </c>
    </row>
    <row r="11" spans="1:41" x14ac:dyDescent="0.2">
      <c r="A11" s="18"/>
      <c r="B11" s="129"/>
      <c r="C11" s="174"/>
      <c r="D11" s="93" t="s">
        <v>104</v>
      </c>
      <c r="E11" s="148"/>
      <c r="F11" s="148"/>
      <c r="G11" s="151"/>
      <c r="H11" s="151"/>
      <c r="I11" s="148"/>
      <c r="J11" s="151"/>
      <c r="K11" s="147"/>
      <c r="L11" s="148"/>
      <c r="M11" s="147"/>
      <c r="N11" s="147"/>
      <c r="O11" s="148"/>
      <c r="P11" s="147"/>
      <c r="Q11" s="148"/>
      <c r="R11" s="147"/>
      <c r="S11" s="148"/>
      <c r="T11" s="147"/>
      <c r="U11" s="149"/>
      <c r="V11" s="150"/>
      <c r="W11" s="149"/>
      <c r="X11" s="150"/>
      <c r="Y11" s="150"/>
      <c r="Z11" s="149"/>
      <c r="AA11" s="146"/>
      <c r="AB11" s="151"/>
      <c r="AC11" s="149"/>
      <c r="AD11" s="146"/>
      <c r="AE11" s="151"/>
      <c r="AF11" s="149"/>
      <c r="AG11" s="146"/>
      <c r="AH11" s="150"/>
      <c r="AI11" s="149"/>
      <c r="AJ11" s="146"/>
      <c r="AK11" s="150"/>
      <c r="AL11" s="149"/>
      <c r="AM11" s="152"/>
      <c r="AN11" s="127"/>
      <c r="AO11" s="128"/>
    </row>
    <row r="12" spans="1:41" x14ac:dyDescent="0.2">
      <c r="A12" s="130" t="str">
        <f>IF(C2=2,C13-beforehand,"")</f>
        <v/>
      </c>
      <c r="B12" s="131" t="str">
        <f>IF(C2=2,"!まもなく{+新山口}です。{+山陽線}・{+宇部線}・{+山口線}はお乗り換えです。お降りの際は足元にご注意ください。今日も新幹線をご利用くださいましてありがとうございました。{+新山口}を出ますと次は{+広島}に止まります。"&amp;"We will soon make a brief stop at {+Shin-Yamaguchi}. Passengers going to the Santyo, {+Ube}, and {+Yamaguchi lines}, please change trains here at {+Shin-Yamaguchi}. "&amp;"We will depart shortly after arriving at {+Shin-Yamaguchi}, so please be ready to get off before the train stops. Thank you.","")</f>
        <v/>
      </c>
      <c r="C12" s="174"/>
      <c r="D12" s="160"/>
      <c r="E12" s="155"/>
      <c r="F12" s="155"/>
      <c r="G12" s="157"/>
      <c r="H12" s="157"/>
      <c r="I12" s="155"/>
      <c r="J12" s="157"/>
      <c r="K12" s="154"/>
      <c r="L12" s="155"/>
      <c r="M12" s="154"/>
      <c r="N12" s="154"/>
      <c r="O12" s="155"/>
      <c r="P12" s="154"/>
      <c r="Q12" s="155"/>
      <c r="R12" s="154"/>
      <c r="S12" s="155"/>
      <c r="T12" s="154"/>
      <c r="U12" s="142"/>
      <c r="V12" s="156"/>
      <c r="W12" s="142"/>
      <c r="X12" s="156"/>
      <c r="Y12" s="156"/>
      <c r="Z12" s="142"/>
      <c r="AA12" s="153"/>
      <c r="AB12" s="157"/>
      <c r="AC12" s="142"/>
      <c r="AD12" s="153"/>
      <c r="AE12" s="157"/>
      <c r="AF12" s="142"/>
      <c r="AG12" s="153"/>
      <c r="AH12" s="156"/>
      <c r="AI12" s="142"/>
      <c r="AJ12" s="153"/>
      <c r="AK12" s="156"/>
      <c r="AL12" s="142"/>
      <c r="AM12" s="158"/>
      <c r="AN12" s="144"/>
      <c r="AO12" s="145"/>
    </row>
    <row r="13" spans="1:41" x14ac:dyDescent="0.2">
      <c r="A13" s="130">
        <f>IF(C2=2,C13-beforehand,fromKokura+AO13)</f>
        <v>0.7412830346755569</v>
      </c>
      <c r="B13" s="131" t="str">
        <f>IF(C2=2,"|!{+新山口}","ただいま{+"&amp;D13&amp;"駅}を通過。Passing {+"&amp;D14&amp;"} station.")</f>
        <v>ただいま{+新山口駅}を通過。Passing {+Shin-Yamaguchi} station.</v>
      </c>
      <c r="C13" s="174">
        <f>HLOOKUP(selector,table,13,FALSE)</f>
        <v>0</v>
      </c>
      <c r="D13" s="69" t="s">
        <v>30</v>
      </c>
      <c r="E13" s="116">
        <v>0.27430555555555552</v>
      </c>
      <c r="F13" s="116">
        <v>0.2986111111111111</v>
      </c>
      <c r="G13" s="114"/>
      <c r="H13" s="114"/>
      <c r="I13" s="116">
        <v>0.34027777777777773</v>
      </c>
      <c r="J13" s="114"/>
      <c r="K13" s="111"/>
      <c r="L13" s="116">
        <v>0.38194444444444442</v>
      </c>
      <c r="M13" s="111"/>
      <c r="N13" s="111"/>
      <c r="O13" s="116">
        <v>0.4236111111111111</v>
      </c>
      <c r="P13" s="111"/>
      <c r="Q13" s="116">
        <v>0.46527777777777773</v>
      </c>
      <c r="R13" s="111"/>
      <c r="S13" s="116">
        <v>0.50694444444444442</v>
      </c>
      <c r="T13" s="112"/>
      <c r="U13" s="68">
        <v>0.54861111111111105</v>
      </c>
      <c r="V13" s="109"/>
      <c r="W13" s="68">
        <v>0.59027777777777779</v>
      </c>
      <c r="X13" s="109"/>
      <c r="Y13" s="109"/>
      <c r="Z13" s="68">
        <v>0.63194444444444442</v>
      </c>
      <c r="AA13" s="107"/>
      <c r="AB13" s="114"/>
      <c r="AC13" s="68">
        <v>0.67361111111111116</v>
      </c>
      <c r="AD13" s="107"/>
      <c r="AE13" s="114"/>
      <c r="AF13" s="68">
        <v>0.71527777777777779</v>
      </c>
      <c r="AG13" s="107"/>
      <c r="AH13" s="109"/>
      <c r="AI13" s="68">
        <v>0.75694444444444453</v>
      </c>
      <c r="AJ13" s="107"/>
      <c r="AK13" s="109"/>
      <c r="AL13" s="68">
        <v>0.79861111111111116</v>
      </c>
      <c r="AM13" s="67"/>
      <c r="AN13" s="121">
        <v>24.11</v>
      </c>
      <c r="AO13" s="122">
        <f>SUM(AN8:AN13)/SUM(AN8:AN21)*(toHiroshima-fromKokura)</f>
        <v>1.1421923564445872E-2</v>
      </c>
    </row>
    <row r="14" spans="1:41" x14ac:dyDescent="0.2">
      <c r="A14" s="130" t="str">
        <f>IF(C2=2,C14,"")</f>
        <v/>
      </c>
      <c r="B14" s="131" t="str">
        <f>IF(C2=2,"|次は　　{+広　島}","")</f>
        <v/>
      </c>
      <c r="C14" s="174">
        <f>HLOOKUP(selector,table,14,FALSE)</f>
        <v>0</v>
      </c>
      <c r="D14" s="70" t="s">
        <v>107</v>
      </c>
      <c r="E14" s="148">
        <v>0.27499999999999997</v>
      </c>
      <c r="F14" s="148">
        <v>0.29930555555555555</v>
      </c>
      <c r="G14" s="151"/>
      <c r="H14" s="151"/>
      <c r="I14" s="148">
        <v>0.34097222222222223</v>
      </c>
      <c r="J14" s="151"/>
      <c r="K14" s="161"/>
      <c r="L14" s="148">
        <v>0.38263888888888892</v>
      </c>
      <c r="M14" s="161"/>
      <c r="N14" s="161"/>
      <c r="O14" s="148">
        <v>0.42430555555555555</v>
      </c>
      <c r="P14" s="161"/>
      <c r="Q14" s="148">
        <v>0.46597222222222223</v>
      </c>
      <c r="R14" s="161"/>
      <c r="S14" s="148">
        <v>0.50763888888888886</v>
      </c>
      <c r="T14" s="147"/>
      <c r="U14" s="149">
        <v>0.5493055555555556</v>
      </c>
      <c r="V14" s="150"/>
      <c r="W14" s="149">
        <v>0.59097222222222223</v>
      </c>
      <c r="X14" s="150"/>
      <c r="Y14" s="150"/>
      <c r="Z14" s="149">
        <v>0.63263888888888886</v>
      </c>
      <c r="AA14" s="146"/>
      <c r="AB14" s="151"/>
      <c r="AC14" s="149">
        <v>0.6743055555555556</v>
      </c>
      <c r="AD14" s="146"/>
      <c r="AE14" s="151"/>
      <c r="AF14" s="149">
        <v>0.71597222222222223</v>
      </c>
      <c r="AG14" s="146"/>
      <c r="AH14" s="150"/>
      <c r="AI14" s="149">
        <v>0.75763888888888886</v>
      </c>
      <c r="AJ14" s="146"/>
      <c r="AK14" s="150"/>
      <c r="AL14" s="149">
        <v>0.7993055555555556</v>
      </c>
      <c r="AM14" s="152"/>
      <c r="AN14" s="127"/>
      <c r="AO14" s="128"/>
    </row>
    <row r="15" spans="1:41" x14ac:dyDescent="0.2">
      <c r="A15" s="60" t="str">
        <f>IF(C2=4,C16-beforehand,"")</f>
        <v/>
      </c>
      <c r="B15" s="61" t="str">
        <f>IF(C2=4,"まもなく{+徳山}です。お出口は左側です。{+山陽線}、{+岩徳線}はお乗り換えです。お降りの時は、足元にご注意ください。{+徳山}を出ますと、次は{+広島}に停まります。"&amp;"We will soon make a brief stop at {+Tokuyama}. "&amp;"Passengers going to the {+Sanyo} and {+Gantoku lines}, please change trains here at {+Tokuyama}. We will depart shortly after arriving at {+Tokuyama}, so please be ready to get off before the train stops. Thank you.","")</f>
        <v/>
      </c>
      <c r="C15" s="174"/>
      <c r="D15" s="162"/>
      <c r="E15" s="155"/>
      <c r="F15" s="155"/>
      <c r="G15" s="157"/>
      <c r="H15" s="157"/>
      <c r="I15" s="155"/>
      <c r="J15" s="157"/>
      <c r="K15" s="137"/>
      <c r="L15" s="155"/>
      <c r="M15" s="137"/>
      <c r="N15" s="137"/>
      <c r="O15" s="155"/>
      <c r="P15" s="137"/>
      <c r="Q15" s="155"/>
      <c r="R15" s="137"/>
      <c r="S15" s="155"/>
      <c r="T15" s="154"/>
      <c r="U15" s="142"/>
      <c r="V15" s="156"/>
      <c r="W15" s="142"/>
      <c r="X15" s="156"/>
      <c r="Y15" s="156"/>
      <c r="Z15" s="142"/>
      <c r="AA15" s="153"/>
      <c r="AB15" s="157"/>
      <c r="AC15" s="142"/>
      <c r="AD15" s="153"/>
      <c r="AE15" s="157"/>
      <c r="AF15" s="142"/>
      <c r="AG15" s="153"/>
      <c r="AH15" s="156"/>
      <c r="AI15" s="142"/>
      <c r="AJ15" s="153"/>
      <c r="AK15" s="156"/>
      <c r="AL15" s="142"/>
      <c r="AM15" s="158"/>
      <c r="AN15" s="144"/>
      <c r="AO15" s="145"/>
    </row>
    <row r="16" spans="1:41" x14ac:dyDescent="0.2">
      <c r="A16" s="60">
        <f>fromKokura+AO16</f>
        <v>0.74810723463735651</v>
      </c>
      <c r="B16" s="61" t="str">
        <f>IF(C2=4,"|!{+徳　山}","ただいま{+"&amp;D16&amp;"駅}を通過。Passing {+"&amp;D17&amp;"} station.")</f>
        <v>ただいま{+徳山駅}を通過。Passing {+Tokuyama} station.</v>
      </c>
      <c r="C16" s="174">
        <f>HLOOKUP(selector,table,16,FALSE)</f>
        <v>0</v>
      </c>
      <c r="D16" s="73" t="s">
        <v>29</v>
      </c>
      <c r="E16" s="115"/>
      <c r="F16" s="115"/>
      <c r="G16" s="114">
        <v>0.31111111111111112</v>
      </c>
      <c r="H16" s="114">
        <v>0.33194444444444443</v>
      </c>
      <c r="I16" s="115"/>
      <c r="J16" s="114">
        <v>0.36319444444444443</v>
      </c>
      <c r="K16" s="111"/>
      <c r="L16" s="115"/>
      <c r="M16" s="111"/>
      <c r="N16" s="111"/>
      <c r="O16" s="115"/>
      <c r="P16" s="111"/>
      <c r="Q16" s="115"/>
      <c r="R16" s="111"/>
      <c r="S16" s="115"/>
      <c r="T16" s="111"/>
      <c r="U16" s="68"/>
      <c r="V16" s="109"/>
      <c r="W16" s="68"/>
      <c r="X16" s="109"/>
      <c r="Y16" s="109"/>
      <c r="Z16" s="68"/>
      <c r="AA16" s="107"/>
      <c r="AB16" s="114">
        <v>0.66527777777777775</v>
      </c>
      <c r="AC16" s="68"/>
      <c r="AD16" s="107"/>
      <c r="AE16" s="114">
        <v>0.70694444444444438</v>
      </c>
      <c r="AF16" s="68"/>
      <c r="AG16" s="107"/>
      <c r="AH16" s="109"/>
      <c r="AI16" s="68"/>
      <c r="AJ16" s="107"/>
      <c r="AK16" s="109"/>
      <c r="AL16" s="68"/>
      <c r="AM16" s="67"/>
      <c r="AN16" s="121">
        <v>41.01</v>
      </c>
      <c r="AO16" s="122">
        <f>SUM(AN8:AN16)/SUM(AN8:AN21)*(toHiroshima-fromKokura)</f>
        <v>1.8246123526245481E-2</v>
      </c>
    </row>
    <row r="17" spans="1:45" x14ac:dyDescent="0.2">
      <c r="A17" s="60" t="str">
        <f>IF(C2=4,C17,"")</f>
        <v/>
      </c>
      <c r="B17" s="61" t="str">
        <f>IF(C2=4,"|次は　　{+広　島}","")</f>
        <v/>
      </c>
      <c r="C17" s="174">
        <f>HLOOKUP(selector,table,17,FALSE)</f>
        <v>0</v>
      </c>
      <c r="D17" s="74" t="s">
        <v>108</v>
      </c>
      <c r="E17" s="163"/>
      <c r="F17" s="163"/>
      <c r="G17" s="151">
        <v>0.31180555555555556</v>
      </c>
      <c r="H17" s="151">
        <v>0.33263888888888887</v>
      </c>
      <c r="I17" s="163"/>
      <c r="J17" s="151">
        <v>0.36388888888888887</v>
      </c>
      <c r="K17" s="161"/>
      <c r="L17" s="163"/>
      <c r="M17" s="161"/>
      <c r="N17" s="161"/>
      <c r="O17" s="163"/>
      <c r="P17" s="161"/>
      <c r="Q17" s="163"/>
      <c r="R17" s="161"/>
      <c r="S17" s="163"/>
      <c r="T17" s="161"/>
      <c r="U17" s="149"/>
      <c r="V17" s="150"/>
      <c r="W17" s="149"/>
      <c r="X17" s="150"/>
      <c r="Y17" s="150"/>
      <c r="Z17" s="149"/>
      <c r="AA17" s="146"/>
      <c r="AB17" s="151">
        <v>0.66597222222222219</v>
      </c>
      <c r="AC17" s="149"/>
      <c r="AD17" s="146"/>
      <c r="AE17" s="151">
        <v>0.70763888888888893</v>
      </c>
      <c r="AF17" s="149"/>
      <c r="AG17" s="146"/>
      <c r="AH17" s="150"/>
      <c r="AI17" s="149"/>
      <c r="AJ17" s="146"/>
      <c r="AK17" s="150"/>
      <c r="AL17" s="149"/>
      <c r="AM17" s="152"/>
      <c r="AN17" s="127"/>
      <c r="AO17" s="128"/>
    </row>
    <row r="18" spans="1:45" s="72" customFormat="1" x14ac:dyDescent="0.2">
      <c r="A18" s="18">
        <f>fromKokura+AO18</f>
        <v>0.75445718515045757</v>
      </c>
      <c r="B18" s="129" t="str">
        <f>"ただいま{+"&amp;D18&amp;"駅}を通過。Passing {+"&amp;D19&amp;"} station."</f>
        <v>ただいま{+新岩国駅}を通過。Passing {+Shin-Iwakuni} station.</v>
      </c>
      <c r="C18" s="174"/>
      <c r="D18" s="159" t="s">
        <v>109</v>
      </c>
      <c r="E18" s="138"/>
      <c r="F18" s="138"/>
      <c r="G18" s="157"/>
      <c r="H18" s="157"/>
      <c r="I18" s="138"/>
      <c r="J18" s="157"/>
      <c r="K18" s="137"/>
      <c r="L18" s="138"/>
      <c r="M18" s="137"/>
      <c r="N18" s="137"/>
      <c r="O18" s="138"/>
      <c r="P18" s="137"/>
      <c r="Q18" s="138"/>
      <c r="R18" s="137"/>
      <c r="S18" s="138"/>
      <c r="T18" s="137"/>
      <c r="U18" s="142"/>
      <c r="V18" s="156"/>
      <c r="W18" s="142"/>
      <c r="X18" s="156"/>
      <c r="Y18" s="156"/>
      <c r="Z18" s="142"/>
      <c r="AA18" s="153"/>
      <c r="AB18" s="157"/>
      <c r="AC18" s="142"/>
      <c r="AD18" s="153"/>
      <c r="AE18" s="157"/>
      <c r="AF18" s="142"/>
      <c r="AG18" s="153"/>
      <c r="AH18" s="156"/>
      <c r="AI18" s="142"/>
      <c r="AJ18" s="153"/>
      <c r="AK18" s="156"/>
      <c r="AL18" s="142"/>
      <c r="AM18" s="158"/>
      <c r="AN18" s="144">
        <v>38.159999999999997</v>
      </c>
      <c r="AO18" s="145">
        <f>SUM(AN8:AN18)/SUM(AN8:AN21)*(toHiroshima-fromKokura)</f>
        <v>2.4596074039346511E-2</v>
      </c>
      <c r="AP18" s="71"/>
      <c r="AQ18" s="71"/>
      <c r="AR18" s="71"/>
      <c r="AS18" s="71"/>
    </row>
    <row r="19" spans="1:45" s="72" customFormat="1" x14ac:dyDescent="0.2">
      <c r="A19" s="18"/>
      <c r="B19" s="129"/>
      <c r="C19" s="174"/>
      <c r="D19" s="93" t="s">
        <v>110</v>
      </c>
      <c r="E19" s="163"/>
      <c r="F19" s="163"/>
      <c r="G19" s="151"/>
      <c r="H19" s="151"/>
      <c r="I19" s="163"/>
      <c r="J19" s="151"/>
      <c r="K19" s="161"/>
      <c r="L19" s="163"/>
      <c r="M19" s="161"/>
      <c r="N19" s="161"/>
      <c r="O19" s="163"/>
      <c r="P19" s="161"/>
      <c r="Q19" s="163"/>
      <c r="R19" s="161"/>
      <c r="S19" s="163"/>
      <c r="T19" s="161"/>
      <c r="U19" s="149"/>
      <c r="V19" s="150"/>
      <c r="W19" s="149"/>
      <c r="X19" s="150"/>
      <c r="Y19" s="150"/>
      <c r="Z19" s="149"/>
      <c r="AA19" s="146"/>
      <c r="AB19" s="151"/>
      <c r="AC19" s="149"/>
      <c r="AD19" s="146"/>
      <c r="AE19" s="151"/>
      <c r="AF19" s="149"/>
      <c r="AG19" s="146"/>
      <c r="AH19" s="150"/>
      <c r="AI19" s="149"/>
      <c r="AJ19" s="146"/>
      <c r="AK19" s="150"/>
      <c r="AL19" s="149"/>
      <c r="AM19" s="152"/>
      <c r="AN19" s="127"/>
      <c r="AO19" s="128"/>
      <c r="AP19" s="71"/>
      <c r="AQ19" s="71"/>
      <c r="AR19" s="71"/>
      <c r="AS19" s="71"/>
    </row>
    <row r="20" spans="1:45" ht="85.5" x14ac:dyDescent="0.2">
      <c r="A20" s="18">
        <f>C21-beforehand</f>
        <v>0.7597222222222223</v>
      </c>
      <c r="B20" s="129" t="str">
        <f>"!まもなく{+広島}です。{+山陽線}、{+呉線}、{+可部線}、{+芸備線}はお乗り換えです。お降りの時は足元にご注意ください。今日も新幹線をご利用くださいましてありがとうございました。{+広島}を出ますと、次は"&amp;IF(C2=1,"{+福山}","{+岡山}")&amp;"に停まります。"&amp;"We will soon make a brief stop at {+Hiroshima}."&amp;" Passengers going to the {+Sanyo}, {+Kure}, {+Kabe}, and {+Geibi lines}, please change trains here at {+Hiroshima}. We will depart shortly after arriving at {+Hiroshima}, so please be ready to get off before the train stops. Thank you."</f>
        <v>!まもなく{+広島}です。{+山陽線}、{+呉線}、{+可部線}、{+芸備線}はお乗り換えです。お降りの時は足元にご注意ください。今日も新幹線をご利用くださいましてありがとうございました。{+広島}を出ますと、次は{+福山}に停まります。We will soon make a brief stop at {+Hiroshima}. Passengers going to the {+Sanyo}, {+Kure}, {+Kabe}, and {+Geibi lines}, please change trains here at {+Hiroshima}. We will depart shortly after arriving at {+Hiroshima}, so please be ready to get off before the train stops. Thank you.</v>
      </c>
      <c r="C20" s="174"/>
      <c r="D20" s="136"/>
      <c r="E20" s="138"/>
      <c r="F20" s="138"/>
      <c r="G20" s="157"/>
      <c r="H20" s="157"/>
      <c r="I20" s="138"/>
      <c r="J20" s="157"/>
      <c r="K20" s="137"/>
      <c r="L20" s="138"/>
      <c r="M20" s="137"/>
      <c r="N20" s="137"/>
      <c r="O20" s="138"/>
      <c r="P20" s="137"/>
      <c r="Q20" s="138"/>
      <c r="R20" s="137"/>
      <c r="S20" s="138"/>
      <c r="T20" s="137"/>
      <c r="U20" s="142"/>
      <c r="V20" s="156"/>
      <c r="W20" s="142"/>
      <c r="X20" s="156"/>
      <c r="Y20" s="156"/>
      <c r="Z20" s="142"/>
      <c r="AA20" s="153"/>
      <c r="AB20" s="157"/>
      <c r="AC20" s="142"/>
      <c r="AD20" s="153"/>
      <c r="AE20" s="157"/>
      <c r="AF20" s="142"/>
      <c r="AG20" s="153"/>
      <c r="AH20" s="156"/>
      <c r="AI20" s="142"/>
      <c r="AJ20" s="153"/>
      <c r="AK20" s="156"/>
      <c r="AL20" s="142"/>
      <c r="AM20" s="158"/>
      <c r="AN20" s="144"/>
      <c r="AO20" s="145"/>
    </row>
    <row r="21" spans="1:45" x14ac:dyDescent="0.2">
      <c r="A21" s="18">
        <f>toHiroshima</f>
        <v>0.76180555555555562</v>
      </c>
      <c r="B21" s="129" t="s">
        <v>145</v>
      </c>
      <c r="C21" s="174">
        <f>HLOOKUP(selector,table,21,FALSE)</f>
        <v>0.76180555555555562</v>
      </c>
      <c r="D21" s="99" t="s">
        <v>28</v>
      </c>
      <c r="E21" s="116">
        <v>0.29652777777777778</v>
      </c>
      <c r="F21" s="116">
        <v>0.32083333333333336</v>
      </c>
      <c r="G21" s="114">
        <v>0.3263888888888889</v>
      </c>
      <c r="H21" s="114">
        <v>0.34791666666666665</v>
      </c>
      <c r="I21" s="116">
        <v>0.36249999999999999</v>
      </c>
      <c r="J21" s="114">
        <v>0.37916666666666665</v>
      </c>
      <c r="K21" s="112">
        <v>0.38680555555555557</v>
      </c>
      <c r="L21" s="116">
        <v>0.40416666666666662</v>
      </c>
      <c r="M21" s="112">
        <v>0.42430555555555555</v>
      </c>
      <c r="N21" s="112">
        <v>0.4284722222222222</v>
      </c>
      <c r="O21" s="116">
        <v>0.4458333333333333</v>
      </c>
      <c r="P21" s="112">
        <v>0.47013888888888888</v>
      </c>
      <c r="Q21" s="116">
        <v>0.48749999999999999</v>
      </c>
      <c r="R21" s="112">
        <v>0.51180555555555551</v>
      </c>
      <c r="S21" s="116">
        <v>0.52916666666666667</v>
      </c>
      <c r="T21" s="112">
        <v>0.55347222222222225</v>
      </c>
      <c r="U21" s="68">
        <v>0.5708333333333333</v>
      </c>
      <c r="V21" s="109">
        <v>0.59513888888888888</v>
      </c>
      <c r="W21" s="68">
        <v>0.61249999999999993</v>
      </c>
      <c r="X21" s="109">
        <v>0.63263888888888886</v>
      </c>
      <c r="Y21" s="109">
        <v>0.63680555555555551</v>
      </c>
      <c r="Z21" s="68">
        <v>0.65416666666666667</v>
      </c>
      <c r="AA21" s="107">
        <v>0.66805555555555562</v>
      </c>
      <c r="AB21" s="114">
        <v>0.68125000000000002</v>
      </c>
      <c r="AC21" s="68">
        <v>0.6958333333333333</v>
      </c>
      <c r="AD21" s="107">
        <v>0.70972222222222225</v>
      </c>
      <c r="AE21" s="114">
        <v>0.72291666666666676</v>
      </c>
      <c r="AF21" s="68">
        <v>0.73749999999999993</v>
      </c>
      <c r="AG21" s="107">
        <v>0.75138888888888899</v>
      </c>
      <c r="AH21" s="109">
        <v>0.76180555555555562</v>
      </c>
      <c r="AI21" s="68">
        <v>0.77916666666666667</v>
      </c>
      <c r="AJ21" s="107">
        <v>0.79513888888888884</v>
      </c>
      <c r="AK21" s="109">
        <v>0.80555555555555547</v>
      </c>
      <c r="AL21" s="68">
        <v>0.8208333333333333</v>
      </c>
      <c r="AM21" s="67">
        <v>0.8340277777777777</v>
      </c>
      <c r="AN21" s="121">
        <v>44.16</v>
      </c>
      <c r="AO21" s="122">
        <f>SUM(AN8:AN21)/SUM(AN8:AN21)*(toHiroshima-fromKokura)</f>
        <v>3.1944444444444553E-2</v>
      </c>
    </row>
    <row r="22" spans="1:45" x14ac:dyDescent="0.2">
      <c r="A22" s="18">
        <f>fromHiroshima</f>
        <v>0.76250000000000007</v>
      </c>
      <c r="B22" s="129" t="str">
        <f>"|次は　　"&amp;IF(C2=1,"{+福山}","{+岡山}")</f>
        <v>|次は　　{+福山}</v>
      </c>
      <c r="C22" s="174">
        <f>HLOOKUP(selector,table,22,FALSE)</f>
        <v>0.76250000000000007</v>
      </c>
      <c r="D22" s="78" t="s">
        <v>111</v>
      </c>
      <c r="E22" s="148">
        <v>0.29722222222222222</v>
      </c>
      <c r="F22" s="148">
        <v>0.3215277777777778</v>
      </c>
      <c r="G22" s="151">
        <v>0.32708333333333334</v>
      </c>
      <c r="H22" s="151">
        <v>0.34861111111111115</v>
      </c>
      <c r="I22" s="148">
        <v>0.36319444444444443</v>
      </c>
      <c r="J22" s="151">
        <v>0.37986111111111115</v>
      </c>
      <c r="K22" s="147">
        <v>0.38750000000000001</v>
      </c>
      <c r="L22" s="148">
        <v>0.40486111111111112</v>
      </c>
      <c r="M22" s="147">
        <v>0.42499999999999999</v>
      </c>
      <c r="N22" s="147">
        <v>0.4291666666666667</v>
      </c>
      <c r="O22" s="148">
        <v>0.4465277777777778</v>
      </c>
      <c r="P22" s="147">
        <v>0.47083333333333338</v>
      </c>
      <c r="Q22" s="148">
        <v>0.48819444444444443</v>
      </c>
      <c r="R22" s="147">
        <v>0.51250000000000007</v>
      </c>
      <c r="S22" s="148">
        <v>0.52986111111111112</v>
      </c>
      <c r="T22" s="147">
        <v>0.5541666666666667</v>
      </c>
      <c r="U22" s="149">
        <v>0.57152777777777775</v>
      </c>
      <c r="V22" s="150">
        <v>0.59583333333333333</v>
      </c>
      <c r="W22" s="149">
        <v>0.61319444444444449</v>
      </c>
      <c r="X22" s="150">
        <v>0.6333333333333333</v>
      </c>
      <c r="Y22" s="150">
        <v>0.63750000000000007</v>
      </c>
      <c r="Z22" s="149">
        <v>0.65486111111111112</v>
      </c>
      <c r="AA22" s="146">
        <v>0.66875000000000007</v>
      </c>
      <c r="AB22" s="151">
        <v>0.68194444444444446</v>
      </c>
      <c r="AC22" s="149">
        <v>0.69652777777777775</v>
      </c>
      <c r="AD22" s="146">
        <v>0.7104166666666667</v>
      </c>
      <c r="AE22" s="151">
        <v>0.72361111111111109</v>
      </c>
      <c r="AF22" s="149">
        <v>0.73819444444444438</v>
      </c>
      <c r="AG22" s="146">
        <v>0.75208333333333333</v>
      </c>
      <c r="AH22" s="150">
        <v>0.76250000000000007</v>
      </c>
      <c r="AI22" s="149">
        <v>0.77986111111111101</v>
      </c>
      <c r="AJ22" s="146">
        <v>0.79583333333333339</v>
      </c>
      <c r="AK22" s="150">
        <v>0.80625000000000002</v>
      </c>
      <c r="AL22" s="149">
        <v>0.82152777777777775</v>
      </c>
      <c r="AM22" s="152">
        <v>0.83472222222222225</v>
      </c>
      <c r="AN22" s="127"/>
      <c r="AO22" s="128"/>
    </row>
    <row r="23" spans="1:45" s="77" customFormat="1" x14ac:dyDescent="0.2">
      <c r="A23" s="18">
        <f>fromHiroshima+AO23</f>
        <v>0.76797349530646053</v>
      </c>
      <c r="B23" s="129" t="str">
        <f>"ただいま{+"&amp;D23&amp;"駅}を通過。Passing {+"&amp;D24&amp;"} station."</f>
        <v>ただいま{+東広島駅}を通過。Passing {+Higashi-Hiroshima} station.</v>
      </c>
      <c r="C23" s="174"/>
      <c r="D23" s="159" t="s">
        <v>112</v>
      </c>
      <c r="E23" s="155"/>
      <c r="F23" s="155"/>
      <c r="G23" s="157"/>
      <c r="H23" s="157"/>
      <c r="I23" s="155"/>
      <c r="J23" s="157"/>
      <c r="K23" s="154"/>
      <c r="L23" s="155"/>
      <c r="M23" s="154"/>
      <c r="N23" s="154"/>
      <c r="O23" s="155"/>
      <c r="P23" s="154"/>
      <c r="Q23" s="155"/>
      <c r="R23" s="154"/>
      <c r="S23" s="155"/>
      <c r="T23" s="154"/>
      <c r="U23" s="142"/>
      <c r="V23" s="156"/>
      <c r="W23" s="142"/>
      <c r="X23" s="156"/>
      <c r="Y23" s="156"/>
      <c r="Z23" s="142"/>
      <c r="AA23" s="153"/>
      <c r="AB23" s="157"/>
      <c r="AC23" s="142"/>
      <c r="AD23" s="153"/>
      <c r="AE23" s="157"/>
      <c r="AF23" s="142"/>
      <c r="AG23" s="153"/>
      <c r="AH23" s="156"/>
      <c r="AI23" s="142"/>
      <c r="AJ23" s="153"/>
      <c r="AK23" s="156"/>
      <c r="AL23" s="142"/>
      <c r="AM23" s="158"/>
      <c r="AN23" s="144">
        <v>29.28</v>
      </c>
      <c r="AO23" s="145">
        <f>SUM(AN23:AN23)/SUM(AN23:AN35)*(toOkayama-fromHiroshima)</f>
        <v>5.4734953064605003E-3</v>
      </c>
      <c r="AP23" s="76"/>
      <c r="AQ23" s="76"/>
      <c r="AR23" s="76"/>
      <c r="AS23" s="76"/>
    </row>
    <row r="24" spans="1:45" s="77" customFormat="1" x14ac:dyDescent="0.2">
      <c r="A24" s="18"/>
      <c r="B24" s="129"/>
      <c r="C24" s="174"/>
      <c r="D24" s="93" t="s">
        <v>113</v>
      </c>
      <c r="E24" s="148"/>
      <c r="F24" s="148"/>
      <c r="G24" s="151"/>
      <c r="H24" s="151"/>
      <c r="I24" s="148"/>
      <c r="J24" s="151"/>
      <c r="K24" s="147"/>
      <c r="L24" s="148"/>
      <c r="M24" s="147"/>
      <c r="N24" s="147"/>
      <c r="O24" s="148"/>
      <c r="P24" s="147"/>
      <c r="Q24" s="148"/>
      <c r="R24" s="147"/>
      <c r="S24" s="148"/>
      <c r="T24" s="147"/>
      <c r="U24" s="149"/>
      <c r="V24" s="150"/>
      <c r="W24" s="149"/>
      <c r="X24" s="150"/>
      <c r="Y24" s="150"/>
      <c r="Z24" s="149"/>
      <c r="AA24" s="146"/>
      <c r="AB24" s="151"/>
      <c r="AC24" s="149"/>
      <c r="AD24" s="146"/>
      <c r="AE24" s="151"/>
      <c r="AF24" s="149"/>
      <c r="AG24" s="146"/>
      <c r="AH24" s="150"/>
      <c r="AI24" s="149"/>
      <c r="AJ24" s="146"/>
      <c r="AK24" s="150"/>
      <c r="AL24" s="149"/>
      <c r="AM24" s="152"/>
      <c r="AN24" s="127"/>
      <c r="AO24" s="128"/>
      <c r="AP24" s="76"/>
      <c r="AQ24" s="76"/>
      <c r="AR24" s="76"/>
      <c r="AS24" s="76"/>
    </row>
    <row r="25" spans="1:45" s="77" customFormat="1" x14ac:dyDescent="0.2">
      <c r="A25" s="18">
        <f>fromHiroshima+AO25</f>
        <v>0.77375730489600592</v>
      </c>
      <c r="B25" s="129" t="str">
        <f>"ただいま{+"&amp;D25&amp;"駅}を通過。Passing {+"&amp;D26&amp;"} station."</f>
        <v>ただいま{+三原駅}を通過。Passing {+Mihara} station.</v>
      </c>
      <c r="C25" s="174"/>
      <c r="D25" s="159" t="s">
        <v>27</v>
      </c>
      <c r="E25" s="155"/>
      <c r="F25" s="155"/>
      <c r="G25" s="157"/>
      <c r="H25" s="157"/>
      <c r="I25" s="155"/>
      <c r="J25" s="157"/>
      <c r="K25" s="154"/>
      <c r="L25" s="155"/>
      <c r="M25" s="154"/>
      <c r="N25" s="154"/>
      <c r="O25" s="155"/>
      <c r="P25" s="154"/>
      <c r="Q25" s="155"/>
      <c r="R25" s="154"/>
      <c r="S25" s="155"/>
      <c r="T25" s="154"/>
      <c r="U25" s="142"/>
      <c r="V25" s="156"/>
      <c r="W25" s="142"/>
      <c r="X25" s="156"/>
      <c r="Y25" s="156"/>
      <c r="Z25" s="142"/>
      <c r="AA25" s="153"/>
      <c r="AB25" s="157"/>
      <c r="AC25" s="142"/>
      <c r="AD25" s="153"/>
      <c r="AE25" s="157"/>
      <c r="AF25" s="142"/>
      <c r="AG25" s="153"/>
      <c r="AH25" s="156"/>
      <c r="AI25" s="142"/>
      <c r="AJ25" s="153"/>
      <c r="AK25" s="156"/>
      <c r="AL25" s="142"/>
      <c r="AM25" s="158"/>
      <c r="AN25" s="144">
        <v>30.94</v>
      </c>
      <c r="AO25" s="145">
        <f>SUM(AN23:AN25)/SUM(AN23:AN35)*(toOkayama-fromHiroshima)</f>
        <v>1.125730489600585E-2</v>
      </c>
      <c r="AP25" s="76"/>
      <c r="AQ25" s="76"/>
      <c r="AR25" s="76"/>
      <c r="AS25" s="76"/>
    </row>
    <row r="26" spans="1:45" s="77" customFormat="1" x14ac:dyDescent="0.2">
      <c r="A26" s="18"/>
      <c r="B26" s="129"/>
      <c r="C26" s="174"/>
      <c r="D26" s="93" t="s">
        <v>114</v>
      </c>
      <c r="E26" s="148"/>
      <c r="F26" s="148"/>
      <c r="G26" s="151"/>
      <c r="H26" s="151"/>
      <c r="I26" s="148"/>
      <c r="J26" s="151"/>
      <c r="K26" s="147"/>
      <c r="L26" s="148"/>
      <c r="M26" s="147"/>
      <c r="N26" s="147"/>
      <c r="O26" s="148"/>
      <c r="P26" s="147"/>
      <c r="Q26" s="148"/>
      <c r="R26" s="147"/>
      <c r="S26" s="148"/>
      <c r="T26" s="147"/>
      <c r="U26" s="149"/>
      <c r="V26" s="150"/>
      <c r="W26" s="149"/>
      <c r="X26" s="150"/>
      <c r="Y26" s="150"/>
      <c r="Z26" s="149"/>
      <c r="AA26" s="146"/>
      <c r="AB26" s="151"/>
      <c r="AC26" s="149"/>
      <c r="AD26" s="146"/>
      <c r="AE26" s="151"/>
      <c r="AF26" s="149"/>
      <c r="AG26" s="146"/>
      <c r="AH26" s="150"/>
      <c r="AI26" s="149"/>
      <c r="AJ26" s="146"/>
      <c r="AK26" s="150"/>
      <c r="AL26" s="149"/>
      <c r="AM26" s="152"/>
      <c r="AN26" s="127"/>
      <c r="AO26" s="128"/>
      <c r="AP26" s="76"/>
      <c r="AQ26" s="76"/>
      <c r="AR26" s="76"/>
      <c r="AS26" s="76"/>
    </row>
    <row r="27" spans="1:45" s="77" customFormat="1" x14ac:dyDescent="0.2">
      <c r="A27" s="18">
        <f>fromHiroshima+AO27</f>
        <v>0.77572948302043077</v>
      </c>
      <c r="B27" s="129" t="str">
        <f>"ただいま{+"&amp;D27&amp;"駅}を通過。Passing {+"&amp;D28&amp;"} station."</f>
        <v>ただいま{+新尾道駅}を通過。Passing {+Shin-Onomichi} station.</v>
      </c>
      <c r="C27" s="174"/>
      <c r="D27" s="159" t="s">
        <v>115</v>
      </c>
      <c r="E27" s="155"/>
      <c r="F27" s="155"/>
      <c r="G27" s="157"/>
      <c r="H27" s="157"/>
      <c r="I27" s="155"/>
      <c r="J27" s="157"/>
      <c r="K27" s="154"/>
      <c r="L27" s="155"/>
      <c r="M27" s="154"/>
      <c r="N27" s="154"/>
      <c r="O27" s="155"/>
      <c r="P27" s="154"/>
      <c r="Q27" s="155"/>
      <c r="R27" s="154"/>
      <c r="S27" s="155"/>
      <c r="T27" s="154"/>
      <c r="U27" s="142"/>
      <c r="V27" s="156"/>
      <c r="W27" s="142"/>
      <c r="X27" s="156"/>
      <c r="Y27" s="156"/>
      <c r="Z27" s="142"/>
      <c r="AA27" s="153"/>
      <c r="AB27" s="157"/>
      <c r="AC27" s="142"/>
      <c r="AD27" s="153"/>
      <c r="AE27" s="157"/>
      <c r="AF27" s="142"/>
      <c r="AG27" s="153"/>
      <c r="AH27" s="156"/>
      <c r="AI27" s="142"/>
      <c r="AJ27" s="153"/>
      <c r="AK27" s="156"/>
      <c r="AL27" s="142"/>
      <c r="AM27" s="158"/>
      <c r="AN27" s="144">
        <v>10.55</v>
      </c>
      <c r="AO27" s="145">
        <f>SUM(AN23:AN27)/SUM(AN23:AN35)*(toOkayama-fromHiroshima)</f>
        <v>1.3229483020430654E-2</v>
      </c>
      <c r="AP27" s="76"/>
      <c r="AQ27" s="76"/>
      <c r="AR27" s="76"/>
      <c r="AS27" s="76"/>
    </row>
    <row r="28" spans="1:45" s="77" customFormat="1" x14ac:dyDescent="0.2">
      <c r="A28" s="18"/>
      <c r="B28" s="129"/>
      <c r="C28" s="174"/>
      <c r="D28" s="93" t="s">
        <v>116</v>
      </c>
      <c r="E28" s="148"/>
      <c r="F28" s="148"/>
      <c r="G28" s="151"/>
      <c r="H28" s="151"/>
      <c r="I28" s="148"/>
      <c r="J28" s="151"/>
      <c r="K28" s="147"/>
      <c r="L28" s="148"/>
      <c r="M28" s="147"/>
      <c r="N28" s="147"/>
      <c r="O28" s="148"/>
      <c r="P28" s="147"/>
      <c r="Q28" s="148"/>
      <c r="R28" s="147"/>
      <c r="S28" s="148"/>
      <c r="T28" s="147"/>
      <c r="U28" s="149"/>
      <c r="V28" s="150"/>
      <c r="W28" s="149"/>
      <c r="X28" s="150"/>
      <c r="Y28" s="150"/>
      <c r="Z28" s="149"/>
      <c r="AA28" s="146"/>
      <c r="AB28" s="151"/>
      <c r="AC28" s="149"/>
      <c r="AD28" s="146"/>
      <c r="AE28" s="151"/>
      <c r="AF28" s="149"/>
      <c r="AG28" s="146"/>
      <c r="AH28" s="150"/>
      <c r="AI28" s="149"/>
      <c r="AJ28" s="146"/>
      <c r="AK28" s="150"/>
      <c r="AL28" s="149"/>
      <c r="AM28" s="152"/>
      <c r="AN28" s="127"/>
      <c r="AO28" s="128"/>
      <c r="AP28" s="76"/>
      <c r="AQ28" s="76"/>
      <c r="AR28" s="76"/>
      <c r="AS28" s="76"/>
    </row>
    <row r="29" spans="1:45" ht="71.25" x14ac:dyDescent="0.2">
      <c r="A29" s="58">
        <f>IF(C2=1,C30-beforehand,"")</f>
        <v>0.77638888888888891</v>
      </c>
      <c r="B29" s="132" t="str">
        <f>IF(C2=1,"まもなく{+福山}です。お出口は、左側です。{+山陽線}、{+福塩線}はお乗り換えです。お降りの時は足元にご注意ください。{+福山}を出ますと、次は{+岡山}に停まります。"&amp;"We will soon make a brief stop at {+Fukuyama}. "&amp;"Passengers going to the {+Sanyo} and {+Fukuen lines}, please change trains here at {+Fukuayama}. We will depart shortly after arriving at {+Fukuyama}, so please be ready to get off before the train stops. Thank you.","")</f>
        <v>まもなく{+福山}です。お出口は、左側です。{+山陽線}、{+福塩線}はお乗り換えです。お降りの時は足元にご注意ください。{+福山}を出ますと、次は{+岡山}に停まります。We will soon make a brief stop at {+Fukuyama}. Passengers going to the {+Sanyo} and {+Fukuen lines}, please change trains here at {+Fukuayama}. We will depart shortly after arriving at {+Fukuyama}, so please be ready to get off before the train stops. Thank you.</v>
      </c>
      <c r="C29" s="174"/>
      <c r="D29" s="164"/>
      <c r="E29" s="155"/>
      <c r="F29" s="155"/>
      <c r="G29" s="157"/>
      <c r="H29" s="157"/>
      <c r="I29" s="155"/>
      <c r="J29" s="157"/>
      <c r="K29" s="154"/>
      <c r="L29" s="155"/>
      <c r="M29" s="154"/>
      <c r="N29" s="154"/>
      <c r="O29" s="155"/>
      <c r="P29" s="154"/>
      <c r="Q29" s="155"/>
      <c r="R29" s="154"/>
      <c r="S29" s="155"/>
      <c r="T29" s="154"/>
      <c r="U29" s="142"/>
      <c r="V29" s="156"/>
      <c r="W29" s="142"/>
      <c r="X29" s="156"/>
      <c r="Y29" s="156"/>
      <c r="Z29" s="142"/>
      <c r="AA29" s="153"/>
      <c r="AB29" s="157"/>
      <c r="AC29" s="142"/>
      <c r="AD29" s="153"/>
      <c r="AE29" s="157"/>
      <c r="AF29" s="142"/>
      <c r="AG29" s="153"/>
      <c r="AH29" s="156"/>
      <c r="AI29" s="142"/>
      <c r="AJ29" s="153"/>
      <c r="AK29" s="156"/>
      <c r="AL29" s="142"/>
      <c r="AM29" s="158"/>
      <c r="AN29" s="165"/>
      <c r="AO29" s="166"/>
    </row>
    <row r="30" spans="1:45" x14ac:dyDescent="0.2">
      <c r="A30" s="58">
        <f>fromHiroshima+AO30</f>
        <v>0.77897843617706608</v>
      </c>
      <c r="B30" s="132" t="str">
        <f>IF(C2=1,"|!{+福　山}","ただいま{+"&amp;D30&amp;"駅}を通過。Passing {+"&amp;D31&amp;"} station.")</f>
        <v>|!{+福　山}</v>
      </c>
      <c r="C30" s="174">
        <f>HLOOKUP(selector,table,30,FALSE)</f>
        <v>0.77847222222222223</v>
      </c>
      <c r="D30" s="81" t="s">
        <v>26</v>
      </c>
      <c r="E30" s="115"/>
      <c r="F30" s="115"/>
      <c r="G30" s="114"/>
      <c r="H30" s="114"/>
      <c r="I30" s="115"/>
      <c r="J30" s="114"/>
      <c r="K30" s="112">
        <v>0.40347222222222223</v>
      </c>
      <c r="L30" s="115"/>
      <c r="M30" s="112">
        <v>0.44027777777777777</v>
      </c>
      <c r="N30" s="112">
        <v>0.44513888888888892</v>
      </c>
      <c r="O30" s="115"/>
      <c r="P30" s="112">
        <v>0.48680555555555555</v>
      </c>
      <c r="Q30" s="115"/>
      <c r="R30" s="112">
        <v>0.52847222222222223</v>
      </c>
      <c r="S30" s="115"/>
      <c r="T30" s="112">
        <v>0.57013888888888886</v>
      </c>
      <c r="U30" s="68"/>
      <c r="V30" s="109">
        <v>0.6118055555555556</v>
      </c>
      <c r="W30" s="68"/>
      <c r="X30" s="109">
        <v>0.64861111111111114</v>
      </c>
      <c r="Y30" s="109">
        <v>0.65347222222222223</v>
      </c>
      <c r="Z30" s="68"/>
      <c r="AA30" s="107"/>
      <c r="AB30" s="114"/>
      <c r="AC30" s="68"/>
      <c r="AD30" s="107"/>
      <c r="AE30" s="114"/>
      <c r="AF30" s="68"/>
      <c r="AG30" s="107">
        <v>0.77708333333333324</v>
      </c>
      <c r="AH30" s="109">
        <v>0.77847222222222223</v>
      </c>
      <c r="AI30" s="68"/>
      <c r="AJ30" s="107"/>
      <c r="AK30" s="109">
        <v>0.8222222222222223</v>
      </c>
      <c r="AL30" s="68"/>
      <c r="AM30" s="67"/>
      <c r="AN30" s="121">
        <v>17.38</v>
      </c>
      <c r="AO30" s="122">
        <f>SUM(AN23:AN30)/SUM(AN23:AN35)*(toOkayama-fromHiroshima)</f>
        <v>1.6478436177066017E-2</v>
      </c>
    </row>
    <row r="31" spans="1:45" x14ac:dyDescent="0.2">
      <c r="A31" s="58">
        <f>IF(C2=1,C31,"")</f>
        <v>0.77916666666666667</v>
      </c>
      <c r="B31" s="132" t="str">
        <f>IF(C2=1,"|次は　　{+岡　山}","")</f>
        <v>|次は　　{+岡　山}</v>
      </c>
      <c r="C31" s="174">
        <f>HLOOKUP(selector,table,31,FALSE)</f>
        <v>0.77916666666666667</v>
      </c>
      <c r="D31" s="82" t="s">
        <v>117</v>
      </c>
      <c r="E31" s="163"/>
      <c r="F31" s="163"/>
      <c r="G31" s="151"/>
      <c r="H31" s="151"/>
      <c r="I31" s="163"/>
      <c r="J31" s="151"/>
      <c r="K31" s="147">
        <v>0.40416666666666662</v>
      </c>
      <c r="L31" s="163"/>
      <c r="M31" s="147">
        <v>0.44097222222222227</v>
      </c>
      <c r="N31" s="147">
        <v>0.4458333333333333</v>
      </c>
      <c r="O31" s="163"/>
      <c r="P31" s="147">
        <v>0.48749999999999999</v>
      </c>
      <c r="Q31" s="163"/>
      <c r="R31" s="147">
        <v>0.52916666666666667</v>
      </c>
      <c r="S31" s="163"/>
      <c r="T31" s="147">
        <v>0.5708333333333333</v>
      </c>
      <c r="U31" s="149"/>
      <c r="V31" s="150">
        <v>0.61249999999999993</v>
      </c>
      <c r="W31" s="149"/>
      <c r="X31" s="150">
        <v>0.64930555555555558</v>
      </c>
      <c r="Y31" s="150">
        <v>0.65416666666666667</v>
      </c>
      <c r="Z31" s="149"/>
      <c r="AA31" s="146"/>
      <c r="AB31" s="151"/>
      <c r="AC31" s="149"/>
      <c r="AD31" s="146"/>
      <c r="AE31" s="151"/>
      <c r="AF31" s="149"/>
      <c r="AG31" s="146">
        <v>0.77777777777777779</v>
      </c>
      <c r="AH31" s="150">
        <v>0.77916666666666667</v>
      </c>
      <c r="AI31" s="149"/>
      <c r="AJ31" s="146"/>
      <c r="AK31" s="150">
        <v>0.82291666666666663</v>
      </c>
      <c r="AL31" s="149"/>
      <c r="AM31" s="152"/>
      <c r="AN31" s="127"/>
      <c r="AO31" s="128"/>
    </row>
    <row r="32" spans="1:45" s="80" customFormat="1" x14ac:dyDescent="0.2">
      <c r="A32" s="18">
        <f>fromHiroshima+AO32</f>
        <v>0.7847603764034603</v>
      </c>
      <c r="B32" s="129" t="str">
        <f>"ただいま{+"&amp;D32&amp;"駅}を通過。Passing {+"&amp;D33&amp;"} station."</f>
        <v>ただいま{+新倉敷駅}を通過。Passing {+Shin-Kurashiki} station.</v>
      </c>
      <c r="C32" s="174"/>
      <c r="D32" s="159" t="s">
        <v>25</v>
      </c>
      <c r="E32" s="138"/>
      <c r="F32" s="138"/>
      <c r="G32" s="157"/>
      <c r="H32" s="157"/>
      <c r="I32" s="138"/>
      <c r="J32" s="157"/>
      <c r="K32" s="154"/>
      <c r="L32" s="138"/>
      <c r="M32" s="154"/>
      <c r="N32" s="154"/>
      <c r="O32" s="138"/>
      <c r="P32" s="154"/>
      <c r="Q32" s="138"/>
      <c r="R32" s="154"/>
      <c r="S32" s="138"/>
      <c r="T32" s="154"/>
      <c r="U32" s="142"/>
      <c r="V32" s="156"/>
      <c r="W32" s="142"/>
      <c r="X32" s="156"/>
      <c r="Y32" s="156"/>
      <c r="Z32" s="142"/>
      <c r="AA32" s="153"/>
      <c r="AB32" s="157"/>
      <c r="AC32" s="142"/>
      <c r="AD32" s="153"/>
      <c r="AE32" s="157"/>
      <c r="AF32" s="142"/>
      <c r="AG32" s="153"/>
      <c r="AH32" s="156"/>
      <c r="AI32" s="142"/>
      <c r="AJ32" s="153"/>
      <c r="AK32" s="156"/>
      <c r="AL32" s="142"/>
      <c r="AM32" s="158"/>
      <c r="AN32" s="144">
        <v>30.93</v>
      </c>
      <c r="AO32" s="145">
        <f>SUM(AN23:AN32)/SUM(AN23:AN35)*(toOkayama-fromHiroshima)</f>
        <v>2.2260376403460253E-2</v>
      </c>
      <c r="AP32" s="79"/>
      <c r="AQ32" s="79"/>
      <c r="AR32" s="79"/>
      <c r="AS32" s="79"/>
    </row>
    <row r="33" spans="1:45" s="80" customFormat="1" x14ac:dyDescent="0.2">
      <c r="A33" s="18"/>
      <c r="B33" s="129"/>
      <c r="C33" s="174"/>
      <c r="D33" s="93" t="s">
        <v>118</v>
      </c>
      <c r="E33" s="163"/>
      <c r="F33" s="163"/>
      <c r="G33" s="151"/>
      <c r="H33" s="151"/>
      <c r="I33" s="163"/>
      <c r="J33" s="151"/>
      <c r="K33" s="147"/>
      <c r="L33" s="163"/>
      <c r="M33" s="147"/>
      <c r="N33" s="147"/>
      <c r="O33" s="163"/>
      <c r="P33" s="147"/>
      <c r="Q33" s="163"/>
      <c r="R33" s="147"/>
      <c r="S33" s="163"/>
      <c r="T33" s="147"/>
      <c r="U33" s="149"/>
      <c r="V33" s="150"/>
      <c r="W33" s="149"/>
      <c r="X33" s="150"/>
      <c r="Y33" s="150"/>
      <c r="Z33" s="149"/>
      <c r="AA33" s="146"/>
      <c r="AB33" s="151"/>
      <c r="AC33" s="149"/>
      <c r="AD33" s="146"/>
      <c r="AE33" s="151"/>
      <c r="AF33" s="149"/>
      <c r="AG33" s="146"/>
      <c r="AH33" s="150"/>
      <c r="AI33" s="149"/>
      <c r="AJ33" s="146"/>
      <c r="AK33" s="150"/>
      <c r="AL33" s="149"/>
      <c r="AM33" s="152"/>
      <c r="AN33" s="127"/>
      <c r="AO33" s="128"/>
      <c r="AP33" s="79"/>
      <c r="AQ33" s="79"/>
      <c r="AR33" s="79"/>
      <c r="AS33" s="79"/>
    </row>
    <row r="34" spans="1:45" ht="99.75" x14ac:dyDescent="0.2">
      <c r="A34" s="18">
        <f>C35-beforehand</f>
        <v>0.78749999999999998</v>
      </c>
      <c r="B34" s="129" t="str">
        <f>"!まもなく{+岡山}です。{+山陽線}、{+瀬戸大橋線}、{+宇野みなと線}、{+伯備線}、{+津山線}、{+赤穂線}、{+桃太郎線}はお乗り換えです。お降りの時は足元にご注意ください。今日も新幹線をご利用くださいましてありがとうございました。{+岡山}を出ますと、次は"&amp;IF(C2=3,"{+姫路}","{+新神戸}")&amp;"に停まります。"&amp;"We will soon make a brief stop at {+Okayama}. Passengers going to the {+Sanyo}, {+Seto-Ohashi}, {+Uno-Port}, {+Hakubi}, {+Tsuyama}, {+Ako}, and {+Momotaro lines}, please change trains here at {+Okayama}."&amp;" We will depart shortly after arriving at {+Okayama}, so please be ready to get off before the train stops. Thank you."</f>
        <v>!まもなく{+岡山}です。{+山陽線}、{+瀬戸大橋線}、{+宇野みなと線}、{+伯備線}、{+津山線}、{+赤穂線}、{+桃太郎線}はお乗り換えです。お降りの時は足元にご注意ください。今日も新幹線をご利用くださいましてありがとうございました。{+岡山}を出ますと、次は{+新神戸}に停まります。We will soon make a brief stop at {+Okayama}. Passengers going to the {+Sanyo}, {+Seto-Ohashi}, {+Uno-Port}, {+Hakubi}, {+Tsuyama}, {+Ako}, and {+Momotaro lines}, please change trains here at {+Okayama}. We will depart shortly after arriving at {+Okayama}, so please be ready to get off before the train stops. Thank you.</v>
      </c>
      <c r="C34" s="174"/>
      <c r="D34" s="136"/>
      <c r="E34" s="138"/>
      <c r="F34" s="138"/>
      <c r="G34" s="157"/>
      <c r="H34" s="157"/>
      <c r="I34" s="138"/>
      <c r="J34" s="157"/>
      <c r="K34" s="154"/>
      <c r="L34" s="138"/>
      <c r="M34" s="154"/>
      <c r="N34" s="154"/>
      <c r="O34" s="138"/>
      <c r="P34" s="154"/>
      <c r="Q34" s="138"/>
      <c r="R34" s="154"/>
      <c r="S34" s="138"/>
      <c r="T34" s="154"/>
      <c r="U34" s="142"/>
      <c r="V34" s="156"/>
      <c r="W34" s="142"/>
      <c r="X34" s="156"/>
      <c r="Y34" s="156"/>
      <c r="Z34" s="142"/>
      <c r="AA34" s="153"/>
      <c r="AB34" s="157"/>
      <c r="AC34" s="142"/>
      <c r="AD34" s="153"/>
      <c r="AE34" s="157"/>
      <c r="AF34" s="142"/>
      <c r="AG34" s="153"/>
      <c r="AH34" s="156"/>
      <c r="AI34" s="142"/>
      <c r="AJ34" s="153"/>
      <c r="AK34" s="156"/>
      <c r="AL34" s="142"/>
      <c r="AM34" s="158"/>
      <c r="AN34" s="144"/>
      <c r="AO34" s="145"/>
    </row>
    <row r="35" spans="1:45" x14ac:dyDescent="0.2">
      <c r="A35" s="18">
        <f>toOkayama</f>
        <v>0.7895833333333333</v>
      </c>
      <c r="B35" s="129" t="s">
        <v>146</v>
      </c>
      <c r="C35" s="174">
        <f>HLOOKUP(selector,table,35,FALSE)</f>
        <v>0.7895833333333333</v>
      </c>
      <c r="D35" s="99" t="s">
        <v>24</v>
      </c>
      <c r="E35" s="116">
        <v>0.3215277777777778</v>
      </c>
      <c r="F35" s="116">
        <v>0.34652777777777777</v>
      </c>
      <c r="G35" s="114">
        <v>0.3527777777777778</v>
      </c>
      <c r="H35" s="114">
        <v>0.37291666666666662</v>
      </c>
      <c r="I35" s="116">
        <v>0.38819444444444445</v>
      </c>
      <c r="J35" s="114">
        <v>0.40416666666666662</v>
      </c>
      <c r="K35" s="112">
        <v>0.4145833333333333</v>
      </c>
      <c r="L35" s="116">
        <v>0.42986111111111108</v>
      </c>
      <c r="M35" s="112">
        <v>0.45208333333333334</v>
      </c>
      <c r="N35" s="112">
        <v>0.45624999999999999</v>
      </c>
      <c r="O35" s="116">
        <v>0.47152777777777777</v>
      </c>
      <c r="P35" s="112">
        <v>0.49791666666666662</v>
      </c>
      <c r="Q35" s="116">
        <v>0.5131944444444444</v>
      </c>
      <c r="R35" s="112">
        <v>0.5395833333333333</v>
      </c>
      <c r="S35" s="116">
        <v>0.55486111111111114</v>
      </c>
      <c r="T35" s="112">
        <v>0.58124999999999993</v>
      </c>
      <c r="U35" s="68">
        <v>0.59652777777777777</v>
      </c>
      <c r="V35" s="109">
        <v>0.62291666666666667</v>
      </c>
      <c r="W35" s="68">
        <v>0.6381944444444444</v>
      </c>
      <c r="X35" s="109">
        <v>0.66041666666666665</v>
      </c>
      <c r="Y35" s="109">
        <v>0.6645833333333333</v>
      </c>
      <c r="Z35" s="68">
        <v>0.67986111111111114</v>
      </c>
      <c r="AA35" s="107">
        <v>0.69374999999999998</v>
      </c>
      <c r="AB35" s="114">
        <v>0.70624999999999993</v>
      </c>
      <c r="AC35" s="68">
        <v>0.72152777777777777</v>
      </c>
      <c r="AD35" s="107">
        <v>0.73541666666666661</v>
      </c>
      <c r="AE35" s="114">
        <v>0.74791666666666667</v>
      </c>
      <c r="AF35" s="68">
        <v>0.7631944444444444</v>
      </c>
      <c r="AG35" s="107">
        <v>0.77708333333333324</v>
      </c>
      <c r="AH35" s="109">
        <v>0.7895833333333333</v>
      </c>
      <c r="AI35" s="68">
        <v>0.80486111111111114</v>
      </c>
      <c r="AJ35" s="107">
        <v>0.82013888888888886</v>
      </c>
      <c r="AK35" s="109">
        <v>0.83333333333333337</v>
      </c>
      <c r="AL35" s="68">
        <v>0.84652777777777777</v>
      </c>
      <c r="AM35" s="67">
        <v>0.85833333333333339</v>
      </c>
      <c r="AN35" s="121">
        <v>25.8</v>
      </c>
      <c r="AO35" s="122">
        <f>SUM(AN23:AN35)/SUM(AN23:AN35)*(toOkayama-fromHiroshima)</f>
        <v>2.7083333333333237E-2</v>
      </c>
    </row>
    <row r="36" spans="1:45" x14ac:dyDescent="0.2">
      <c r="A36" s="18">
        <f>fromOkayama</f>
        <v>0.79027777777777775</v>
      </c>
      <c r="B36" s="129" t="str">
        <f>"|次は　　"&amp;IF(C2=3,"{+姫路}","{+新神戸}")</f>
        <v>|次は　　{+新神戸}</v>
      </c>
      <c r="C36" s="174">
        <f>HLOOKUP(selector,table,36,FALSE)</f>
        <v>0.79027777777777775</v>
      </c>
      <c r="D36" s="104" t="s">
        <v>119</v>
      </c>
      <c r="E36" s="148">
        <v>0.32222222222222224</v>
      </c>
      <c r="F36" s="148">
        <v>0.34722222222222227</v>
      </c>
      <c r="G36" s="151">
        <v>0.35347222222222219</v>
      </c>
      <c r="H36" s="151">
        <v>0.37361111111111112</v>
      </c>
      <c r="I36" s="148">
        <v>0.3888888888888889</v>
      </c>
      <c r="J36" s="151">
        <v>0.40486111111111112</v>
      </c>
      <c r="K36" s="147">
        <v>0.4152777777777778</v>
      </c>
      <c r="L36" s="148">
        <v>0.43055555555555558</v>
      </c>
      <c r="M36" s="147">
        <v>0.45277777777777778</v>
      </c>
      <c r="N36" s="147">
        <v>0.45694444444444443</v>
      </c>
      <c r="O36" s="148">
        <v>0.47222222222222227</v>
      </c>
      <c r="P36" s="147">
        <v>0.49861111111111112</v>
      </c>
      <c r="Q36" s="148">
        <v>0.51388888888888895</v>
      </c>
      <c r="R36" s="147">
        <v>0.54027777777777775</v>
      </c>
      <c r="S36" s="148">
        <v>0.55555555555555558</v>
      </c>
      <c r="T36" s="147">
        <v>0.58194444444444449</v>
      </c>
      <c r="U36" s="149">
        <v>0.59722222222222221</v>
      </c>
      <c r="V36" s="150">
        <v>0.62361111111111112</v>
      </c>
      <c r="W36" s="149">
        <v>0.63888888888888895</v>
      </c>
      <c r="X36" s="150">
        <v>0.66111111111111109</v>
      </c>
      <c r="Y36" s="150">
        <v>0.66527777777777775</v>
      </c>
      <c r="Z36" s="149">
        <v>0.68055555555555547</v>
      </c>
      <c r="AA36" s="146">
        <v>0.69444444444444453</v>
      </c>
      <c r="AB36" s="151">
        <v>0.70694444444444438</v>
      </c>
      <c r="AC36" s="149">
        <v>0.72222222222222221</v>
      </c>
      <c r="AD36" s="146">
        <v>0.73611111111111116</v>
      </c>
      <c r="AE36" s="151">
        <v>0.74861111111111101</v>
      </c>
      <c r="AF36" s="149">
        <v>0.76388888888888884</v>
      </c>
      <c r="AG36" s="146">
        <v>0.77777777777777779</v>
      </c>
      <c r="AH36" s="150">
        <v>0.79027777777777775</v>
      </c>
      <c r="AI36" s="149">
        <v>0.80555555555555547</v>
      </c>
      <c r="AJ36" s="146">
        <v>0.8208333333333333</v>
      </c>
      <c r="AK36" s="150">
        <v>0.8340277777777777</v>
      </c>
      <c r="AL36" s="149">
        <v>0.84722222222222221</v>
      </c>
      <c r="AM36" s="152">
        <v>0.85902777777777783</v>
      </c>
      <c r="AN36" s="127"/>
      <c r="AO36" s="128"/>
    </row>
    <row r="37" spans="1:45" s="84" customFormat="1" x14ac:dyDescent="0.2">
      <c r="A37" s="18">
        <f>fromOkayama+AO37</f>
        <v>0.79950516639828229</v>
      </c>
      <c r="B37" s="129" t="str">
        <f>"ただいま{+"&amp;D37&amp;"駅}を通過。Passing {+"&amp;D38&amp;"} station."</f>
        <v>ただいま{+相生駅}を通過。Passing {+Aioi} station.</v>
      </c>
      <c r="C37" s="174"/>
      <c r="D37" s="159" t="s">
        <v>120</v>
      </c>
      <c r="E37" s="155"/>
      <c r="F37" s="155"/>
      <c r="G37" s="157"/>
      <c r="H37" s="157"/>
      <c r="I37" s="155"/>
      <c r="J37" s="157"/>
      <c r="K37" s="154"/>
      <c r="L37" s="155"/>
      <c r="M37" s="154"/>
      <c r="N37" s="154"/>
      <c r="O37" s="155"/>
      <c r="P37" s="154"/>
      <c r="Q37" s="155"/>
      <c r="R37" s="154"/>
      <c r="S37" s="155"/>
      <c r="T37" s="154"/>
      <c r="U37" s="142"/>
      <c r="V37" s="156"/>
      <c r="W37" s="142"/>
      <c r="X37" s="156"/>
      <c r="Y37" s="156"/>
      <c r="Z37" s="142"/>
      <c r="AA37" s="153"/>
      <c r="AB37" s="157"/>
      <c r="AC37" s="142"/>
      <c r="AD37" s="153"/>
      <c r="AE37" s="157"/>
      <c r="AF37" s="142"/>
      <c r="AG37" s="153"/>
      <c r="AH37" s="156"/>
      <c r="AI37" s="142"/>
      <c r="AJ37" s="153"/>
      <c r="AK37" s="156"/>
      <c r="AL37" s="142"/>
      <c r="AM37" s="158"/>
      <c r="AN37" s="144">
        <v>55.01</v>
      </c>
      <c r="AO37" s="145">
        <f>SUM(AN37:AN37)/SUM(AN37:AN45)*(toKobe-fromOkayama)</f>
        <v>9.2273886205045761E-3</v>
      </c>
      <c r="AP37" s="83"/>
      <c r="AQ37" s="83"/>
      <c r="AR37" s="83"/>
      <c r="AS37" s="83"/>
    </row>
    <row r="38" spans="1:45" s="84" customFormat="1" x14ac:dyDescent="0.2">
      <c r="A38" s="18"/>
      <c r="B38" s="129"/>
      <c r="C38" s="174"/>
      <c r="D38" s="93" t="s">
        <v>121</v>
      </c>
      <c r="E38" s="148"/>
      <c r="F38" s="148"/>
      <c r="G38" s="151"/>
      <c r="H38" s="151"/>
      <c r="I38" s="148"/>
      <c r="J38" s="151"/>
      <c r="K38" s="147"/>
      <c r="L38" s="148"/>
      <c r="M38" s="147"/>
      <c r="N38" s="147"/>
      <c r="O38" s="148"/>
      <c r="P38" s="147"/>
      <c r="Q38" s="148"/>
      <c r="R38" s="147"/>
      <c r="S38" s="148"/>
      <c r="T38" s="147"/>
      <c r="U38" s="149"/>
      <c r="V38" s="150"/>
      <c r="W38" s="149"/>
      <c r="X38" s="150"/>
      <c r="Y38" s="150"/>
      <c r="Z38" s="149"/>
      <c r="AA38" s="146"/>
      <c r="AB38" s="151"/>
      <c r="AC38" s="149"/>
      <c r="AD38" s="146"/>
      <c r="AE38" s="151"/>
      <c r="AF38" s="149"/>
      <c r="AG38" s="146"/>
      <c r="AH38" s="150"/>
      <c r="AI38" s="149"/>
      <c r="AJ38" s="146"/>
      <c r="AK38" s="150"/>
      <c r="AL38" s="149"/>
      <c r="AM38" s="152"/>
      <c r="AN38" s="127"/>
      <c r="AO38" s="128"/>
      <c r="AP38" s="83"/>
      <c r="AQ38" s="83"/>
      <c r="AR38" s="83"/>
      <c r="AS38" s="83"/>
    </row>
    <row r="39" spans="1:45" x14ac:dyDescent="0.2">
      <c r="A39" s="133" t="str">
        <f>IF(C2=3,C40-beforehand,"")</f>
        <v/>
      </c>
      <c r="B39" s="134" t="str">
        <f>IF(C2=3,"!まもなく{+姫路}です。{+山陽線（網干方面）}、{+JR神戸線（加古川方面）}と、{+播但線}、{+姫新線}はお乗り換えです。お降りの時は足元にご注意ください。今日も新幹線をご利用くださいましてありがとうございました。姫路を出ますと、次は{+新神戸}に停まります。"&amp;"We will soon make a brief stop at {+Himeji}. Passengers going to the {+Sanyo}, {+JR Kobe}, {+Bantan}, and {+Kishin lines}, please change trains here at {+Himeji}. Thank you.","")</f>
        <v/>
      </c>
      <c r="C39" s="174"/>
      <c r="D39" s="167"/>
      <c r="E39" s="155"/>
      <c r="F39" s="155"/>
      <c r="G39" s="157"/>
      <c r="H39" s="157"/>
      <c r="I39" s="155"/>
      <c r="J39" s="157"/>
      <c r="K39" s="154"/>
      <c r="L39" s="155"/>
      <c r="M39" s="154"/>
      <c r="N39" s="154"/>
      <c r="O39" s="155"/>
      <c r="P39" s="154"/>
      <c r="Q39" s="155"/>
      <c r="R39" s="154"/>
      <c r="S39" s="155"/>
      <c r="T39" s="154"/>
      <c r="U39" s="142"/>
      <c r="V39" s="156"/>
      <c r="W39" s="142"/>
      <c r="X39" s="156"/>
      <c r="Y39" s="156"/>
      <c r="Z39" s="142"/>
      <c r="AA39" s="153"/>
      <c r="AB39" s="157"/>
      <c r="AC39" s="142"/>
      <c r="AD39" s="153"/>
      <c r="AE39" s="157"/>
      <c r="AF39" s="142"/>
      <c r="AG39" s="153"/>
      <c r="AH39" s="156"/>
      <c r="AI39" s="142"/>
      <c r="AJ39" s="153"/>
      <c r="AK39" s="156"/>
      <c r="AL39" s="142"/>
      <c r="AM39" s="158"/>
      <c r="AN39" s="144"/>
      <c r="AO39" s="145"/>
    </row>
    <row r="40" spans="1:45" x14ac:dyDescent="0.2">
      <c r="A40" s="133">
        <f>IF(C2=3,C40,fromOkayama+AO40)</f>
        <v>0.80286835748792273</v>
      </c>
      <c r="B40" s="134" t="str">
        <f>IF(C2=3,"|!{+福　山}","ただいま{+"&amp;D40&amp;"駅}を通過。Passing {+"&amp;D41&amp;"} station.")</f>
        <v>ただいま{+姫路駅}を通過。Passing {+Himeji} station.</v>
      </c>
      <c r="C40" s="174">
        <f>HLOOKUP(selector,table,40,FALSE)</f>
        <v>0</v>
      </c>
      <c r="D40" s="87" t="s">
        <v>23</v>
      </c>
      <c r="E40" s="115"/>
      <c r="F40" s="115"/>
      <c r="G40" s="114"/>
      <c r="H40" s="114"/>
      <c r="I40" s="115"/>
      <c r="J40" s="114"/>
      <c r="K40" s="111"/>
      <c r="L40" s="115"/>
      <c r="M40" s="111"/>
      <c r="N40" s="111"/>
      <c r="O40" s="115"/>
      <c r="P40" s="111"/>
      <c r="Q40" s="115"/>
      <c r="R40" s="111"/>
      <c r="S40" s="115"/>
      <c r="T40" s="111"/>
      <c r="U40" s="68"/>
      <c r="V40" s="109"/>
      <c r="W40" s="68"/>
      <c r="X40" s="109"/>
      <c r="Y40" s="109"/>
      <c r="Z40" s="68"/>
      <c r="AA40" s="107">
        <v>0.70694444444444438</v>
      </c>
      <c r="AB40" s="114"/>
      <c r="AC40" s="68"/>
      <c r="AD40" s="107">
        <v>0.74861111111111101</v>
      </c>
      <c r="AE40" s="113"/>
      <c r="AF40" s="66"/>
      <c r="AG40" s="107">
        <v>0.79027777777777775</v>
      </c>
      <c r="AH40" s="108"/>
      <c r="AI40" s="66"/>
      <c r="AJ40" s="107">
        <v>0.8340277777777777</v>
      </c>
      <c r="AK40" s="109"/>
      <c r="AL40" s="66"/>
      <c r="AM40" s="65"/>
      <c r="AN40" s="121">
        <v>20.05</v>
      </c>
      <c r="AO40" s="122">
        <f>SUM(AN37:AN40)/SUM(AN37:AN45)*(toKobe-fromOkayama)</f>
        <v>1.2590579710144947E-2</v>
      </c>
    </row>
    <row r="41" spans="1:45" x14ac:dyDescent="0.2">
      <c r="A41" s="133" t="str">
        <f>IF(C2=3,C41,"")</f>
        <v/>
      </c>
      <c r="B41" s="134" t="str">
        <f>IF(C2=3,"|次は　　{+新神戸}","")</f>
        <v/>
      </c>
      <c r="C41" s="174"/>
      <c r="D41" s="88" t="s">
        <v>122</v>
      </c>
      <c r="E41" s="163"/>
      <c r="F41" s="163"/>
      <c r="G41" s="151"/>
      <c r="H41" s="151"/>
      <c r="I41" s="163"/>
      <c r="J41" s="151"/>
      <c r="K41" s="161"/>
      <c r="L41" s="163"/>
      <c r="M41" s="161"/>
      <c r="N41" s="161"/>
      <c r="O41" s="163"/>
      <c r="P41" s="161"/>
      <c r="Q41" s="163"/>
      <c r="R41" s="161"/>
      <c r="S41" s="163"/>
      <c r="T41" s="161"/>
      <c r="U41" s="149"/>
      <c r="V41" s="150"/>
      <c r="W41" s="149"/>
      <c r="X41" s="150"/>
      <c r="Y41" s="150"/>
      <c r="Z41" s="149"/>
      <c r="AA41" s="146">
        <v>0.70763888888888893</v>
      </c>
      <c r="AB41" s="151"/>
      <c r="AC41" s="149"/>
      <c r="AD41" s="146">
        <v>0.74930555555555556</v>
      </c>
      <c r="AE41" s="36"/>
      <c r="AF41" s="103"/>
      <c r="AG41" s="146">
        <v>0.7909722222222223</v>
      </c>
      <c r="AH41" s="33"/>
      <c r="AI41" s="103"/>
      <c r="AJ41" s="146">
        <v>0.83472222222222225</v>
      </c>
      <c r="AK41" s="150"/>
      <c r="AL41" s="103"/>
      <c r="AM41" s="168"/>
      <c r="AN41" s="127"/>
      <c r="AO41" s="128"/>
    </row>
    <row r="42" spans="1:45" s="86" customFormat="1" x14ac:dyDescent="0.2">
      <c r="A42" s="18">
        <f>fromOkayama+AO42</f>
        <v>0.80808004562533542</v>
      </c>
      <c r="B42" s="129" t="str">
        <f>"ただいま{+"&amp;D42&amp;"駅}を通過。Passing {+"&amp;D43&amp;"} station."</f>
        <v>ただいま{+西明石駅}を通過。Passing {+Nishi-Akashi} station.</v>
      </c>
      <c r="C42" s="174"/>
      <c r="D42" s="159" t="s">
        <v>123</v>
      </c>
      <c r="E42" s="138"/>
      <c r="F42" s="138"/>
      <c r="G42" s="157"/>
      <c r="H42" s="157"/>
      <c r="I42" s="138"/>
      <c r="J42" s="157"/>
      <c r="K42" s="137"/>
      <c r="L42" s="138"/>
      <c r="M42" s="137"/>
      <c r="N42" s="137"/>
      <c r="O42" s="138"/>
      <c r="P42" s="137"/>
      <c r="Q42" s="138"/>
      <c r="R42" s="137"/>
      <c r="S42" s="138"/>
      <c r="T42" s="137"/>
      <c r="U42" s="142"/>
      <c r="V42" s="156"/>
      <c r="W42" s="142"/>
      <c r="X42" s="156"/>
      <c r="Y42" s="156"/>
      <c r="Z42" s="142"/>
      <c r="AA42" s="153"/>
      <c r="AB42" s="157"/>
      <c r="AC42" s="142"/>
      <c r="AD42" s="153"/>
      <c r="AE42" s="141"/>
      <c r="AF42" s="139"/>
      <c r="AG42" s="153"/>
      <c r="AH42" s="140"/>
      <c r="AI42" s="139"/>
      <c r="AJ42" s="153"/>
      <c r="AK42" s="156"/>
      <c r="AL42" s="139"/>
      <c r="AM42" s="143"/>
      <c r="AN42" s="144">
        <v>31.07</v>
      </c>
      <c r="AO42" s="145">
        <f>SUM(AN37:AN42)/SUM(AN37:AN45)*(toKobe-fromOkayama)</f>
        <v>1.7802267847557729E-2</v>
      </c>
      <c r="AP42" s="85"/>
      <c r="AQ42" s="85"/>
      <c r="AR42" s="85"/>
      <c r="AS42" s="85"/>
    </row>
    <row r="43" spans="1:45" s="86" customFormat="1" x14ac:dyDescent="0.2">
      <c r="A43" s="18"/>
      <c r="B43" s="129"/>
      <c r="C43" s="174"/>
      <c r="D43" s="93" t="s">
        <v>124</v>
      </c>
      <c r="E43" s="163"/>
      <c r="F43" s="163"/>
      <c r="G43" s="151"/>
      <c r="H43" s="151"/>
      <c r="I43" s="163"/>
      <c r="J43" s="151"/>
      <c r="K43" s="161"/>
      <c r="L43" s="163"/>
      <c r="M43" s="161"/>
      <c r="N43" s="161"/>
      <c r="O43" s="163"/>
      <c r="P43" s="161"/>
      <c r="Q43" s="163"/>
      <c r="R43" s="161"/>
      <c r="S43" s="163"/>
      <c r="T43" s="161"/>
      <c r="U43" s="149"/>
      <c r="V43" s="150"/>
      <c r="W43" s="149"/>
      <c r="X43" s="150"/>
      <c r="Y43" s="150"/>
      <c r="Z43" s="149"/>
      <c r="AA43" s="146"/>
      <c r="AB43" s="151"/>
      <c r="AC43" s="149"/>
      <c r="AD43" s="146"/>
      <c r="AE43" s="36"/>
      <c r="AF43" s="103"/>
      <c r="AG43" s="146"/>
      <c r="AH43" s="33"/>
      <c r="AI43" s="103"/>
      <c r="AJ43" s="146"/>
      <c r="AK43" s="150"/>
      <c r="AL43" s="103"/>
      <c r="AM43" s="168"/>
      <c r="AN43" s="127"/>
      <c r="AO43" s="128"/>
      <c r="AP43" s="85"/>
      <c r="AQ43" s="85"/>
      <c r="AR43" s="85"/>
      <c r="AS43" s="85"/>
    </row>
    <row r="44" spans="1:45" ht="113.25" x14ac:dyDescent="0.2">
      <c r="A44" s="18">
        <f>C45-beforehand</f>
        <v>0.80972222222222223</v>
      </c>
      <c r="B44" s="129" t="s">
        <v>147</v>
      </c>
      <c r="C44" s="174"/>
      <c r="D44" s="169"/>
      <c r="E44" s="138"/>
      <c r="F44" s="138"/>
      <c r="G44" s="157"/>
      <c r="H44" s="157"/>
      <c r="I44" s="138"/>
      <c r="J44" s="157"/>
      <c r="K44" s="137"/>
      <c r="L44" s="138"/>
      <c r="M44" s="137"/>
      <c r="N44" s="137"/>
      <c r="O44" s="138"/>
      <c r="P44" s="137"/>
      <c r="Q44" s="138"/>
      <c r="R44" s="137"/>
      <c r="S44" s="138"/>
      <c r="T44" s="137"/>
      <c r="U44" s="142"/>
      <c r="V44" s="156"/>
      <c r="W44" s="142"/>
      <c r="X44" s="156"/>
      <c r="Y44" s="156"/>
      <c r="Z44" s="142"/>
      <c r="AA44" s="153"/>
      <c r="AB44" s="157"/>
      <c r="AC44" s="142"/>
      <c r="AD44" s="153"/>
      <c r="AE44" s="141"/>
      <c r="AF44" s="139"/>
      <c r="AG44" s="153"/>
      <c r="AH44" s="140"/>
      <c r="AI44" s="139"/>
      <c r="AJ44" s="153"/>
      <c r="AK44" s="156"/>
      <c r="AL44" s="139"/>
      <c r="AM44" s="143"/>
      <c r="AN44" s="144"/>
      <c r="AO44" s="145"/>
    </row>
    <row r="45" spans="1:45" x14ac:dyDescent="0.2">
      <c r="A45" s="18">
        <f>toKobe</f>
        <v>0.81180555555555556</v>
      </c>
      <c r="B45" s="129" t="s">
        <v>148</v>
      </c>
      <c r="C45" s="174">
        <f>HLOOKUP(selector,table,45,FALSE)</f>
        <v>0.81180555555555556</v>
      </c>
      <c r="D45" s="99" t="s">
        <v>22</v>
      </c>
      <c r="E45" s="116">
        <v>0.34375</v>
      </c>
      <c r="F45" s="116">
        <v>0.36874999999999997</v>
      </c>
      <c r="G45" s="114">
        <v>0.375</v>
      </c>
      <c r="H45" s="114">
        <v>0.39513888888888887</v>
      </c>
      <c r="I45" s="116">
        <v>0.41041666666666665</v>
      </c>
      <c r="J45" s="114">
        <v>0.42708333333333331</v>
      </c>
      <c r="K45" s="112">
        <v>0.4368055555555555</v>
      </c>
      <c r="L45" s="116">
        <v>0.45208333333333334</v>
      </c>
      <c r="M45" s="112">
        <v>0.47430555555555554</v>
      </c>
      <c r="N45" s="112">
        <v>0.47847222222222219</v>
      </c>
      <c r="O45" s="116">
        <v>0.49374999999999997</v>
      </c>
      <c r="P45" s="112">
        <v>0.52013888888888882</v>
      </c>
      <c r="Q45" s="116">
        <v>0.53541666666666665</v>
      </c>
      <c r="R45" s="112">
        <v>0.56180555555555556</v>
      </c>
      <c r="S45" s="116">
        <v>0.57708333333333328</v>
      </c>
      <c r="T45" s="112">
        <v>0.60347222222222219</v>
      </c>
      <c r="U45" s="68">
        <v>0.61875000000000002</v>
      </c>
      <c r="V45" s="109">
        <v>0.64513888888888882</v>
      </c>
      <c r="W45" s="68">
        <v>0.66041666666666665</v>
      </c>
      <c r="X45" s="109">
        <v>0.68263888888888891</v>
      </c>
      <c r="Y45" s="109">
        <v>0.68680555555555556</v>
      </c>
      <c r="Z45" s="68">
        <v>0.70208333333333339</v>
      </c>
      <c r="AA45" s="107">
        <v>0.71875</v>
      </c>
      <c r="AB45" s="114">
        <v>0.7284722222222223</v>
      </c>
      <c r="AC45" s="68">
        <v>0.74375000000000002</v>
      </c>
      <c r="AD45" s="107">
        <v>0.76041666666666663</v>
      </c>
      <c r="AE45" s="114">
        <v>0.77013888888888893</v>
      </c>
      <c r="AF45" s="68">
        <v>0.78541666666666676</v>
      </c>
      <c r="AG45" s="107">
        <v>0.80208333333333337</v>
      </c>
      <c r="AH45" s="109">
        <v>0.81180555555555556</v>
      </c>
      <c r="AI45" s="68">
        <v>0.82708333333333339</v>
      </c>
      <c r="AJ45" s="107">
        <v>0.84583333333333333</v>
      </c>
      <c r="AK45" s="109">
        <v>0.85625000000000007</v>
      </c>
      <c r="AL45" s="68">
        <v>0.86875000000000002</v>
      </c>
      <c r="AM45" s="67">
        <v>0.88055555555555554</v>
      </c>
      <c r="AN45" s="121">
        <v>22.21</v>
      </c>
      <c r="AO45" s="122">
        <f>SUM(AN40:AN48)/SUM(AN40:AN48)*(toKobe-fromOkayama)</f>
        <v>2.1527777777777812E-2</v>
      </c>
    </row>
    <row r="46" spans="1:45" x14ac:dyDescent="0.2">
      <c r="A46" s="18">
        <f>C46</f>
        <v>0.8125</v>
      </c>
      <c r="B46" s="129" t="s">
        <v>149</v>
      </c>
      <c r="C46" s="174">
        <f>HLOOKUP(selector,table,46,FALSE)</f>
        <v>0.8125</v>
      </c>
      <c r="D46" s="104" t="s">
        <v>125</v>
      </c>
      <c r="E46" s="148">
        <v>0.3444444444444445</v>
      </c>
      <c r="F46" s="148">
        <v>0.36944444444444446</v>
      </c>
      <c r="G46" s="151">
        <v>0.3756944444444445</v>
      </c>
      <c r="H46" s="151">
        <v>0.39583333333333331</v>
      </c>
      <c r="I46" s="148">
        <v>0.41111111111111115</v>
      </c>
      <c r="J46" s="151">
        <v>0.42777777777777781</v>
      </c>
      <c r="K46" s="147">
        <v>0.4375</v>
      </c>
      <c r="L46" s="148">
        <v>0.45277777777777778</v>
      </c>
      <c r="M46" s="147">
        <v>0.47500000000000003</v>
      </c>
      <c r="N46" s="147">
        <v>0.47916666666666669</v>
      </c>
      <c r="O46" s="148">
        <v>0.49444444444444446</v>
      </c>
      <c r="P46" s="147">
        <v>0.52083333333333337</v>
      </c>
      <c r="Q46" s="148">
        <v>0.53611111111111109</v>
      </c>
      <c r="R46" s="147">
        <v>0.5625</v>
      </c>
      <c r="S46" s="148">
        <v>0.57777777777777783</v>
      </c>
      <c r="T46" s="147">
        <v>0.60416666666666663</v>
      </c>
      <c r="U46" s="149">
        <v>0.61944444444444446</v>
      </c>
      <c r="V46" s="150">
        <v>0.64583333333333337</v>
      </c>
      <c r="W46" s="149">
        <v>0.66111111111111109</v>
      </c>
      <c r="X46" s="150">
        <v>0.68333333333333324</v>
      </c>
      <c r="Y46" s="150">
        <v>0.6875</v>
      </c>
      <c r="Z46" s="149">
        <v>0.70277777777777783</v>
      </c>
      <c r="AA46" s="146">
        <v>0.71944444444444444</v>
      </c>
      <c r="AB46" s="151">
        <v>0.72916666666666663</v>
      </c>
      <c r="AC46" s="149">
        <v>0.74444444444444446</v>
      </c>
      <c r="AD46" s="146">
        <v>0.76111111111111107</v>
      </c>
      <c r="AE46" s="151">
        <v>0.77083333333333337</v>
      </c>
      <c r="AF46" s="149">
        <v>0.78611111111111109</v>
      </c>
      <c r="AG46" s="146">
        <v>0.8027777777777777</v>
      </c>
      <c r="AH46" s="150">
        <v>0.8125</v>
      </c>
      <c r="AI46" s="149">
        <v>0.82777777777777783</v>
      </c>
      <c r="AJ46" s="146">
        <v>0.84652777777777777</v>
      </c>
      <c r="AK46" s="150">
        <v>0.8569444444444444</v>
      </c>
      <c r="AL46" s="149">
        <v>0.86944444444444446</v>
      </c>
      <c r="AM46" s="152">
        <v>0.88124999999999998</v>
      </c>
      <c r="AN46" s="127"/>
      <c r="AO46" s="128"/>
    </row>
    <row r="47" spans="1:45" ht="85.5" x14ac:dyDescent="0.2">
      <c r="A47" s="18">
        <f>C48-beforehand</f>
        <v>0.81944444444444442</v>
      </c>
      <c r="B47" s="129" t="s">
        <v>150</v>
      </c>
      <c r="C47" s="174"/>
      <c r="D47" s="169"/>
      <c r="E47" s="155"/>
      <c r="F47" s="155"/>
      <c r="G47" s="157"/>
      <c r="H47" s="157"/>
      <c r="I47" s="155"/>
      <c r="J47" s="157"/>
      <c r="K47" s="154"/>
      <c r="L47" s="155"/>
      <c r="M47" s="154"/>
      <c r="N47" s="154"/>
      <c r="O47" s="155"/>
      <c r="P47" s="154"/>
      <c r="Q47" s="155"/>
      <c r="R47" s="154"/>
      <c r="S47" s="155"/>
      <c r="T47" s="154"/>
      <c r="U47" s="142"/>
      <c r="V47" s="156"/>
      <c r="W47" s="142"/>
      <c r="X47" s="156"/>
      <c r="Y47" s="156"/>
      <c r="Z47" s="142"/>
      <c r="AA47" s="153"/>
      <c r="AB47" s="157"/>
      <c r="AC47" s="142"/>
      <c r="AD47" s="153"/>
      <c r="AE47" s="157"/>
      <c r="AF47" s="142"/>
      <c r="AG47" s="153"/>
      <c r="AH47" s="156"/>
      <c r="AI47" s="142"/>
      <c r="AJ47" s="153"/>
      <c r="AK47" s="156"/>
      <c r="AL47" s="142"/>
      <c r="AM47" s="158"/>
      <c r="AN47" s="144"/>
      <c r="AO47" s="145"/>
    </row>
    <row r="48" spans="1:45" x14ac:dyDescent="0.2">
      <c r="A48" s="18">
        <f>C48</f>
        <v>0.82152777777777775</v>
      </c>
      <c r="B48" s="129" t="s">
        <v>151</v>
      </c>
      <c r="C48" s="174">
        <f>HLOOKUP(selector,table,48,FALSE)</f>
        <v>0.82152777777777775</v>
      </c>
      <c r="D48" s="99" t="s">
        <v>21</v>
      </c>
      <c r="E48" s="116">
        <v>0.3527777777777778</v>
      </c>
      <c r="F48" s="116">
        <v>0.37777777777777777</v>
      </c>
      <c r="G48" s="114">
        <v>0.40486111111111112</v>
      </c>
      <c r="H48" s="114">
        <v>0.40486111111111112</v>
      </c>
      <c r="I48" s="116">
        <v>0.41944444444444445</v>
      </c>
      <c r="J48" s="114">
        <v>0.43611111111111112</v>
      </c>
      <c r="K48" s="112">
        <v>0.4465277777777778</v>
      </c>
      <c r="L48" s="116">
        <v>0.46111111111111108</v>
      </c>
      <c r="M48" s="112">
        <v>0.48402777777777778</v>
      </c>
      <c r="N48" s="112">
        <v>0.48819444444444443</v>
      </c>
      <c r="O48" s="116">
        <v>0.50277777777777777</v>
      </c>
      <c r="P48" s="112">
        <v>0.52986111111111112</v>
      </c>
      <c r="Q48" s="116">
        <v>0.5444444444444444</v>
      </c>
      <c r="R48" s="112">
        <v>0.57152777777777775</v>
      </c>
      <c r="S48" s="116">
        <v>0.58611111111111114</v>
      </c>
      <c r="T48" s="112">
        <v>0.61319444444444449</v>
      </c>
      <c r="U48" s="68">
        <v>0.62777777777777777</v>
      </c>
      <c r="V48" s="109">
        <v>0.65486111111111112</v>
      </c>
      <c r="W48" s="68">
        <v>0.6694444444444444</v>
      </c>
      <c r="X48" s="109">
        <v>0.69236111111111109</v>
      </c>
      <c r="Y48" s="109">
        <v>0.69652777777777775</v>
      </c>
      <c r="Z48" s="68">
        <v>0.71111111111111114</v>
      </c>
      <c r="AA48" s="107">
        <v>0.72777777777777775</v>
      </c>
      <c r="AB48" s="114">
        <v>0.73819444444444438</v>
      </c>
      <c r="AC48" s="68">
        <v>0.75277777777777777</v>
      </c>
      <c r="AD48" s="107">
        <v>0.76944444444444438</v>
      </c>
      <c r="AE48" s="114">
        <v>0.77986111111111101</v>
      </c>
      <c r="AF48" s="68">
        <v>0.7944444444444444</v>
      </c>
      <c r="AG48" s="107">
        <v>0.81111111111111101</v>
      </c>
      <c r="AH48" s="109">
        <v>0.82152777777777775</v>
      </c>
      <c r="AI48" s="68">
        <v>0.83611111111111114</v>
      </c>
      <c r="AJ48" s="107">
        <v>0.85486111111111107</v>
      </c>
      <c r="AK48" s="109">
        <v>0.8652777777777777</v>
      </c>
      <c r="AL48" s="68">
        <v>0.87777777777777777</v>
      </c>
      <c r="AM48" s="67">
        <v>0.88958333333333339</v>
      </c>
      <c r="AN48" s="121">
        <v>32.65</v>
      </c>
      <c r="AO48" s="122"/>
    </row>
    <row r="49" spans="1:45" x14ac:dyDescent="0.2">
      <c r="A49" s="18">
        <f>C49</f>
        <v>0.82291666666666663</v>
      </c>
      <c r="B49" s="129" t="s">
        <v>152</v>
      </c>
      <c r="C49" s="174">
        <f>HLOOKUP(selector,table,49,FALSE)</f>
        <v>0.82291666666666663</v>
      </c>
      <c r="D49" s="104" t="s">
        <v>126</v>
      </c>
      <c r="E49" s="148">
        <v>0.35416666666666669</v>
      </c>
      <c r="F49" s="148">
        <v>0.37916666666666665</v>
      </c>
      <c r="G49" s="151">
        <v>0.40625</v>
      </c>
      <c r="H49" s="151">
        <v>0.40625</v>
      </c>
      <c r="I49" s="148">
        <v>0.42083333333333334</v>
      </c>
      <c r="J49" s="151">
        <v>0.4375</v>
      </c>
      <c r="K49" s="147">
        <v>0.44791666666666669</v>
      </c>
      <c r="L49" s="148">
        <v>0.46249999999999997</v>
      </c>
      <c r="M49" s="147">
        <v>0.48541666666666666</v>
      </c>
      <c r="N49" s="147">
        <v>0.48958333333333331</v>
      </c>
      <c r="O49" s="148">
        <v>0.50416666666666665</v>
      </c>
      <c r="P49" s="147">
        <v>0.53125</v>
      </c>
      <c r="Q49" s="148">
        <v>0.54583333333333328</v>
      </c>
      <c r="R49" s="147">
        <v>0.57291666666666663</v>
      </c>
      <c r="S49" s="148">
        <v>0.58750000000000002</v>
      </c>
      <c r="T49" s="147">
        <v>0.61458333333333337</v>
      </c>
      <c r="U49" s="149">
        <v>0.62916666666666665</v>
      </c>
      <c r="V49" s="150">
        <v>0.65625</v>
      </c>
      <c r="W49" s="149">
        <v>0.67083333333333339</v>
      </c>
      <c r="X49" s="150">
        <v>0.69374999999999998</v>
      </c>
      <c r="Y49" s="150">
        <v>0.69791666666666663</v>
      </c>
      <c r="Z49" s="149">
        <v>0.71250000000000002</v>
      </c>
      <c r="AA49" s="146">
        <v>0.72916666666666663</v>
      </c>
      <c r="AB49" s="151">
        <v>0.73958333333333337</v>
      </c>
      <c r="AC49" s="149">
        <v>0.75416666666666676</v>
      </c>
      <c r="AD49" s="146">
        <v>0.77083333333333337</v>
      </c>
      <c r="AE49" s="151">
        <v>0.78125</v>
      </c>
      <c r="AF49" s="149">
        <v>0.79583333333333339</v>
      </c>
      <c r="AG49" s="146">
        <v>0.8125</v>
      </c>
      <c r="AH49" s="150">
        <v>0.82291666666666663</v>
      </c>
      <c r="AI49" s="149">
        <v>0.83750000000000002</v>
      </c>
      <c r="AJ49" s="146">
        <v>0.85625000000000007</v>
      </c>
      <c r="AK49" s="150">
        <v>0.8666666666666667</v>
      </c>
      <c r="AL49" s="149">
        <v>0.87916666666666676</v>
      </c>
      <c r="AM49" s="152">
        <v>0.89166666666666661</v>
      </c>
      <c r="AN49" s="127"/>
      <c r="AO49" s="128"/>
    </row>
    <row r="50" spans="1:45" ht="84.75" x14ac:dyDescent="0.2">
      <c r="A50" s="18">
        <f>C51-beforehand</f>
        <v>0.82986111111111105</v>
      </c>
      <c r="B50" s="129" t="s">
        <v>153</v>
      </c>
      <c r="C50" s="174"/>
      <c r="D50" s="136"/>
      <c r="E50" s="155"/>
      <c r="F50" s="155"/>
      <c r="G50" s="157"/>
      <c r="H50" s="157"/>
      <c r="I50" s="155"/>
      <c r="J50" s="157"/>
      <c r="K50" s="154"/>
      <c r="L50" s="155"/>
      <c r="M50" s="154"/>
      <c r="N50" s="154"/>
      <c r="O50" s="155"/>
      <c r="P50" s="154"/>
      <c r="Q50" s="155"/>
      <c r="R50" s="154"/>
      <c r="S50" s="155"/>
      <c r="T50" s="154"/>
      <c r="U50" s="142"/>
      <c r="V50" s="156"/>
      <c r="W50" s="142"/>
      <c r="X50" s="156"/>
      <c r="Y50" s="156"/>
      <c r="Z50" s="142"/>
      <c r="AA50" s="153"/>
      <c r="AB50" s="157"/>
      <c r="AC50" s="142"/>
      <c r="AD50" s="153"/>
      <c r="AE50" s="157"/>
      <c r="AF50" s="142"/>
      <c r="AG50" s="153"/>
      <c r="AH50" s="156"/>
      <c r="AI50" s="142"/>
      <c r="AJ50" s="153"/>
      <c r="AK50" s="156"/>
      <c r="AL50" s="142"/>
      <c r="AM50" s="158"/>
      <c r="AN50" s="144"/>
      <c r="AO50" s="145"/>
    </row>
    <row r="51" spans="1:45" x14ac:dyDescent="0.2">
      <c r="A51" s="18">
        <f>C51</f>
        <v>0.83194444444444438</v>
      </c>
      <c r="B51" s="129" t="s">
        <v>154</v>
      </c>
      <c r="C51" s="174">
        <f>HLOOKUP(selector,table,51,FALSE)</f>
        <v>0.83194444444444438</v>
      </c>
      <c r="D51" s="99" t="s">
        <v>20</v>
      </c>
      <c r="E51" s="116">
        <v>0.36319444444444443</v>
      </c>
      <c r="F51" s="116">
        <v>0.38819444444444445</v>
      </c>
      <c r="G51" s="114">
        <v>0.39513888888888887</v>
      </c>
      <c r="H51" s="114">
        <v>0.41597222222222219</v>
      </c>
      <c r="I51" s="116">
        <v>0.42986111111111108</v>
      </c>
      <c r="J51" s="114">
        <v>0.4465277777777778</v>
      </c>
      <c r="K51" s="112">
        <v>0.45763888888888887</v>
      </c>
      <c r="L51" s="116">
        <v>0.47152777777777777</v>
      </c>
      <c r="M51" s="112">
        <v>0.49513888888888885</v>
      </c>
      <c r="N51" s="112">
        <v>0.4993055555555555</v>
      </c>
      <c r="O51" s="116">
        <v>0.5131944444444444</v>
      </c>
      <c r="P51" s="112">
        <v>0.54097222222222219</v>
      </c>
      <c r="Q51" s="116">
        <v>0.55486111111111114</v>
      </c>
      <c r="R51" s="112">
        <v>0.58263888888888882</v>
      </c>
      <c r="S51" s="116">
        <v>0.59652777777777777</v>
      </c>
      <c r="T51" s="112">
        <v>0.62430555555555556</v>
      </c>
      <c r="U51" s="68">
        <v>0.6381944444444444</v>
      </c>
      <c r="V51" s="109">
        <v>0.66597222222222219</v>
      </c>
      <c r="W51" s="68">
        <v>0.67986111111111114</v>
      </c>
      <c r="X51" s="109">
        <v>0.70347222222222217</v>
      </c>
      <c r="Y51" s="109">
        <v>0.70763888888888893</v>
      </c>
      <c r="Z51" s="68">
        <v>0.72152777777777777</v>
      </c>
      <c r="AA51" s="107">
        <v>0.73819444444444438</v>
      </c>
      <c r="AB51" s="114">
        <v>0.74930555555555556</v>
      </c>
      <c r="AC51" s="68">
        <v>0.7631944444444444</v>
      </c>
      <c r="AD51" s="107">
        <v>0.77986111111111101</v>
      </c>
      <c r="AE51" s="114">
        <v>0.7909722222222223</v>
      </c>
      <c r="AF51" s="68">
        <v>0.80486111111111114</v>
      </c>
      <c r="AG51" s="107">
        <v>0.82152777777777775</v>
      </c>
      <c r="AH51" s="109">
        <v>0.83194444444444438</v>
      </c>
      <c r="AI51" s="68">
        <v>0.84652777777777777</v>
      </c>
      <c r="AJ51" s="107">
        <v>0.8652777777777777</v>
      </c>
      <c r="AK51" s="109">
        <v>0.87569444444444444</v>
      </c>
      <c r="AL51" s="68">
        <v>0.8881944444444444</v>
      </c>
      <c r="AM51" s="67">
        <v>0.90069444444444446</v>
      </c>
      <c r="AN51" s="121">
        <v>39.04</v>
      </c>
      <c r="AO51" s="122"/>
    </row>
    <row r="52" spans="1:45" x14ac:dyDescent="0.2">
      <c r="A52" s="18">
        <f>fromKyoto</f>
        <v>0.83333333333333337</v>
      </c>
      <c r="B52" s="129" t="s">
        <v>155</v>
      </c>
      <c r="C52" s="174">
        <f>HLOOKUP(selector,table,52,FALSE)</f>
        <v>0.83333333333333337</v>
      </c>
      <c r="D52" s="104" t="s">
        <v>127</v>
      </c>
      <c r="E52" s="148">
        <v>0.36458333333333331</v>
      </c>
      <c r="F52" s="148">
        <v>0.38958333333333334</v>
      </c>
      <c r="G52" s="151">
        <v>0.39583333333333331</v>
      </c>
      <c r="H52" s="151">
        <v>0.41736111111111113</v>
      </c>
      <c r="I52" s="148">
        <v>0.43124999999999997</v>
      </c>
      <c r="J52" s="151">
        <v>0.44791666666666669</v>
      </c>
      <c r="K52" s="147">
        <v>0.45902777777777781</v>
      </c>
      <c r="L52" s="148">
        <v>0.47291666666666665</v>
      </c>
      <c r="M52" s="147">
        <v>0.49583333333333335</v>
      </c>
      <c r="N52" s="147">
        <v>0.50069444444444444</v>
      </c>
      <c r="O52" s="148">
        <v>0.51458333333333328</v>
      </c>
      <c r="P52" s="147">
        <v>0.54236111111111118</v>
      </c>
      <c r="Q52" s="148">
        <v>0.55625000000000002</v>
      </c>
      <c r="R52" s="147">
        <v>0.58402777777777781</v>
      </c>
      <c r="S52" s="148">
        <v>0.59791666666666665</v>
      </c>
      <c r="T52" s="147">
        <v>0.62569444444444444</v>
      </c>
      <c r="U52" s="149">
        <v>0.63958333333333328</v>
      </c>
      <c r="V52" s="150">
        <v>0.66736111111111107</v>
      </c>
      <c r="W52" s="149">
        <v>0.68125000000000002</v>
      </c>
      <c r="X52" s="150">
        <v>0.70416666666666661</v>
      </c>
      <c r="Y52" s="150">
        <v>0.7090277777777777</v>
      </c>
      <c r="Z52" s="149">
        <v>0.72291666666666676</v>
      </c>
      <c r="AA52" s="146">
        <v>0.73958333333333337</v>
      </c>
      <c r="AB52" s="151">
        <v>0.75069444444444444</v>
      </c>
      <c r="AC52" s="149">
        <v>0.76458333333333339</v>
      </c>
      <c r="AD52" s="146">
        <v>0.78125</v>
      </c>
      <c r="AE52" s="151">
        <v>0.79236111111111107</v>
      </c>
      <c r="AF52" s="149">
        <v>0.80625000000000002</v>
      </c>
      <c r="AG52" s="146">
        <v>0.82291666666666663</v>
      </c>
      <c r="AH52" s="150">
        <v>0.83333333333333337</v>
      </c>
      <c r="AI52" s="149">
        <v>0.84791666666666676</v>
      </c>
      <c r="AJ52" s="146">
        <v>0.86597222222222225</v>
      </c>
      <c r="AK52" s="150">
        <v>0.87638888888888899</v>
      </c>
      <c r="AL52" s="149">
        <v>0.88958333333333339</v>
      </c>
      <c r="AM52" s="152">
        <v>0.90138888888888891</v>
      </c>
      <c r="AN52" s="127"/>
      <c r="AO52" s="128"/>
    </row>
    <row r="53" spans="1:45" s="90" customFormat="1" x14ac:dyDescent="0.2">
      <c r="A53" s="18">
        <f>fromKyoto+AO53</f>
        <v>0.84530328228295315</v>
      </c>
      <c r="B53" s="129" t="str">
        <f>"ただいま{+"&amp;D53&amp;"駅}を通過。Passing {+"&amp;D54&amp;"} station."</f>
        <v>ただいま{+米原駅}を通過。Passing {+Maibara} station.</v>
      </c>
      <c r="C53" s="174"/>
      <c r="D53" s="170" t="s">
        <v>128</v>
      </c>
      <c r="E53" s="155"/>
      <c r="F53" s="155"/>
      <c r="G53" s="157"/>
      <c r="H53" s="157"/>
      <c r="I53" s="155"/>
      <c r="J53" s="157"/>
      <c r="K53" s="154"/>
      <c r="L53" s="155"/>
      <c r="M53" s="154"/>
      <c r="N53" s="154"/>
      <c r="O53" s="155"/>
      <c r="P53" s="154"/>
      <c r="Q53" s="155"/>
      <c r="R53" s="154"/>
      <c r="S53" s="155"/>
      <c r="T53" s="154"/>
      <c r="U53" s="142"/>
      <c r="V53" s="156"/>
      <c r="W53" s="142"/>
      <c r="X53" s="156"/>
      <c r="Y53" s="156"/>
      <c r="Z53" s="142"/>
      <c r="AA53" s="153"/>
      <c r="AB53" s="157"/>
      <c r="AC53" s="142"/>
      <c r="AD53" s="153"/>
      <c r="AE53" s="157"/>
      <c r="AF53" s="142"/>
      <c r="AG53" s="153"/>
      <c r="AH53" s="156"/>
      <c r="AI53" s="142"/>
      <c r="AJ53" s="153"/>
      <c r="AK53" s="156"/>
      <c r="AL53" s="142"/>
      <c r="AM53" s="158"/>
      <c r="AN53" s="144">
        <v>68.08</v>
      </c>
      <c r="AO53" s="145">
        <f>SUM(AN53:AN53)/SUM(AN53:AN58)*(toNagoya-fromKyoto)</f>
        <v>1.1969948949619771E-2</v>
      </c>
      <c r="AP53" s="89"/>
      <c r="AQ53" s="89"/>
      <c r="AR53" s="89"/>
      <c r="AS53" s="89"/>
    </row>
    <row r="54" spans="1:45" s="90" customFormat="1" x14ac:dyDescent="0.2">
      <c r="A54" s="18"/>
      <c r="B54" s="129"/>
      <c r="C54" s="174"/>
      <c r="D54" s="93" t="s">
        <v>129</v>
      </c>
      <c r="E54" s="148"/>
      <c r="F54" s="148"/>
      <c r="G54" s="151"/>
      <c r="H54" s="151"/>
      <c r="I54" s="148"/>
      <c r="J54" s="151"/>
      <c r="K54" s="147"/>
      <c r="L54" s="148"/>
      <c r="M54" s="147"/>
      <c r="N54" s="147"/>
      <c r="O54" s="148"/>
      <c r="P54" s="147"/>
      <c r="Q54" s="148"/>
      <c r="R54" s="147"/>
      <c r="S54" s="148"/>
      <c r="T54" s="147"/>
      <c r="U54" s="149"/>
      <c r="V54" s="150"/>
      <c r="W54" s="149"/>
      <c r="X54" s="150"/>
      <c r="Y54" s="150"/>
      <c r="Z54" s="149"/>
      <c r="AA54" s="146"/>
      <c r="AB54" s="151"/>
      <c r="AC54" s="149"/>
      <c r="AD54" s="146"/>
      <c r="AE54" s="151"/>
      <c r="AF54" s="149"/>
      <c r="AG54" s="146"/>
      <c r="AH54" s="150"/>
      <c r="AI54" s="149"/>
      <c r="AJ54" s="146"/>
      <c r="AK54" s="150"/>
      <c r="AL54" s="149"/>
      <c r="AM54" s="152"/>
      <c r="AN54" s="127"/>
      <c r="AO54" s="128"/>
      <c r="AP54" s="89"/>
      <c r="AQ54" s="89"/>
      <c r="AR54" s="89"/>
      <c r="AS54" s="89"/>
    </row>
    <row r="55" spans="1:45" s="90" customFormat="1" x14ac:dyDescent="0.2">
      <c r="A55" s="18">
        <f>fromKyoto+AO55</f>
        <v>0.85253131696742535</v>
      </c>
      <c r="B55" s="129" t="str">
        <f>"ただいま{+"&amp;D55&amp;"駅}を通過。Passing {+"&amp;D56&amp;"} station."</f>
        <v>ただいま{+岐阜羽島駅}を通過。Passing {+Gifu-Hashima} station.</v>
      </c>
      <c r="C55" s="174"/>
      <c r="D55" s="170" t="s">
        <v>19</v>
      </c>
      <c r="E55" s="155"/>
      <c r="F55" s="155"/>
      <c r="G55" s="157"/>
      <c r="H55" s="157"/>
      <c r="I55" s="155"/>
      <c r="J55" s="157"/>
      <c r="K55" s="154"/>
      <c r="L55" s="155"/>
      <c r="M55" s="154"/>
      <c r="N55" s="154"/>
      <c r="O55" s="155"/>
      <c r="P55" s="154"/>
      <c r="Q55" s="155"/>
      <c r="R55" s="154"/>
      <c r="S55" s="155"/>
      <c r="T55" s="154"/>
      <c r="U55" s="142"/>
      <c r="V55" s="156"/>
      <c r="W55" s="142"/>
      <c r="X55" s="156"/>
      <c r="Y55" s="156"/>
      <c r="Z55" s="142"/>
      <c r="AA55" s="153"/>
      <c r="AB55" s="157"/>
      <c r="AC55" s="142"/>
      <c r="AD55" s="153"/>
      <c r="AE55" s="157"/>
      <c r="AF55" s="142"/>
      <c r="AG55" s="153"/>
      <c r="AH55" s="156"/>
      <c r="AI55" s="142"/>
      <c r="AJ55" s="153"/>
      <c r="AK55" s="156"/>
      <c r="AL55" s="142"/>
      <c r="AM55" s="158"/>
      <c r="AN55" s="144">
        <v>41.11</v>
      </c>
      <c r="AO55" s="145">
        <f>SUM(AN53:AN55)/SUM(AN53:AN58)*(toNagoya-fromKyoto)</f>
        <v>1.9197983634091989E-2</v>
      </c>
      <c r="AP55" s="89"/>
      <c r="AQ55" s="89"/>
      <c r="AR55" s="89"/>
      <c r="AS55" s="89"/>
    </row>
    <row r="56" spans="1:45" s="90" customFormat="1" x14ac:dyDescent="0.2">
      <c r="A56" s="18"/>
      <c r="B56" s="129"/>
      <c r="C56" s="174"/>
      <c r="D56" s="95" t="s">
        <v>130</v>
      </c>
      <c r="E56" s="148"/>
      <c r="F56" s="148"/>
      <c r="G56" s="151"/>
      <c r="H56" s="151"/>
      <c r="I56" s="148"/>
      <c r="J56" s="151"/>
      <c r="K56" s="147"/>
      <c r="L56" s="148"/>
      <c r="M56" s="147"/>
      <c r="N56" s="147"/>
      <c r="O56" s="148"/>
      <c r="P56" s="147"/>
      <c r="Q56" s="148"/>
      <c r="R56" s="147"/>
      <c r="S56" s="148"/>
      <c r="T56" s="147"/>
      <c r="U56" s="149"/>
      <c r="V56" s="150"/>
      <c r="W56" s="149"/>
      <c r="X56" s="150"/>
      <c r="Y56" s="150"/>
      <c r="Z56" s="149"/>
      <c r="AA56" s="146"/>
      <c r="AB56" s="151"/>
      <c r="AC56" s="149"/>
      <c r="AD56" s="146"/>
      <c r="AE56" s="151"/>
      <c r="AF56" s="149"/>
      <c r="AG56" s="146"/>
      <c r="AH56" s="150"/>
      <c r="AI56" s="149"/>
      <c r="AJ56" s="146"/>
      <c r="AK56" s="150"/>
      <c r="AL56" s="149"/>
      <c r="AM56" s="152"/>
      <c r="AN56" s="127"/>
      <c r="AO56" s="128"/>
      <c r="AP56" s="89"/>
      <c r="AQ56" s="89"/>
      <c r="AR56" s="89"/>
      <c r="AS56" s="89"/>
    </row>
    <row r="57" spans="1:45" ht="85.5" x14ac:dyDescent="0.2">
      <c r="A57" s="18">
        <f>C58-beforehand</f>
        <v>0.85486111111111107</v>
      </c>
      <c r="B57" s="129" t="s">
        <v>156</v>
      </c>
      <c r="C57" s="174"/>
      <c r="D57" s="136"/>
      <c r="E57" s="155"/>
      <c r="F57" s="155"/>
      <c r="G57" s="157"/>
      <c r="H57" s="157"/>
      <c r="I57" s="155"/>
      <c r="J57" s="157"/>
      <c r="K57" s="154"/>
      <c r="L57" s="155"/>
      <c r="M57" s="154"/>
      <c r="N57" s="154"/>
      <c r="O57" s="155"/>
      <c r="P57" s="154"/>
      <c r="Q57" s="155"/>
      <c r="R57" s="154"/>
      <c r="S57" s="155"/>
      <c r="T57" s="154"/>
      <c r="U57" s="142"/>
      <c r="V57" s="156"/>
      <c r="W57" s="142"/>
      <c r="X57" s="156"/>
      <c r="Y57" s="156"/>
      <c r="Z57" s="142"/>
      <c r="AA57" s="153"/>
      <c r="AB57" s="157"/>
      <c r="AC57" s="142"/>
      <c r="AD57" s="153"/>
      <c r="AE57" s="157"/>
      <c r="AF57" s="142"/>
      <c r="AG57" s="153"/>
      <c r="AH57" s="156"/>
      <c r="AI57" s="142"/>
      <c r="AJ57" s="153"/>
      <c r="AK57" s="156"/>
      <c r="AL57" s="142"/>
      <c r="AM57" s="158"/>
      <c r="AN57" s="144"/>
      <c r="AO57" s="145"/>
    </row>
    <row r="58" spans="1:45" x14ac:dyDescent="0.2">
      <c r="A58" s="18">
        <f>toNagoya</f>
        <v>0.8569444444444444</v>
      </c>
      <c r="B58" s="129" t="s">
        <v>157</v>
      </c>
      <c r="C58" s="174">
        <f>HLOOKUP(selector,table,58,FALSE)</f>
        <v>0.8569444444444444</v>
      </c>
      <c r="D58" s="99" t="s">
        <v>18</v>
      </c>
      <c r="E58" s="116">
        <v>0.38819444444444445</v>
      </c>
      <c r="F58" s="116">
        <v>0.41319444444444442</v>
      </c>
      <c r="G58" s="114">
        <v>0.41944444444444445</v>
      </c>
      <c r="H58" s="114">
        <v>0.44027777777777777</v>
      </c>
      <c r="I58" s="116">
        <v>0.4548611111111111</v>
      </c>
      <c r="J58" s="114">
        <v>0.47152777777777777</v>
      </c>
      <c r="K58" s="112">
        <v>0.48194444444444445</v>
      </c>
      <c r="L58" s="116">
        <v>0.49652777777777773</v>
      </c>
      <c r="M58" s="112">
        <v>0.51944444444444449</v>
      </c>
      <c r="N58" s="112">
        <v>0.52361111111111114</v>
      </c>
      <c r="O58" s="116">
        <v>0.53819444444444442</v>
      </c>
      <c r="P58" s="112">
        <v>0.56527777777777777</v>
      </c>
      <c r="Q58" s="116">
        <v>0.57986111111111105</v>
      </c>
      <c r="R58" s="112">
        <v>0.6069444444444444</v>
      </c>
      <c r="S58" s="116">
        <v>0.62152777777777779</v>
      </c>
      <c r="T58" s="112">
        <v>0.64861111111111114</v>
      </c>
      <c r="U58" s="68">
        <v>0.66319444444444442</v>
      </c>
      <c r="V58" s="109">
        <v>0.69027777777777777</v>
      </c>
      <c r="W58" s="68">
        <v>0.70486111111111116</v>
      </c>
      <c r="X58" s="109">
        <v>0.72777777777777775</v>
      </c>
      <c r="Y58" s="109">
        <v>0.7319444444444444</v>
      </c>
      <c r="Z58" s="68">
        <v>0.74652777777777779</v>
      </c>
      <c r="AA58" s="107">
        <v>0.7631944444444444</v>
      </c>
      <c r="AB58" s="114">
        <v>0.77361111111111114</v>
      </c>
      <c r="AC58" s="68">
        <v>0.78819444444444453</v>
      </c>
      <c r="AD58" s="107">
        <v>0.80486111111111114</v>
      </c>
      <c r="AE58" s="114">
        <v>0.81527777777777777</v>
      </c>
      <c r="AF58" s="68">
        <v>0.82986111111111116</v>
      </c>
      <c r="AG58" s="107">
        <v>0.84652777777777777</v>
      </c>
      <c r="AH58" s="109">
        <v>0.8569444444444444</v>
      </c>
      <c r="AI58" s="68">
        <v>0.87152777777777779</v>
      </c>
      <c r="AJ58" s="107">
        <v>0.88958333333333339</v>
      </c>
      <c r="AK58" s="109">
        <v>0.89930555555555547</v>
      </c>
      <c r="AL58" s="68">
        <v>0.91319444444444453</v>
      </c>
      <c r="AM58" s="67">
        <v>0.9243055555555556</v>
      </c>
      <c r="AN58" s="121">
        <v>25.1</v>
      </c>
      <c r="AO58" s="122">
        <f>SUM(AN53:AN58)/SUM(AN53:AN58)*(toNagoya-fromKyoto)</f>
        <v>2.3611111111111027E-2</v>
      </c>
    </row>
    <row r="59" spans="1:45" x14ac:dyDescent="0.2">
      <c r="A59" s="18">
        <f>fromNagoya</f>
        <v>0.85763888888888884</v>
      </c>
      <c r="B59" s="129" t="s">
        <v>158</v>
      </c>
      <c r="C59" s="174">
        <f>HLOOKUP(selector,table,59,FALSE)</f>
        <v>0.85763888888888884</v>
      </c>
      <c r="D59" s="104" t="s">
        <v>131</v>
      </c>
      <c r="E59" s="148">
        <v>0.3888888888888889</v>
      </c>
      <c r="F59" s="148">
        <v>0.4145833333333333</v>
      </c>
      <c r="G59" s="151">
        <v>0.42083333333333334</v>
      </c>
      <c r="H59" s="151">
        <v>0.44166666666666665</v>
      </c>
      <c r="I59" s="148">
        <v>0.45624999999999999</v>
      </c>
      <c r="J59" s="151">
        <v>0.47222222222222227</v>
      </c>
      <c r="K59" s="147">
        <v>0.48333333333333334</v>
      </c>
      <c r="L59" s="148">
        <v>0.49791666666666662</v>
      </c>
      <c r="M59" s="147">
        <v>0.52013888888888882</v>
      </c>
      <c r="N59" s="147">
        <v>0.52500000000000002</v>
      </c>
      <c r="O59" s="148">
        <v>0.5395833333333333</v>
      </c>
      <c r="P59" s="147">
        <v>0.56666666666666665</v>
      </c>
      <c r="Q59" s="148">
        <v>0.58124999999999993</v>
      </c>
      <c r="R59" s="147">
        <v>0.60833333333333328</v>
      </c>
      <c r="S59" s="148">
        <v>0.62291666666666667</v>
      </c>
      <c r="T59" s="147">
        <v>0.65</v>
      </c>
      <c r="U59" s="149">
        <v>0.6645833333333333</v>
      </c>
      <c r="V59" s="150">
        <v>0.69166666666666676</v>
      </c>
      <c r="W59" s="149">
        <v>0.70624999999999993</v>
      </c>
      <c r="X59" s="150">
        <v>0.7284722222222223</v>
      </c>
      <c r="Y59" s="150">
        <v>0.73333333333333339</v>
      </c>
      <c r="Z59" s="149">
        <v>0.74791666666666667</v>
      </c>
      <c r="AA59" s="146">
        <v>0.76388888888888884</v>
      </c>
      <c r="AB59" s="151">
        <v>0.77500000000000002</v>
      </c>
      <c r="AC59" s="149">
        <v>0.7895833333333333</v>
      </c>
      <c r="AD59" s="146">
        <v>0.80555555555555547</v>
      </c>
      <c r="AE59" s="151">
        <v>0.81666666666666676</v>
      </c>
      <c r="AF59" s="149">
        <v>0.83124999999999993</v>
      </c>
      <c r="AG59" s="146">
        <v>0.84722222222222221</v>
      </c>
      <c r="AH59" s="150">
        <v>0.85763888888888884</v>
      </c>
      <c r="AI59" s="149">
        <v>0.87222222222222223</v>
      </c>
      <c r="AJ59" s="146">
        <v>0.89027777777777783</v>
      </c>
      <c r="AK59" s="150">
        <v>0.90069444444444446</v>
      </c>
      <c r="AL59" s="149">
        <v>0.91388888888888886</v>
      </c>
      <c r="AM59" s="152">
        <v>0.92499999999999993</v>
      </c>
      <c r="AN59" s="127"/>
      <c r="AO59" s="128"/>
    </row>
    <row r="60" spans="1:45" s="92" customFormat="1" x14ac:dyDescent="0.2">
      <c r="A60" s="18">
        <f>fromNagoya+AO60</f>
        <v>0.86282879030446014</v>
      </c>
      <c r="B60" s="129" t="str">
        <f>"ただいま{+"&amp;D60&amp;"駅}を通過。Passing {+"&amp;D61&amp;"} station."</f>
        <v>ただいま{+三河安城駅}を通過。Passing {+Mikawa-Anjo} station.</v>
      </c>
      <c r="C60" s="174"/>
      <c r="D60" s="170" t="s">
        <v>17</v>
      </c>
      <c r="E60" s="155"/>
      <c r="F60" s="155"/>
      <c r="G60" s="157"/>
      <c r="H60" s="157"/>
      <c r="I60" s="155"/>
      <c r="J60" s="157"/>
      <c r="K60" s="154"/>
      <c r="L60" s="155"/>
      <c r="M60" s="154"/>
      <c r="N60" s="154"/>
      <c r="O60" s="155"/>
      <c r="P60" s="154"/>
      <c r="Q60" s="155"/>
      <c r="R60" s="154"/>
      <c r="S60" s="155"/>
      <c r="T60" s="154"/>
      <c r="U60" s="142"/>
      <c r="V60" s="156"/>
      <c r="W60" s="142"/>
      <c r="X60" s="156"/>
      <c r="Y60" s="156"/>
      <c r="Z60" s="142"/>
      <c r="AA60" s="153"/>
      <c r="AB60" s="157"/>
      <c r="AC60" s="142"/>
      <c r="AD60" s="153"/>
      <c r="AE60" s="157"/>
      <c r="AF60" s="142"/>
      <c r="AG60" s="153"/>
      <c r="AH60" s="156"/>
      <c r="AI60" s="142"/>
      <c r="AJ60" s="153"/>
      <c r="AK60" s="156"/>
      <c r="AL60" s="142"/>
      <c r="AM60" s="158"/>
      <c r="AN60" s="144">
        <v>29.2</v>
      </c>
      <c r="AO60" s="145">
        <f>SUM(AN60:AN60)/SUM(AN60:AN79)*(toYokohama-fromNagoya)</f>
        <v>5.189901415571286E-3</v>
      </c>
      <c r="AP60" s="91"/>
      <c r="AQ60" s="91"/>
      <c r="AR60" s="91"/>
      <c r="AS60" s="91"/>
    </row>
    <row r="61" spans="1:45" s="92" customFormat="1" x14ac:dyDescent="0.2">
      <c r="A61" s="18"/>
      <c r="B61" s="129"/>
      <c r="C61" s="174"/>
      <c r="D61" s="93" t="s">
        <v>132</v>
      </c>
      <c r="E61" s="148"/>
      <c r="F61" s="148"/>
      <c r="G61" s="151"/>
      <c r="H61" s="151"/>
      <c r="I61" s="148"/>
      <c r="J61" s="151"/>
      <c r="K61" s="147"/>
      <c r="L61" s="148"/>
      <c r="M61" s="147"/>
      <c r="N61" s="147"/>
      <c r="O61" s="148"/>
      <c r="P61" s="147"/>
      <c r="Q61" s="148"/>
      <c r="R61" s="147"/>
      <c r="S61" s="148"/>
      <c r="T61" s="147"/>
      <c r="U61" s="149"/>
      <c r="V61" s="150"/>
      <c r="W61" s="149"/>
      <c r="X61" s="150"/>
      <c r="Y61" s="150"/>
      <c r="Z61" s="149"/>
      <c r="AA61" s="146"/>
      <c r="AB61" s="151"/>
      <c r="AC61" s="149"/>
      <c r="AD61" s="146"/>
      <c r="AE61" s="151"/>
      <c r="AF61" s="149"/>
      <c r="AG61" s="146"/>
      <c r="AH61" s="150"/>
      <c r="AI61" s="149"/>
      <c r="AJ61" s="146"/>
      <c r="AK61" s="150"/>
      <c r="AL61" s="149"/>
      <c r="AM61" s="152"/>
      <c r="AN61" s="127"/>
      <c r="AO61" s="128"/>
      <c r="AP61" s="91"/>
      <c r="AQ61" s="91"/>
      <c r="AR61" s="91"/>
      <c r="AS61" s="91"/>
    </row>
    <row r="62" spans="1:45" s="92" customFormat="1" x14ac:dyDescent="0.2">
      <c r="A62" s="18">
        <f>fromNagoya+AO62</f>
        <v>0.86969830022609818</v>
      </c>
      <c r="B62" s="129" t="str">
        <f>"ただいま{+"&amp;D62&amp;"駅}を通過。Passing {+"&amp;D63&amp;"} station."</f>
        <v>ただいま{+豊橋駅}を通過。Passing {+Toyohashi} station.</v>
      </c>
      <c r="C62" s="174"/>
      <c r="D62" s="170" t="s">
        <v>16</v>
      </c>
      <c r="E62" s="155"/>
      <c r="F62" s="155"/>
      <c r="G62" s="157"/>
      <c r="H62" s="157"/>
      <c r="I62" s="155"/>
      <c r="J62" s="157"/>
      <c r="K62" s="154"/>
      <c r="L62" s="155"/>
      <c r="M62" s="154"/>
      <c r="N62" s="154"/>
      <c r="O62" s="155"/>
      <c r="P62" s="154"/>
      <c r="Q62" s="155"/>
      <c r="R62" s="154"/>
      <c r="S62" s="155"/>
      <c r="T62" s="154"/>
      <c r="U62" s="142"/>
      <c r="V62" s="156"/>
      <c r="W62" s="142"/>
      <c r="X62" s="156"/>
      <c r="Y62" s="156"/>
      <c r="Z62" s="142"/>
      <c r="AA62" s="153"/>
      <c r="AB62" s="157"/>
      <c r="AC62" s="142"/>
      <c r="AD62" s="153"/>
      <c r="AE62" s="157"/>
      <c r="AF62" s="142"/>
      <c r="AG62" s="153"/>
      <c r="AH62" s="156"/>
      <c r="AI62" s="142"/>
      <c r="AJ62" s="153"/>
      <c r="AK62" s="156"/>
      <c r="AL62" s="142"/>
      <c r="AM62" s="158"/>
      <c r="AN62" s="144">
        <v>38.65</v>
      </c>
      <c r="AO62" s="145">
        <f>SUM(AN60:AN62)/SUM(AN60:AN79)*(toYokohama-fromNagoya)</f>
        <v>1.2059411337209305E-2</v>
      </c>
      <c r="AP62" s="91"/>
      <c r="AQ62" s="91"/>
      <c r="AR62" s="91"/>
      <c r="AS62" s="91"/>
    </row>
    <row r="63" spans="1:45" s="92" customFormat="1" x14ac:dyDescent="0.2">
      <c r="A63" s="18"/>
      <c r="B63" s="129"/>
      <c r="C63" s="174"/>
      <c r="D63" s="95" t="s">
        <v>133</v>
      </c>
      <c r="E63" s="148"/>
      <c r="F63" s="148"/>
      <c r="G63" s="151"/>
      <c r="H63" s="151"/>
      <c r="I63" s="148"/>
      <c r="J63" s="151"/>
      <c r="K63" s="147"/>
      <c r="L63" s="148"/>
      <c r="M63" s="147"/>
      <c r="N63" s="147"/>
      <c r="O63" s="148"/>
      <c r="P63" s="147"/>
      <c r="Q63" s="148"/>
      <c r="R63" s="147"/>
      <c r="S63" s="148"/>
      <c r="T63" s="147"/>
      <c r="U63" s="149"/>
      <c r="V63" s="150"/>
      <c r="W63" s="149"/>
      <c r="X63" s="150"/>
      <c r="Y63" s="150"/>
      <c r="Z63" s="149"/>
      <c r="AA63" s="146"/>
      <c r="AB63" s="151"/>
      <c r="AC63" s="149"/>
      <c r="AD63" s="146"/>
      <c r="AE63" s="151"/>
      <c r="AF63" s="149"/>
      <c r="AG63" s="146"/>
      <c r="AH63" s="150"/>
      <c r="AI63" s="149"/>
      <c r="AJ63" s="146"/>
      <c r="AK63" s="150"/>
      <c r="AL63" s="149"/>
      <c r="AM63" s="152"/>
      <c r="AN63" s="127"/>
      <c r="AO63" s="128"/>
      <c r="AP63" s="91"/>
      <c r="AQ63" s="91"/>
      <c r="AR63" s="91"/>
      <c r="AS63" s="91"/>
    </row>
    <row r="64" spans="1:45" s="92" customFormat="1" x14ac:dyDescent="0.2">
      <c r="A64" s="18">
        <f>fromNagoya+AO64</f>
        <v>0.87596350655825184</v>
      </c>
      <c r="B64" s="129" t="str">
        <f>"ただいま{+"&amp;D64&amp;"駅}を通過。Passing {+"&amp;D65&amp;"} station."</f>
        <v>ただいま{+浜松駅}を通過。Passing {+Hamamatsu} station.</v>
      </c>
      <c r="C64" s="174"/>
      <c r="D64" s="170" t="s">
        <v>15</v>
      </c>
      <c r="E64" s="155"/>
      <c r="F64" s="155"/>
      <c r="G64" s="157"/>
      <c r="H64" s="157"/>
      <c r="I64" s="155"/>
      <c r="J64" s="157"/>
      <c r="K64" s="154"/>
      <c r="L64" s="155"/>
      <c r="M64" s="154"/>
      <c r="N64" s="154"/>
      <c r="O64" s="155"/>
      <c r="P64" s="154"/>
      <c r="Q64" s="155"/>
      <c r="R64" s="154"/>
      <c r="S64" s="155"/>
      <c r="T64" s="154"/>
      <c r="U64" s="142"/>
      <c r="V64" s="156"/>
      <c r="W64" s="142"/>
      <c r="X64" s="156"/>
      <c r="Y64" s="156"/>
      <c r="Z64" s="142"/>
      <c r="AA64" s="153"/>
      <c r="AB64" s="157"/>
      <c r="AC64" s="142"/>
      <c r="AD64" s="153"/>
      <c r="AE64" s="157"/>
      <c r="AF64" s="142"/>
      <c r="AG64" s="153"/>
      <c r="AH64" s="156"/>
      <c r="AI64" s="142"/>
      <c r="AJ64" s="153"/>
      <c r="AK64" s="156"/>
      <c r="AL64" s="142"/>
      <c r="AM64" s="158"/>
      <c r="AN64" s="144">
        <v>35.25</v>
      </c>
      <c r="AO64" s="145">
        <f>SUM(AN60:AN64)/SUM(AN60:AN79)*(toYokohama-fromNagoya)</f>
        <v>1.8324617669362997E-2</v>
      </c>
      <c r="AP64" s="91"/>
      <c r="AQ64" s="91"/>
      <c r="AR64" s="91"/>
      <c r="AS64" s="91"/>
    </row>
    <row r="65" spans="1:45" s="92" customFormat="1" x14ac:dyDescent="0.2">
      <c r="A65" s="18"/>
      <c r="B65" s="129"/>
      <c r="C65" s="174"/>
      <c r="D65" s="95" t="s">
        <v>134</v>
      </c>
      <c r="E65" s="148"/>
      <c r="F65" s="148"/>
      <c r="G65" s="151"/>
      <c r="H65" s="151"/>
      <c r="I65" s="148"/>
      <c r="J65" s="151"/>
      <c r="K65" s="147"/>
      <c r="L65" s="148"/>
      <c r="M65" s="147"/>
      <c r="N65" s="147"/>
      <c r="O65" s="148"/>
      <c r="P65" s="147"/>
      <c r="Q65" s="148"/>
      <c r="R65" s="147"/>
      <c r="S65" s="148"/>
      <c r="T65" s="147"/>
      <c r="U65" s="149"/>
      <c r="V65" s="150"/>
      <c r="W65" s="149"/>
      <c r="X65" s="150"/>
      <c r="Y65" s="150"/>
      <c r="Z65" s="149"/>
      <c r="AA65" s="146"/>
      <c r="AB65" s="151"/>
      <c r="AC65" s="149"/>
      <c r="AD65" s="146"/>
      <c r="AE65" s="151"/>
      <c r="AF65" s="149"/>
      <c r="AG65" s="146"/>
      <c r="AH65" s="150"/>
      <c r="AI65" s="149"/>
      <c r="AJ65" s="146"/>
      <c r="AK65" s="150"/>
      <c r="AL65" s="149"/>
      <c r="AM65" s="152"/>
      <c r="AN65" s="127"/>
      <c r="AO65" s="128"/>
      <c r="AP65" s="91"/>
      <c r="AQ65" s="91"/>
      <c r="AR65" s="91"/>
      <c r="AS65" s="91"/>
    </row>
    <row r="66" spans="1:45" s="92" customFormat="1" x14ac:dyDescent="0.2">
      <c r="A66" s="18">
        <f>fromNagoya+AO66</f>
        <v>0.88087258454106276</v>
      </c>
      <c r="B66" s="129" t="str">
        <f>"ただいま{+"&amp;D66&amp;"駅}を通過。Passing {+"&amp;D67&amp;"} station."</f>
        <v>ただいま{+掛川駅}を通過。Passing {+Kakegawa} station.</v>
      </c>
      <c r="C66" s="174"/>
      <c r="D66" s="170" t="s">
        <v>14</v>
      </c>
      <c r="E66" s="155"/>
      <c r="F66" s="155"/>
      <c r="G66" s="157"/>
      <c r="H66" s="157"/>
      <c r="I66" s="155"/>
      <c r="J66" s="157"/>
      <c r="K66" s="154"/>
      <c r="L66" s="155"/>
      <c r="M66" s="154"/>
      <c r="N66" s="154"/>
      <c r="O66" s="155"/>
      <c r="P66" s="154"/>
      <c r="Q66" s="155"/>
      <c r="R66" s="154"/>
      <c r="S66" s="155"/>
      <c r="T66" s="154"/>
      <c r="U66" s="142"/>
      <c r="V66" s="156"/>
      <c r="W66" s="142"/>
      <c r="X66" s="156"/>
      <c r="Y66" s="156"/>
      <c r="Z66" s="142"/>
      <c r="AA66" s="153"/>
      <c r="AB66" s="157"/>
      <c r="AC66" s="142"/>
      <c r="AD66" s="153"/>
      <c r="AE66" s="157"/>
      <c r="AF66" s="142"/>
      <c r="AG66" s="153"/>
      <c r="AH66" s="156"/>
      <c r="AI66" s="142"/>
      <c r="AJ66" s="153"/>
      <c r="AK66" s="156"/>
      <c r="AL66" s="142"/>
      <c r="AM66" s="158"/>
      <c r="AN66" s="144">
        <v>27.62</v>
      </c>
      <c r="AO66" s="145">
        <f>SUM(AN60:AN66)/SUM(AN60:AN79)*(toYokohama-fromNagoya)</f>
        <v>2.3233695652173918E-2</v>
      </c>
      <c r="AP66" s="91"/>
      <c r="AQ66" s="91"/>
      <c r="AR66" s="91"/>
      <c r="AS66" s="91"/>
    </row>
    <row r="67" spans="1:45" s="92" customFormat="1" x14ac:dyDescent="0.2">
      <c r="A67" s="18"/>
      <c r="B67" s="129"/>
      <c r="C67" s="174"/>
      <c r="D67" s="95" t="s">
        <v>135</v>
      </c>
      <c r="E67" s="148"/>
      <c r="F67" s="148"/>
      <c r="G67" s="151"/>
      <c r="H67" s="151"/>
      <c r="I67" s="148"/>
      <c r="J67" s="151"/>
      <c r="K67" s="147"/>
      <c r="L67" s="148"/>
      <c r="M67" s="147"/>
      <c r="N67" s="147"/>
      <c r="O67" s="148"/>
      <c r="P67" s="147"/>
      <c r="Q67" s="148"/>
      <c r="R67" s="147"/>
      <c r="S67" s="148"/>
      <c r="T67" s="147"/>
      <c r="U67" s="149"/>
      <c r="V67" s="150"/>
      <c r="W67" s="149"/>
      <c r="X67" s="150"/>
      <c r="Y67" s="150"/>
      <c r="Z67" s="149"/>
      <c r="AA67" s="146"/>
      <c r="AB67" s="151"/>
      <c r="AC67" s="149"/>
      <c r="AD67" s="146"/>
      <c r="AE67" s="151"/>
      <c r="AF67" s="149"/>
      <c r="AG67" s="146"/>
      <c r="AH67" s="150"/>
      <c r="AI67" s="149"/>
      <c r="AJ67" s="146"/>
      <c r="AK67" s="150"/>
      <c r="AL67" s="149"/>
      <c r="AM67" s="152"/>
      <c r="AN67" s="127"/>
      <c r="AO67" s="128"/>
      <c r="AP67" s="91"/>
      <c r="AQ67" s="91"/>
      <c r="AR67" s="91"/>
      <c r="AS67" s="91"/>
    </row>
    <row r="68" spans="1:45" s="92" customFormat="1" x14ac:dyDescent="0.2">
      <c r="A68" s="18">
        <f>fromNagoya+AO68</f>
        <v>0.88866810084541059</v>
      </c>
      <c r="B68" s="129" t="str">
        <f>"ただいま{+"&amp;D68&amp;"駅}を通過。Passing {+"&amp;D69&amp;"} station."</f>
        <v>ただいま{+静岡駅}を通過。Passing {+Shizuoka} station.</v>
      </c>
      <c r="C68" s="174"/>
      <c r="D68" s="170" t="s">
        <v>13</v>
      </c>
      <c r="E68" s="155"/>
      <c r="F68" s="155"/>
      <c r="G68" s="157"/>
      <c r="H68" s="157"/>
      <c r="I68" s="155"/>
      <c r="J68" s="157"/>
      <c r="K68" s="154"/>
      <c r="L68" s="155"/>
      <c r="M68" s="154"/>
      <c r="N68" s="154"/>
      <c r="O68" s="155"/>
      <c r="P68" s="154"/>
      <c r="Q68" s="155"/>
      <c r="R68" s="154"/>
      <c r="S68" s="155"/>
      <c r="T68" s="154"/>
      <c r="U68" s="142"/>
      <c r="V68" s="156"/>
      <c r="W68" s="142"/>
      <c r="X68" s="156"/>
      <c r="Y68" s="156"/>
      <c r="Z68" s="142"/>
      <c r="AA68" s="153"/>
      <c r="AB68" s="157"/>
      <c r="AC68" s="142"/>
      <c r="AD68" s="153"/>
      <c r="AE68" s="157"/>
      <c r="AF68" s="142"/>
      <c r="AG68" s="153"/>
      <c r="AH68" s="156"/>
      <c r="AI68" s="142"/>
      <c r="AJ68" s="153"/>
      <c r="AK68" s="156"/>
      <c r="AL68" s="142"/>
      <c r="AM68" s="158"/>
      <c r="AN68" s="144">
        <v>43.86</v>
      </c>
      <c r="AO68" s="145">
        <f>SUM(AN60:AN68)/SUM(AN60:AN79)*(toYokohama-fromNagoya)</f>
        <v>3.1029211956521748E-2</v>
      </c>
      <c r="AP68" s="91"/>
      <c r="AQ68" s="91"/>
      <c r="AR68" s="91"/>
      <c r="AS68" s="91"/>
    </row>
    <row r="69" spans="1:45" s="92" customFormat="1" x14ac:dyDescent="0.2">
      <c r="A69" s="18"/>
      <c r="B69" s="129"/>
      <c r="C69" s="174"/>
      <c r="D69" s="95" t="s">
        <v>136</v>
      </c>
      <c r="E69" s="148"/>
      <c r="F69" s="148"/>
      <c r="G69" s="151"/>
      <c r="H69" s="151"/>
      <c r="I69" s="148"/>
      <c r="J69" s="151"/>
      <c r="K69" s="147"/>
      <c r="L69" s="148"/>
      <c r="M69" s="147"/>
      <c r="N69" s="147"/>
      <c r="O69" s="148"/>
      <c r="P69" s="147"/>
      <c r="Q69" s="148"/>
      <c r="R69" s="147"/>
      <c r="S69" s="148"/>
      <c r="T69" s="147"/>
      <c r="U69" s="149"/>
      <c r="V69" s="150"/>
      <c r="W69" s="149"/>
      <c r="X69" s="150"/>
      <c r="Y69" s="150"/>
      <c r="Z69" s="149"/>
      <c r="AA69" s="146"/>
      <c r="AB69" s="151"/>
      <c r="AC69" s="149"/>
      <c r="AD69" s="146"/>
      <c r="AE69" s="151"/>
      <c r="AF69" s="149"/>
      <c r="AG69" s="146"/>
      <c r="AH69" s="150"/>
      <c r="AI69" s="149"/>
      <c r="AJ69" s="146"/>
      <c r="AK69" s="150"/>
      <c r="AL69" s="149"/>
      <c r="AM69" s="152"/>
      <c r="AN69" s="127"/>
      <c r="AO69" s="128"/>
      <c r="AP69" s="91"/>
      <c r="AQ69" s="91"/>
      <c r="AR69" s="91"/>
      <c r="AS69" s="91"/>
    </row>
    <row r="70" spans="1:45" s="92" customFormat="1" x14ac:dyDescent="0.2">
      <c r="A70" s="18">
        <f>fromNagoya+AO70</f>
        <v>0.89443386803449043</v>
      </c>
      <c r="B70" s="129" t="str">
        <f>"ただいま{+"&amp;D70&amp;"駅}を通過。Passing {+"&amp;D71&amp;"} station."</f>
        <v>ただいま{+新富士駅}を通過。Passing {+Shin-Fuji} station.</v>
      </c>
      <c r="C70" s="174"/>
      <c r="D70" s="170" t="s">
        <v>12</v>
      </c>
      <c r="E70" s="155"/>
      <c r="F70" s="155"/>
      <c r="G70" s="157"/>
      <c r="H70" s="157"/>
      <c r="I70" s="155"/>
      <c r="J70" s="157"/>
      <c r="K70" s="154"/>
      <c r="L70" s="155"/>
      <c r="M70" s="154"/>
      <c r="N70" s="154"/>
      <c r="O70" s="155"/>
      <c r="P70" s="154"/>
      <c r="Q70" s="155"/>
      <c r="R70" s="154"/>
      <c r="S70" s="155"/>
      <c r="T70" s="154"/>
      <c r="U70" s="142"/>
      <c r="V70" s="156"/>
      <c r="W70" s="142"/>
      <c r="X70" s="156"/>
      <c r="Y70" s="156"/>
      <c r="Z70" s="142"/>
      <c r="AA70" s="153"/>
      <c r="AB70" s="157"/>
      <c r="AC70" s="142"/>
      <c r="AD70" s="153"/>
      <c r="AE70" s="157"/>
      <c r="AF70" s="142"/>
      <c r="AG70" s="153"/>
      <c r="AH70" s="156"/>
      <c r="AI70" s="142"/>
      <c r="AJ70" s="153"/>
      <c r="AK70" s="156"/>
      <c r="AL70" s="142"/>
      <c r="AM70" s="158"/>
      <c r="AN70" s="144">
        <v>32.44</v>
      </c>
      <c r="AO70" s="145">
        <f>SUM(AN60:AN70)/SUM(AN60:AN79)*(toYokohama-fromNagoya)</f>
        <v>3.6794979145601626E-2</v>
      </c>
      <c r="AP70" s="91"/>
      <c r="AQ70" s="91"/>
      <c r="AR70" s="91"/>
      <c r="AS70" s="91"/>
    </row>
    <row r="71" spans="1:45" s="92" customFormat="1" x14ac:dyDescent="0.2">
      <c r="A71" s="18"/>
      <c r="B71" s="129"/>
      <c r="C71" s="174"/>
      <c r="D71" s="95" t="s">
        <v>137</v>
      </c>
      <c r="E71" s="148"/>
      <c r="F71" s="148"/>
      <c r="G71" s="151"/>
      <c r="H71" s="151"/>
      <c r="I71" s="148"/>
      <c r="J71" s="151"/>
      <c r="K71" s="147"/>
      <c r="L71" s="148"/>
      <c r="M71" s="147"/>
      <c r="N71" s="147"/>
      <c r="O71" s="148"/>
      <c r="P71" s="147"/>
      <c r="Q71" s="148"/>
      <c r="R71" s="147"/>
      <c r="S71" s="148"/>
      <c r="T71" s="147"/>
      <c r="U71" s="149"/>
      <c r="V71" s="150"/>
      <c r="W71" s="149"/>
      <c r="X71" s="150"/>
      <c r="Y71" s="150"/>
      <c r="Z71" s="149"/>
      <c r="AA71" s="146"/>
      <c r="AB71" s="151"/>
      <c r="AC71" s="149"/>
      <c r="AD71" s="146"/>
      <c r="AE71" s="151"/>
      <c r="AF71" s="149"/>
      <c r="AG71" s="146"/>
      <c r="AH71" s="150"/>
      <c r="AI71" s="149"/>
      <c r="AJ71" s="146"/>
      <c r="AK71" s="150"/>
      <c r="AL71" s="149"/>
      <c r="AM71" s="152"/>
      <c r="AN71" s="127"/>
      <c r="AO71" s="128"/>
      <c r="AP71" s="91"/>
      <c r="AQ71" s="91"/>
      <c r="AR71" s="91"/>
      <c r="AS71" s="91"/>
    </row>
    <row r="72" spans="1:45" s="92" customFormat="1" x14ac:dyDescent="0.2">
      <c r="A72" s="18">
        <f>fromNagoya+AO72</f>
        <v>0.89864621952589596</v>
      </c>
      <c r="B72" s="129" t="str">
        <f>"ただいま{+"&amp;D72&amp;"駅}を通過。Passing {+"&amp;D73&amp;"} station."</f>
        <v>ただいま{+三島駅}を通過。Passing {+Mishima} station.</v>
      </c>
      <c r="C72" s="174"/>
      <c r="D72" s="170" t="s">
        <v>11</v>
      </c>
      <c r="E72" s="155"/>
      <c r="F72" s="155"/>
      <c r="G72" s="157"/>
      <c r="H72" s="157"/>
      <c r="I72" s="155"/>
      <c r="J72" s="157"/>
      <c r="K72" s="154"/>
      <c r="L72" s="155"/>
      <c r="M72" s="154"/>
      <c r="N72" s="154"/>
      <c r="O72" s="155"/>
      <c r="P72" s="154"/>
      <c r="Q72" s="155"/>
      <c r="R72" s="154"/>
      <c r="S72" s="155"/>
      <c r="T72" s="154"/>
      <c r="U72" s="142"/>
      <c r="V72" s="156"/>
      <c r="W72" s="142"/>
      <c r="X72" s="156"/>
      <c r="Y72" s="156"/>
      <c r="Z72" s="142"/>
      <c r="AA72" s="153"/>
      <c r="AB72" s="157"/>
      <c r="AC72" s="142"/>
      <c r="AD72" s="153"/>
      <c r="AE72" s="157"/>
      <c r="AF72" s="142"/>
      <c r="AG72" s="153"/>
      <c r="AH72" s="156"/>
      <c r="AI72" s="142"/>
      <c r="AJ72" s="153"/>
      <c r="AK72" s="156"/>
      <c r="AL72" s="142"/>
      <c r="AM72" s="158"/>
      <c r="AN72" s="144">
        <v>23.7</v>
      </c>
      <c r="AO72" s="145">
        <f>SUM(AN60:AN72)/SUM(AN60:AN79)*(toYokohama-fromNagoya)</f>
        <v>4.1007330637007088E-2</v>
      </c>
      <c r="AP72" s="91"/>
      <c r="AQ72" s="91"/>
      <c r="AR72" s="91"/>
      <c r="AS72" s="91"/>
    </row>
    <row r="73" spans="1:45" s="92" customFormat="1" x14ac:dyDescent="0.2">
      <c r="A73" s="18"/>
      <c r="B73" s="129"/>
      <c r="C73" s="174"/>
      <c r="D73" s="94" t="s">
        <v>138</v>
      </c>
      <c r="E73" s="148"/>
      <c r="F73" s="148"/>
      <c r="G73" s="151"/>
      <c r="H73" s="151"/>
      <c r="I73" s="148"/>
      <c r="J73" s="151"/>
      <c r="K73" s="147"/>
      <c r="L73" s="148"/>
      <c r="M73" s="147"/>
      <c r="N73" s="147"/>
      <c r="O73" s="148"/>
      <c r="P73" s="147"/>
      <c r="Q73" s="148"/>
      <c r="R73" s="147"/>
      <c r="S73" s="148"/>
      <c r="T73" s="147"/>
      <c r="U73" s="149"/>
      <c r="V73" s="150"/>
      <c r="W73" s="149"/>
      <c r="X73" s="150"/>
      <c r="Y73" s="150"/>
      <c r="Z73" s="149"/>
      <c r="AA73" s="146"/>
      <c r="AB73" s="151"/>
      <c r="AC73" s="149"/>
      <c r="AD73" s="146"/>
      <c r="AE73" s="151"/>
      <c r="AF73" s="149"/>
      <c r="AG73" s="146"/>
      <c r="AH73" s="150"/>
      <c r="AI73" s="149"/>
      <c r="AJ73" s="146"/>
      <c r="AK73" s="150"/>
      <c r="AL73" s="149"/>
      <c r="AM73" s="152"/>
      <c r="AN73" s="127"/>
      <c r="AO73" s="128"/>
      <c r="AP73" s="91"/>
      <c r="AQ73" s="91"/>
      <c r="AR73" s="91"/>
      <c r="AS73" s="91"/>
    </row>
    <row r="74" spans="1:45" s="92" customFormat="1" x14ac:dyDescent="0.2">
      <c r="A74" s="18">
        <f>fromNagoya+AO74</f>
        <v>0.90146689539798897</v>
      </c>
      <c r="B74" s="129" t="str">
        <f>"ただいま{+"&amp;D74&amp;"駅}を通過。Passing {+"&amp;D75&amp;"} station."</f>
        <v>ただいま{+熱海駅}を通過。Passing {+Atami} station.</v>
      </c>
      <c r="C74" s="174"/>
      <c r="D74" s="170" t="s">
        <v>10</v>
      </c>
      <c r="E74" s="155"/>
      <c r="F74" s="155"/>
      <c r="G74" s="157"/>
      <c r="H74" s="157"/>
      <c r="I74" s="155"/>
      <c r="J74" s="157"/>
      <c r="K74" s="154"/>
      <c r="L74" s="155"/>
      <c r="M74" s="154"/>
      <c r="N74" s="154"/>
      <c r="O74" s="155"/>
      <c r="P74" s="154"/>
      <c r="Q74" s="155"/>
      <c r="R74" s="154"/>
      <c r="S74" s="155"/>
      <c r="T74" s="154"/>
      <c r="U74" s="142"/>
      <c r="V74" s="156"/>
      <c r="W74" s="142"/>
      <c r="X74" s="156"/>
      <c r="Y74" s="156"/>
      <c r="Z74" s="142"/>
      <c r="AA74" s="153"/>
      <c r="AB74" s="157"/>
      <c r="AC74" s="142"/>
      <c r="AD74" s="153"/>
      <c r="AE74" s="157"/>
      <c r="AF74" s="142"/>
      <c r="AG74" s="153"/>
      <c r="AH74" s="156"/>
      <c r="AI74" s="142"/>
      <c r="AJ74" s="153"/>
      <c r="AK74" s="156"/>
      <c r="AL74" s="142"/>
      <c r="AM74" s="158"/>
      <c r="AN74" s="144">
        <v>15.87</v>
      </c>
      <c r="AO74" s="145">
        <f>SUM(AN60:AN74)/SUM(AN60:AN79)*(toYokohama-fromNagoya)</f>
        <v>4.3828006509100112E-2</v>
      </c>
      <c r="AP74" s="91"/>
      <c r="AQ74" s="91"/>
      <c r="AR74" s="91"/>
      <c r="AS74" s="91"/>
    </row>
    <row r="75" spans="1:45" s="92" customFormat="1" x14ac:dyDescent="0.2">
      <c r="A75" s="18"/>
      <c r="B75" s="129"/>
      <c r="C75" s="174"/>
      <c r="D75" s="95" t="s">
        <v>139</v>
      </c>
      <c r="E75" s="148"/>
      <c r="F75" s="148"/>
      <c r="G75" s="151"/>
      <c r="H75" s="151"/>
      <c r="I75" s="148"/>
      <c r="J75" s="151"/>
      <c r="K75" s="147"/>
      <c r="L75" s="148"/>
      <c r="M75" s="147"/>
      <c r="N75" s="147"/>
      <c r="O75" s="148"/>
      <c r="P75" s="147"/>
      <c r="Q75" s="148"/>
      <c r="R75" s="147"/>
      <c r="S75" s="148"/>
      <c r="T75" s="147"/>
      <c r="U75" s="149"/>
      <c r="V75" s="150"/>
      <c r="W75" s="149"/>
      <c r="X75" s="150"/>
      <c r="Y75" s="150"/>
      <c r="Z75" s="149"/>
      <c r="AA75" s="146"/>
      <c r="AB75" s="151"/>
      <c r="AC75" s="149"/>
      <c r="AD75" s="146"/>
      <c r="AE75" s="151"/>
      <c r="AF75" s="149"/>
      <c r="AG75" s="146"/>
      <c r="AH75" s="150"/>
      <c r="AI75" s="149"/>
      <c r="AJ75" s="146"/>
      <c r="AK75" s="150"/>
      <c r="AL75" s="149"/>
      <c r="AM75" s="152"/>
      <c r="AN75" s="127"/>
      <c r="AO75" s="128"/>
      <c r="AP75" s="91"/>
      <c r="AQ75" s="91"/>
      <c r="AR75" s="91"/>
      <c r="AS75" s="91"/>
    </row>
    <row r="76" spans="1:45" s="92" customFormat="1" x14ac:dyDescent="0.2">
      <c r="A76" s="18">
        <f>fromNagoya+AO76</f>
        <v>0.90480478404814058</v>
      </c>
      <c r="B76" s="129" t="str">
        <f>"ただいま{+"&amp;D76&amp;"駅}を通過。Passing {+"&amp;D77&amp;"} station."</f>
        <v>ただいま{+小田原駅}を通過。Passing {+Odawara} station.</v>
      </c>
      <c r="C76" s="174"/>
      <c r="D76" s="170" t="s">
        <v>9</v>
      </c>
      <c r="E76" s="155"/>
      <c r="F76" s="155"/>
      <c r="G76" s="157"/>
      <c r="H76" s="157"/>
      <c r="I76" s="155"/>
      <c r="J76" s="157"/>
      <c r="K76" s="154"/>
      <c r="L76" s="155"/>
      <c r="M76" s="154"/>
      <c r="N76" s="154"/>
      <c r="O76" s="155"/>
      <c r="P76" s="154"/>
      <c r="Q76" s="155"/>
      <c r="R76" s="154"/>
      <c r="S76" s="155"/>
      <c r="T76" s="154"/>
      <c r="U76" s="142"/>
      <c r="V76" s="156"/>
      <c r="W76" s="142"/>
      <c r="X76" s="156"/>
      <c r="Y76" s="156"/>
      <c r="Z76" s="142"/>
      <c r="AA76" s="153"/>
      <c r="AB76" s="157"/>
      <c r="AC76" s="142"/>
      <c r="AD76" s="153"/>
      <c r="AE76" s="157"/>
      <c r="AF76" s="142"/>
      <c r="AG76" s="153"/>
      <c r="AH76" s="156"/>
      <c r="AI76" s="142"/>
      <c r="AJ76" s="153"/>
      <c r="AK76" s="156"/>
      <c r="AL76" s="142"/>
      <c r="AM76" s="158"/>
      <c r="AN76" s="144">
        <v>18.78</v>
      </c>
      <c r="AO76" s="145">
        <f>SUM(AN60:AN76)/SUM(AN60:AN79)*(toYokohama-fromNagoya)</f>
        <v>4.7165895159251785E-2</v>
      </c>
      <c r="AP76" s="91"/>
      <c r="AQ76" s="91"/>
      <c r="AR76" s="91"/>
      <c r="AS76" s="91"/>
    </row>
    <row r="77" spans="1:45" s="92" customFormat="1" x14ac:dyDescent="0.2">
      <c r="A77" s="18"/>
      <c r="B77" s="129"/>
      <c r="C77" s="174"/>
      <c r="D77" s="95" t="s">
        <v>140</v>
      </c>
      <c r="E77" s="148"/>
      <c r="F77" s="148"/>
      <c r="G77" s="151"/>
      <c r="H77" s="151"/>
      <c r="I77" s="148"/>
      <c r="J77" s="151"/>
      <c r="K77" s="147"/>
      <c r="L77" s="148"/>
      <c r="M77" s="147"/>
      <c r="N77" s="147"/>
      <c r="O77" s="148"/>
      <c r="P77" s="147"/>
      <c r="Q77" s="148"/>
      <c r="R77" s="147"/>
      <c r="S77" s="148"/>
      <c r="T77" s="147"/>
      <c r="U77" s="149"/>
      <c r="V77" s="150"/>
      <c r="W77" s="149"/>
      <c r="X77" s="150"/>
      <c r="Y77" s="150"/>
      <c r="Z77" s="149"/>
      <c r="AA77" s="146"/>
      <c r="AB77" s="151"/>
      <c r="AC77" s="149"/>
      <c r="AD77" s="146"/>
      <c r="AE77" s="151"/>
      <c r="AF77" s="149"/>
      <c r="AG77" s="146"/>
      <c r="AH77" s="150"/>
      <c r="AI77" s="149"/>
      <c r="AJ77" s="146"/>
      <c r="AK77" s="150"/>
      <c r="AL77" s="149"/>
      <c r="AM77" s="152"/>
      <c r="AN77" s="127"/>
      <c r="AO77" s="128"/>
      <c r="AP77" s="91"/>
      <c r="AQ77" s="91"/>
      <c r="AR77" s="91"/>
      <c r="AS77" s="91"/>
    </row>
    <row r="78" spans="1:45" ht="84.75" x14ac:dyDescent="0.2">
      <c r="A78" s="18">
        <f>C79-beforehand</f>
        <v>0.91180555555555554</v>
      </c>
      <c r="B78" s="129" t="s">
        <v>159</v>
      </c>
      <c r="C78" s="174"/>
      <c r="D78" s="136"/>
      <c r="E78" s="155"/>
      <c r="F78" s="155"/>
      <c r="G78" s="157"/>
      <c r="H78" s="157"/>
      <c r="I78" s="155"/>
      <c r="J78" s="157"/>
      <c r="K78" s="154"/>
      <c r="L78" s="155"/>
      <c r="M78" s="154"/>
      <c r="N78" s="154"/>
      <c r="O78" s="155"/>
      <c r="P78" s="154"/>
      <c r="Q78" s="155"/>
      <c r="R78" s="154"/>
      <c r="S78" s="155"/>
      <c r="T78" s="154"/>
      <c r="U78" s="142"/>
      <c r="V78" s="156"/>
      <c r="W78" s="142"/>
      <c r="X78" s="156"/>
      <c r="Y78" s="156"/>
      <c r="Z78" s="142"/>
      <c r="AA78" s="153"/>
      <c r="AB78" s="157"/>
      <c r="AC78" s="142"/>
      <c r="AD78" s="153"/>
      <c r="AE78" s="157"/>
      <c r="AF78" s="142"/>
      <c r="AG78" s="153"/>
      <c r="AH78" s="156"/>
      <c r="AI78" s="142"/>
      <c r="AJ78" s="153"/>
      <c r="AK78" s="156"/>
      <c r="AL78" s="142"/>
      <c r="AM78" s="158"/>
      <c r="AN78" s="144"/>
      <c r="AO78" s="145"/>
    </row>
    <row r="79" spans="1:45" x14ac:dyDescent="0.2">
      <c r="A79" s="18">
        <f>toYokohama</f>
        <v>0.91388888888888886</v>
      </c>
      <c r="B79" s="129" t="s">
        <v>160</v>
      </c>
      <c r="C79" s="174">
        <f>HLOOKUP(selector,table,79,FALSE)</f>
        <v>0.91388888888888886</v>
      </c>
      <c r="D79" s="99" t="s">
        <v>8</v>
      </c>
      <c r="E79" s="116">
        <v>0.44236111111111115</v>
      </c>
      <c r="F79" s="116">
        <v>0.4680555555555555</v>
      </c>
      <c r="G79" s="114">
        <v>0.47638888888888892</v>
      </c>
      <c r="H79" s="114">
        <v>0.49722222222222223</v>
      </c>
      <c r="I79" s="116">
        <v>0.50972222222222219</v>
      </c>
      <c r="J79" s="114">
        <v>0.52569444444444446</v>
      </c>
      <c r="K79" s="112">
        <v>0.5395833333333333</v>
      </c>
      <c r="L79" s="116">
        <v>0.55138888888888882</v>
      </c>
      <c r="M79" s="112">
        <v>0.57430555555555551</v>
      </c>
      <c r="N79" s="112">
        <v>0.5805555555555556</v>
      </c>
      <c r="O79" s="116">
        <v>0.59305555555555556</v>
      </c>
      <c r="P79" s="112">
        <v>0.62291666666666667</v>
      </c>
      <c r="Q79" s="116">
        <v>0.63472222222222219</v>
      </c>
      <c r="R79" s="112">
        <v>0.66388888888888886</v>
      </c>
      <c r="S79" s="116">
        <v>0.67638888888888893</v>
      </c>
      <c r="T79" s="112">
        <v>0.70624999999999993</v>
      </c>
      <c r="U79" s="68">
        <v>0.71805555555555556</v>
      </c>
      <c r="V79" s="109">
        <v>0.74722222222222223</v>
      </c>
      <c r="W79" s="68">
        <v>0.7597222222222223</v>
      </c>
      <c r="X79" s="109">
        <v>0.78263888888888899</v>
      </c>
      <c r="Y79" s="109">
        <v>0.7895833333333333</v>
      </c>
      <c r="Z79" s="68">
        <v>0.80138888888888893</v>
      </c>
      <c r="AA79" s="107">
        <v>0.81736111111111109</v>
      </c>
      <c r="AB79" s="114">
        <v>0.8305555555555556</v>
      </c>
      <c r="AC79" s="68">
        <v>0.84305555555555556</v>
      </c>
      <c r="AD79" s="107">
        <v>0.85902777777777783</v>
      </c>
      <c r="AE79" s="114">
        <v>0.87291666666666667</v>
      </c>
      <c r="AF79" s="68">
        <v>0.8847222222222223</v>
      </c>
      <c r="AG79" s="107">
        <v>0.90138888888888891</v>
      </c>
      <c r="AH79" s="109">
        <v>0.91388888888888886</v>
      </c>
      <c r="AI79" s="68">
        <v>0.92638888888888893</v>
      </c>
      <c r="AJ79" s="107">
        <v>0.94305555555555554</v>
      </c>
      <c r="AK79" s="109">
        <v>0.95347222222222217</v>
      </c>
      <c r="AL79" s="68">
        <v>0.96805555555555556</v>
      </c>
      <c r="AM79" s="67">
        <v>0.9770833333333333</v>
      </c>
      <c r="AN79" s="121">
        <v>51.11</v>
      </c>
      <c r="AO79" s="122">
        <f>SUM(AN60:AN79)/SUM(AN60:AN79)*(toYokohama-fromNagoya)</f>
        <v>5.6250000000000022E-2</v>
      </c>
    </row>
    <row r="80" spans="1:45" x14ac:dyDescent="0.2">
      <c r="A80" s="18">
        <f>C80</f>
        <v>0.9145833333333333</v>
      </c>
      <c r="B80" s="129" t="s">
        <v>161</v>
      </c>
      <c r="C80" s="174">
        <f>HLOOKUP(selector,table,80,FALSE)</f>
        <v>0.9145833333333333</v>
      </c>
      <c r="D80" s="104" t="s">
        <v>141</v>
      </c>
      <c r="E80" s="148">
        <v>0.44305555555555554</v>
      </c>
      <c r="F80" s="148">
        <v>0.46875</v>
      </c>
      <c r="G80" s="151">
        <v>0.4770833333333333</v>
      </c>
      <c r="H80" s="151">
        <v>0.49791666666666662</v>
      </c>
      <c r="I80" s="148">
        <v>0.51041666666666663</v>
      </c>
      <c r="J80" s="151">
        <v>0.52638888888888891</v>
      </c>
      <c r="K80" s="147">
        <v>0.54027777777777775</v>
      </c>
      <c r="L80" s="148">
        <v>0.55208333333333337</v>
      </c>
      <c r="M80" s="147">
        <v>0.57500000000000007</v>
      </c>
      <c r="N80" s="147">
        <v>0.58124999999999993</v>
      </c>
      <c r="O80" s="148">
        <v>0.59375</v>
      </c>
      <c r="P80" s="147">
        <v>0.62361111111111112</v>
      </c>
      <c r="Q80" s="148">
        <v>0.63541666666666663</v>
      </c>
      <c r="R80" s="147">
        <v>0.6645833333333333</v>
      </c>
      <c r="S80" s="148">
        <v>0.67708333333333337</v>
      </c>
      <c r="T80" s="147">
        <v>0.70694444444444438</v>
      </c>
      <c r="U80" s="149">
        <v>0.71875</v>
      </c>
      <c r="V80" s="150">
        <v>0.74791666666666667</v>
      </c>
      <c r="W80" s="149">
        <v>0.76041666666666663</v>
      </c>
      <c r="X80" s="150">
        <v>0.78333333333333333</v>
      </c>
      <c r="Y80" s="150">
        <v>0.79027777777777775</v>
      </c>
      <c r="Z80" s="149">
        <v>0.80208333333333337</v>
      </c>
      <c r="AA80" s="146">
        <v>0.81805555555555554</v>
      </c>
      <c r="AB80" s="151">
        <v>0.83124999999999993</v>
      </c>
      <c r="AC80" s="149">
        <v>0.84375</v>
      </c>
      <c r="AD80" s="146">
        <v>0.85972222222222217</v>
      </c>
      <c r="AE80" s="151">
        <v>0.87361111111111101</v>
      </c>
      <c r="AF80" s="149">
        <v>0.88541666666666663</v>
      </c>
      <c r="AG80" s="146">
        <v>0.90208333333333324</v>
      </c>
      <c r="AH80" s="150">
        <v>0.9145833333333333</v>
      </c>
      <c r="AI80" s="149">
        <v>0.92708333333333337</v>
      </c>
      <c r="AJ80" s="146">
        <v>0.94374999999999998</v>
      </c>
      <c r="AK80" s="150">
        <v>0.95416666666666661</v>
      </c>
      <c r="AL80" s="149">
        <v>0.96875</v>
      </c>
      <c r="AM80" s="152">
        <v>0.97777777777777775</v>
      </c>
      <c r="AN80" s="127"/>
      <c r="AO80" s="128"/>
    </row>
    <row r="81" spans="1:45" ht="99.75" x14ac:dyDescent="0.2">
      <c r="A81" s="18">
        <f>C82-beforehand</f>
        <v>0.91944444444444451</v>
      </c>
      <c r="B81" s="129" t="s">
        <v>162</v>
      </c>
      <c r="C81" s="174"/>
      <c r="D81" s="136"/>
      <c r="E81" s="155"/>
      <c r="F81" s="155"/>
      <c r="G81" s="157"/>
      <c r="H81" s="157"/>
      <c r="I81" s="155"/>
      <c r="J81" s="157"/>
      <c r="K81" s="154"/>
      <c r="L81" s="155"/>
      <c r="M81" s="154"/>
      <c r="N81" s="154"/>
      <c r="O81" s="155"/>
      <c r="P81" s="154"/>
      <c r="Q81" s="155"/>
      <c r="R81" s="154"/>
      <c r="S81" s="155"/>
      <c r="T81" s="154"/>
      <c r="U81" s="142"/>
      <c r="V81" s="156"/>
      <c r="W81" s="142"/>
      <c r="X81" s="156"/>
      <c r="Y81" s="156"/>
      <c r="Z81" s="142"/>
      <c r="AA81" s="153"/>
      <c r="AB81" s="157"/>
      <c r="AC81" s="142"/>
      <c r="AD81" s="153"/>
      <c r="AE81" s="157"/>
      <c r="AF81" s="142"/>
      <c r="AG81" s="153"/>
      <c r="AH81" s="156"/>
      <c r="AI81" s="142"/>
      <c r="AJ81" s="153"/>
      <c r="AK81" s="156"/>
      <c r="AL81" s="142"/>
      <c r="AM81" s="158"/>
      <c r="AN81" s="144"/>
      <c r="AO81" s="145"/>
    </row>
    <row r="82" spans="1:45" x14ac:dyDescent="0.2">
      <c r="A82" s="18">
        <f>C82</f>
        <v>0.92152777777777783</v>
      </c>
      <c r="B82" s="129" t="s">
        <v>163</v>
      </c>
      <c r="C82" s="174">
        <f>HLOOKUP(selector,table,82,FALSE)</f>
        <v>0.92152777777777783</v>
      </c>
      <c r="D82" s="99" t="s">
        <v>7</v>
      </c>
      <c r="E82" s="116">
        <v>0.45069444444444445</v>
      </c>
      <c r="F82" s="116">
        <v>0.47569444444444442</v>
      </c>
      <c r="G82" s="114">
        <v>0.48472222222222222</v>
      </c>
      <c r="H82" s="114">
        <v>0.50555555555555554</v>
      </c>
      <c r="I82" s="116">
        <v>0.51736111111111105</v>
      </c>
      <c r="J82" s="114">
        <v>0.53402777777777777</v>
      </c>
      <c r="K82" s="112">
        <v>0.54722222222222217</v>
      </c>
      <c r="L82" s="116">
        <v>0.55902777777777779</v>
      </c>
      <c r="M82" s="112">
        <v>0.58194444444444449</v>
      </c>
      <c r="N82" s="112">
        <v>0.58888888888888891</v>
      </c>
      <c r="O82" s="116">
        <v>0.60069444444444442</v>
      </c>
      <c r="P82" s="112">
        <v>0.63055555555555554</v>
      </c>
      <c r="Q82" s="116">
        <v>0.64236111111111105</v>
      </c>
      <c r="R82" s="112">
        <v>0.67222222222222217</v>
      </c>
      <c r="S82" s="116">
        <v>0.68402777777777779</v>
      </c>
      <c r="T82" s="112">
        <v>0.71388888888888891</v>
      </c>
      <c r="U82" s="68">
        <v>0.72569444444444453</v>
      </c>
      <c r="V82" s="109">
        <v>0.75555555555555554</v>
      </c>
      <c r="W82" s="68">
        <v>0.76736111111111116</v>
      </c>
      <c r="X82" s="109">
        <v>0.79027777777777775</v>
      </c>
      <c r="Y82" s="109">
        <v>0.79722222222222217</v>
      </c>
      <c r="Z82" s="68">
        <v>0.80902777777777779</v>
      </c>
      <c r="AA82" s="107">
        <v>0.8256944444444444</v>
      </c>
      <c r="AB82" s="114">
        <v>0.83888888888888891</v>
      </c>
      <c r="AC82" s="68">
        <v>0.85069444444444453</v>
      </c>
      <c r="AD82" s="107">
        <v>0.86736111111111114</v>
      </c>
      <c r="AE82" s="114">
        <v>0.88055555555555554</v>
      </c>
      <c r="AF82" s="68">
        <v>0.89236111111111116</v>
      </c>
      <c r="AG82" s="107">
        <v>0.90902777777777777</v>
      </c>
      <c r="AH82" s="109">
        <v>0.92152777777777783</v>
      </c>
      <c r="AI82" s="68">
        <v>0.93402777777777779</v>
      </c>
      <c r="AJ82" s="107">
        <v>0.95138888888888884</v>
      </c>
      <c r="AK82" s="109">
        <v>0.96180555555555547</v>
      </c>
      <c r="AL82" s="68">
        <v>0.97569444444444453</v>
      </c>
      <c r="AM82" s="67">
        <v>0.98472222222222217</v>
      </c>
      <c r="AN82" s="121">
        <v>18.760000000000002</v>
      </c>
      <c r="AO82" s="122"/>
    </row>
    <row r="83" spans="1:45" x14ac:dyDescent="0.2">
      <c r="A83" s="18">
        <f>C83</f>
        <v>0.92222222222222217</v>
      </c>
      <c r="B83" s="129" t="s">
        <v>164</v>
      </c>
      <c r="C83" s="174">
        <f>HLOOKUP(selector,table,83,FALSE)</f>
        <v>0.92222222222222217</v>
      </c>
      <c r="D83" s="104" t="s">
        <v>142</v>
      </c>
      <c r="E83" s="148">
        <v>0.4513888888888889</v>
      </c>
      <c r="F83" s="148">
        <v>0.47638888888888892</v>
      </c>
      <c r="G83" s="151">
        <v>0.48541666666666666</v>
      </c>
      <c r="H83" s="151">
        <v>0.50624999999999998</v>
      </c>
      <c r="I83" s="148">
        <v>0.5180555555555556</v>
      </c>
      <c r="J83" s="151">
        <v>0.53472222222222221</v>
      </c>
      <c r="K83" s="147">
        <v>0.54791666666666672</v>
      </c>
      <c r="L83" s="148">
        <v>0.55972222222222223</v>
      </c>
      <c r="M83" s="147">
        <v>0.58263888888888882</v>
      </c>
      <c r="N83" s="147">
        <v>0.58958333333333335</v>
      </c>
      <c r="O83" s="148">
        <v>0.60138888888888886</v>
      </c>
      <c r="P83" s="147">
        <v>0.63124999999999998</v>
      </c>
      <c r="Q83" s="148">
        <v>0.6430555555555556</v>
      </c>
      <c r="R83" s="147">
        <v>0.75624999999999998</v>
      </c>
      <c r="S83" s="148">
        <v>0.68472222222222223</v>
      </c>
      <c r="T83" s="147">
        <v>0.71458333333333324</v>
      </c>
      <c r="U83" s="149">
        <v>0.72638888888888886</v>
      </c>
      <c r="V83" s="150">
        <v>0.75624999999999998</v>
      </c>
      <c r="W83" s="149">
        <v>0.7680555555555556</v>
      </c>
      <c r="X83" s="150">
        <v>0.7909722222222223</v>
      </c>
      <c r="Y83" s="150">
        <v>0.79791666666666661</v>
      </c>
      <c r="Z83" s="149">
        <v>0.80972222222222223</v>
      </c>
      <c r="AA83" s="146">
        <v>0.82638888888888884</v>
      </c>
      <c r="AB83" s="151">
        <v>0.83958333333333324</v>
      </c>
      <c r="AC83" s="149">
        <v>0.85138888888888886</v>
      </c>
      <c r="AD83" s="146">
        <v>0.86805555555555547</v>
      </c>
      <c r="AE83" s="151">
        <v>0.88124999999999998</v>
      </c>
      <c r="AF83" s="149">
        <v>0.8930555555555556</v>
      </c>
      <c r="AG83" s="146">
        <v>0.90972222222222221</v>
      </c>
      <c r="AH83" s="150">
        <v>0.92222222222222217</v>
      </c>
      <c r="AI83" s="149">
        <v>0.93472222222222223</v>
      </c>
      <c r="AJ83" s="146">
        <v>0.95208333333333339</v>
      </c>
      <c r="AK83" s="150">
        <v>0.96250000000000002</v>
      </c>
      <c r="AL83" s="149">
        <v>0.97638888888888886</v>
      </c>
      <c r="AM83" s="152">
        <v>0.98541666666666661</v>
      </c>
      <c r="AN83" s="127"/>
      <c r="AO83" s="128"/>
    </row>
    <row r="84" spans="1:45" ht="99.75" x14ac:dyDescent="0.2">
      <c r="A84" s="18">
        <f>C85-beforehand</f>
        <v>0.92500000000000004</v>
      </c>
      <c r="B84" s="129" t="s">
        <v>165</v>
      </c>
      <c r="C84" s="174"/>
      <c r="D84" s="178"/>
      <c r="E84" s="155"/>
      <c r="F84" s="155"/>
      <c r="G84" s="157"/>
      <c r="H84" s="157"/>
      <c r="I84" s="155"/>
      <c r="J84" s="157"/>
      <c r="K84" s="154"/>
      <c r="L84" s="155"/>
      <c r="M84" s="154"/>
      <c r="N84" s="154"/>
      <c r="O84" s="155"/>
      <c r="P84" s="154"/>
      <c r="Q84" s="155"/>
      <c r="R84" s="154"/>
      <c r="S84" s="155"/>
      <c r="T84" s="154"/>
      <c r="U84" s="142"/>
      <c r="V84" s="156"/>
      <c r="W84" s="142"/>
      <c r="X84" s="156"/>
      <c r="Y84" s="156"/>
      <c r="Z84" s="142"/>
      <c r="AA84" s="153"/>
      <c r="AB84" s="157"/>
      <c r="AC84" s="142"/>
      <c r="AD84" s="153"/>
      <c r="AE84" s="157"/>
      <c r="AF84" s="142"/>
      <c r="AG84" s="153"/>
      <c r="AH84" s="156"/>
      <c r="AI84" s="142"/>
      <c r="AJ84" s="153"/>
      <c r="AK84" s="156"/>
      <c r="AL84" s="142"/>
      <c r="AM84" s="158"/>
      <c r="AN84" s="144"/>
      <c r="AO84" s="145"/>
    </row>
    <row r="85" spans="1:45" s="92" customFormat="1" x14ac:dyDescent="0.2">
      <c r="A85" s="18">
        <f>C85</f>
        <v>0.92708333333333337</v>
      </c>
      <c r="B85" s="129" t="s">
        <v>166</v>
      </c>
      <c r="C85" s="174">
        <f>HLOOKUP(selector,table,85,FALSE)</f>
        <v>0.92708333333333337</v>
      </c>
      <c r="D85" s="179" t="s">
        <v>170</v>
      </c>
      <c r="E85" s="116">
        <v>0.45624999999999999</v>
      </c>
      <c r="F85" s="116">
        <v>0.48125000000000001</v>
      </c>
      <c r="G85" s="114">
        <v>0.48958333333333331</v>
      </c>
      <c r="H85" s="114">
        <v>0.51041666666666663</v>
      </c>
      <c r="I85" s="116">
        <v>0.5229166666666667</v>
      </c>
      <c r="J85" s="114">
        <v>0.5395833333333333</v>
      </c>
      <c r="K85" s="112">
        <v>0.55208333333333337</v>
      </c>
      <c r="L85" s="116">
        <v>0.56458333333333333</v>
      </c>
      <c r="M85" s="112">
        <v>0.58750000000000002</v>
      </c>
      <c r="N85" s="112">
        <v>0.59375</v>
      </c>
      <c r="O85" s="116">
        <v>0.60625000000000007</v>
      </c>
      <c r="P85" s="112">
        <v>0.63541666666666663</v>
      </c>
      <c r="Q85" s="116">
        <v>0.6479166666666667</v>
      </c>
      <c r="R85" s="112">
        <v>0.67708333333333337</v>
      </c>
      <c r="S85" s="116">
        <v>0.68958333333333333</v>
      </c>
      <c r="T85" s="112">
        <v>0.71875</v>
      </c>
      <c r="U85" s="68">
        <v>0.73125000000000007</v>
      </c>
      <c r="V85" s="109">
        <v>0.76041666666666663</v>
      </c>
      <c r="W85" s="68">
        <v>0.7729166666666667</v>
      </c>
      <c r="X85" s="109">
        <v>0.79583333333333339</v>
      </c>
      <c r="Y85" s="109">
        <v>0.80208333333333337</v>
      </c>
      <c r="Z85" s="68">
        <v>0.81458333333333333</v>
      </c>
      <c r="AA85" s="107">
        <v>0.83124999999999993</v>
      </c>
      <c r="AB85" s="114">
        <v>0.84375</v>
      </c>
      <c r="AC85" s="68">
        <v>0.85625000000000007</v>
      </c>
      <c r="AD85" s="107">
        <v>0.87291666666666667</v>
      </c>
      <c r="AE85" s="114">
        <v>0.88541666666666663</v>
      </c>
      <c r="AF85" s="68">
        <v>0.8979166666666667</v>
      </c>
      <c r="AG85" s="107">
        <v>0.9145833333333333</v>
      </c>
      <c r="AH85" s="109">
        <v>0.92708333333333337</v>
      </c>
      <c r="AI85" s="68">
        <v>0.93958333333333333</v>
      </c>
      <c r="AJ85" s="107">
        <v>0.95624999999999993</v>
      </c>
      <c r="AK85" s="109">
        <v>0.8833333333333333</v>
      </c>
      <c r="AL85" s="68">
        <v>0.98055555555555562</v>
      </c>
      <c r="AM85" s="67">
        <v>0.98958333333333337</v>
      </c>
      <c r="AN85" s="121">
        <v>6.78</v>
      </c>
      <c r="AO85" s="122"/>
      <c r="AP85" s="91"/>
      <c r="AQ85" s="91"/>
      <c r="AR85" s="91"/>
      <c r="AS85" s="91"/>
    </row>
    <row r="86" spans="1:45" x14ac:dyDescent="0.2">
      <c r="A86" s="18"/>
      <c r="B86" s="129"/>
      <c r="C86" s="176"/>
      <c r="D86" s="104" t="s">
        <v>169</v>
      </c>
      <c r="E86" s="148"/>
      <c r="F86" s="148"/>
      <c r="G86" s="151"/>
      <c r="H86" s="151"/>
      <c r="I86" s="148"/>
      <c r="J86" s="151"/>
      <c r="K86" s="147"/>
      <c r="L86" s="148"/>
      <c r="M86" s="147"/>
      <c r="N86" s="147"/>
      <c r="O86" s="148"/>
      <c r="P86" s="147"/>
      <c r="Q86" s="148"/>
      <c r="R86" s="147"/>
      <c r="S86" s="148"/>
      <c r="T86" s="147"/>
      <c r="U86" s="149"/>
      <c r="V86" s="150"/>
      <c r="W86" s="149"/>
      <c r="X86" s="150"/>
      <c r="Y86" s="150"/>
      <c r="Z86" s="149"/>
      <c r="AA86" s="146"/>
      <c r="AB86" s="151"/>
      <c r="AC86" s="149"/>
      <c r="AD86" s="146"/>
      <c r="AE86" s="151"/>
      <c r="AF86" s="149"/>
      <c r="AG86" s="146"/>
      <c r="AH86" s="150"/>
      <c r="AI86" s="149"/>
      <c r="AJ86" s="146"/>
      <c r="AK86" s="150"/>
      <c r="AL86" s="149"/>
      <c r="AM86" s="152"/>
      <c r="AN86" s="127"/>
      <c r="AO86" s="128"/>
    </row>
    <row r="87" spans="1:45" x14ac:dyDescent="0.2">
      <c r="K87" s="1"/>
      <c r="M87" s="1"/>
      <c r="N87" s="1"/>
      <c r="P87" s="1"/>
      <c r="R87" s="1"/>
    </row>
  </sheetData>
  <phoneticPr fontId="1"/>
  <dataValidations count="1">
    <dataValidation type="list" allowBlank="1" showInputMessage="1" showErrorMessage="1" sqref="A1">
      <formula1>Nozomi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4.25" customHeight="1" x14ac:dyDescent="0.2"/>
  <cols>
    <col min="1" max="1" width="8.625" style="10" bestFit="1" customWidth="1"/>
    <col min="2" max="2" width="84.125" style="54" customWidth="1"/>
    <col min="3" max="3" width="4.875" style="97" customWidth="1"/>
    <col min="4" max="4" width="14.5" style="9" customWidth="1"/>
    <col min="5" max="22" width="4.875" style="2" customWidth="1"/>
    <col min="23" max="26" width="4.875" style="3" customWidth="1"/>
    <col min="27" max="31" width="4.875" style="97" customWidth="1"/>
    <col min="32" max="32" width="4.875" style="91" customWidth="1"/>
    <col min="33" max="34" width="4.875" style="97" customWidth="1"/>
    <col min="35" max="35" width="4.875" style="91" customWidth="1"/>
    <col min="36" max="37" width="4.875" style="97" customWidth="1"/>
    <col min="38" max="38" width="5.25" style="5" customWidth="1"/>
    <col min="39" max="39" width="7.375" style="64" bestFit="1" customWidth="1"/>
    <col min="40" max="41" width="9" style="3"/>
    <col min="42" max="16384" width="9" style="4"/>
  </cols>
  <sheetData>
    <row r="1" spans="1:39" ht="14.25" customHeight="1" x14ac:dyDescent="0.2">
      <c r="A1" s="118">
        <v>15</v>
      </c>
      <c r="B1" s="172" t="s">
        <v>168</v>
      </c>
      <c r="C1" s="173">
        <f>HLOOKUP(selector,table,1,FALSE)</f>
        <v>15</v>
      </c>
      <c r="D1" s="2" t="s">
        <v>71</v>
      </c>
      <c r="E1" s="19">
        <v>1</v>
      </c>
      <c r="F1" s="7">
        <v>3</v>
      </c>
      <c r="G1" s="19">
        <v>5</v>
      </c>
      <c r="H1" s="20">
        <v>7</v>
      </c>
      <c r="I1" s="7">
        <v>9</v>
      </c>
      <c r="J1" s="21">
        <v>109</v>
      </c>
      <c r="K1" s="19">
        <v>11</v>
      </c>
      <c r="L1" s="21">
        <v>13</v>
      </c>
      <c r="M1" s="7">
        <v>15</v>
      </c>
      <c r="N1" s="20">
        <v>115</v>
      </c>
      <c r="O1" s="19">
        <v>17</v>
      </c>
      <c r="P1" s="21">
        <v>121</v>
      </c>
      <c r="Q1" s="7">
        <v>19</v>
      </c>
      <c r="R1" s="19">
        <v>21</v>
      </c>
      <c r="S1" s="7">
        <v>23</v>
      </c>
      <c r="T1" s="19">
        <v>25</v>
      </c>
      <c r="U1" s="7">
        <v>27</v>
      </c>
      <c r="V1" s="19">
        <v>29</v>
      </c>
      <c r="W1" s="22">
        <v>31</v>
      </c>
      <c r="X1" s="6">
        <v>33</v>
      </c>
      <c r="Y1" s="22">
        <v>35</v>
      </c>
      <c r="Z1" s="6">
        <v>37</v>
      </c>
      <c r="AA1" s="98">
        <v>39</v>
      </c>
      <c r="AB1" s="102">
        <v>41</v>
      </c>
      <c r="AC1" s="98">
        <v>43</v>
      </c>
      <c r="AD1" s="102">
        <v>45</v>
      </c>
      <c r="AE1" s="98">
        <v>47</v>
      </c>
      <c r="AF1" s="6">
        <v>49</v>
      </c>
      <c r="AG1" s="101">
        <v>51</v>
      </c>
      <c r="AH1" s="98">
        <v>53</v>
      </c>
      <c r="AI1" s="6">
        <v>55</v>
      </c>
      <c r="AJ1" s="98">
        <v>57</v>
      </c>
      <c r="AK1" s="102">
        <v>59</v>
      </c>
      <c r="AL1" s="123" t="s">
        <v>2</v>
      </c>
      <c r="AM1" s="124" t="s">
        <v>98</v>
      </c>
    </row>
    <row r="2" spans="1:39" ht="14.25" customHeight="1" x14ac:dyDescent="0.2">
      <c r="A2" s="118"/>
      <c r="B2" s="180">
        <f>3/(24*60)</f>
        <v>2.0833333333333333E-3</v>
      </c>
      <c r="C2" s="175">
        <f>HLOOKUP(selector,table,2,FALSE)</f>
        <v>2</v>
      </c>
      <c r="D2" s="32" t="s">
        <v>72</v>
      </c>
      <c r="E2" s="33">
        <v>1</v>
      </c>
      <c r="F2" s="34">
        <v>2</v>
      </c>
      <c r="G2" s="33">
        <v>1</v>
      </c>
      <c r="H2" s="35">
        <v>3</v>
      </c>
      <c r="I2" s="34">
        <v>2</v>
      </c>
      <c r="J2" s="36">
        <v>4</v>
      </c>
      <c r="K2" s="33">
        <v>1</v>
      </c>
      <c r="L2" s="36">
        <v>4</v>
      </c>
      <c r="M2" s="34">
        <v>2</v>
      </c>
      <c r="N2" s="35">
        <v>3</v>
      </c>
      <c r="O2" s="33">
        <v>1</v>
      </c>
      <c r="P2" s="36">
        <v>4</v>
      </c>
      <c r="Q2" s="34">
        <v>2</v>
      </c>
      <c r="R2" s="33">
        <v>1</v>
      </c>
      <c r="S2" s="34">
        <v>2</v>
      </c>
      <c r="T2" s="33">
        <v>1</v>
      </c>
      <c r="U2" s="34">
        <v>2</v>
      </c>
      <c r="V2" s="33">
        <v>1</v>
      </c>
      <c r="W2" s="34">
        <v>2</v>
      </c>
      <c r="X2" s="33">
        <v>1</v>
      </c>
      <c r="Y2" s="34">
        <v>2</v>
      </c>
      <c r="Z2" s="33">
        <v>1</v>
      </c>
      <c r="AA2" s="103">
        <v>2</v>
      </c>
      <c r="AB2" s="36">
        <v>4</v>
      </c>
      <c r="AC2" s="103">
        <v>2</v>
      </c>
      <c r="AD2" s="36">
        <v>4</v>
      </c>
      <c r="AE2" s="103">
        <v>2</v>
      </c>
      <c r="AF2" s="33">
        <v>1</v>
      </c>
      <c r="AG2" s="35">
        <v>3</v>
      </c>
      <c r="AH2" s="103">
        <v>2</v>
      </c>
      <c r="AI2" s="33">
        <v>1</v>
      </c>
      <c r="AJ2" s="103">
        <v>2</v>
      </c>
      <c r="AK2" s="36">
        <v>4</v>
      </c>
      <c r="AL2" s="125"/>
      <c r="AM2" s="126"/>
    </row>
    <row r="3" spans="1:39" ht="85.5" x14ac:dyDescent="0.2">
      <c r="A3" s="18">
        <f>C4-beforehand</f>
        <v>0.33958333333333329</v>
      </c>
      <c r="B3" s="55" t="str">
        <f>"!今日も、新幹線をご利用くださいまして、ありがとうございます。のぞみ"&amp;C1&amp;"号{+博多}行です。途中の停車駅は、{+品川}、{+新横浜}、{+名古屋}、{+京都}、{+新大阪}、{+新神戸}、"&amp;IF(C2=3,"{+姫路}、",)&amp;"{+岡山}、"&amp;IF(C2=1,"{+福山}、",)&amp;"{+広島}、"&amp;IF(C2=4,"{+徳山}、",)&amp;IF(C2=2,"{+新山口}、",)&amp;"{+小倉}です。"&amp;"Welcome to the Shinkansen. This is the NOZOMI Super Express bound for {+Hakata}. We will be stopping at {+Shinagawa}, {+Shin-Yokohama}, {+Nagoya}, {+Kyoto}, {+Shin-Osaka}, {+Shin-Kobe}"&amp;IF(C2=3,", {+Himeji}",)&amp;", {+Okayama}"&amp;IF(C2=1,", {+Fukuyama}",)&amp;", {+Hiroshima}"&amp;IF(C2=4,", {+Tokuyama}",)&amp;IF(C2=2,", {+Shin-Yamaguchi}",)&amp;" and {+Kokura} stations before arriving at {+Hakata} terminal."</f>
        <v>!今日も、新幹線をご利用くださいまして、ありがとうございます。のぞみ15号{+博多}行です。途中の停車駅は、{+品川}、{+新横浜}、{+名古屋}、{+京都}、{+新大阪}、{+新神戸}、{+岡山}、{+広島}、{+新山口}、{+小倉}です。Welcome to the Shinkansen. This is the NOZOMI Super Express bound for {+Hakata}. We will be stopping at {+Shinagawa}, {+Shin-Yokohama}, {+Nagoya}, {+Kyoto}, {+Shin-Osaka}, {+Shin-Kobe}, {+Okayama}, {+Hiroshima}, {+Shin-Yamaguchi} and {+Kokura} stations before arriving at {+Hakata} terminal.</v>
      </c>
      <c r="C3" s="174"/>
      <c r="D3" s="13" t="s">
        <v>6</v>
      </c>
      <c r="E3" s="14"/>
      <c r="F3" s="12"/>
      <c r="G3" s="14"/>
      <c r="H3" s="15"/>
      <c r="I3" s="12"/>
      <c r="J3" s="16"/>
      <c r="K3" s="14"/>
      <c r="L3" s="16"/>
      <c r="M3" s="12"/>
      <c r="N3" s="15"/>
      <c r="O3" s="14"/>
      <c r="P3" s="16"/>
      <c r="Q3" s="12"/>
      <c r="R3" s="14"/>
      <c r="S3" s="12"/>
      <c r="T3" s="14"/>
      <c r="U3" s="12"/>
      <c r="V3" s="14"/>
      <c r="W3" s="17"/>
      <c r="X3" s="11"/>
      <c r="Y3" s="17"/>
      <c r="Z3" s="11"/>
      <c r="AA3" s="12"/>
      <c r="AB3" s="16"/>
      <c r="AC3" s="12"/>
      <c r="AD3" s="16"/>
      <c r="AE3" s="12"/>
      <c r="AF3" s="11"/>
      <c r="AG3" s="15"/>
      <c r="AH3" s="12"/>
      <c r="AI3" s="11"/>
      <c r="AJ3" s="12"/>
      <c r="AK3" s="16"/>
      <c r="AL3" s="121">
        <v>0</v>
      </c>
      <c r="AM3" s="122"/>
    </row>
    <row r="4" spans="1:39" ht="14.25" customHeight="1" x14ac:dyDescent="0.2">
      <c r="A4" s="18">
        <f>C4</f>
        <v>0.34166666666666662</v>
      </c>
      <c r="B4" s="55" t="s">
        <v>73</v>
      </c>
      <c r="C4" s="176">
        <f>HLOOKUP(selector,table,4,FALSE)</f>
        <v>0.34166666666666662</v>
      </c>
      <c r="D4" s="37" t="s">
        <v>4</v>
      </c>
      <c r="E4" s="38">
        <v>0.25</v>
      </c>
      <c r="F4" s="39">
        <v>0.26041666666666669</v>
      </c>
      <c r="G4" s="38">
        <v>0.27291666666666664</v>
      </c>
      <c r="H4" s="40">
        <v>0.28541666666666665</v>
      </c>
      <c r="I4" s="39">
        <v>0.3</v>
      </c>
      <c r="J4" s="41">
        <v>0.30624999999999997</v>
      </c>
      <c r="K4" s="38">
        <v>0.3125</v>
      </c>
      <c r="L4" s="41">
        <v>0.32500000000000001</v>
      </c>
      <c r="M4" s="39">
        <v>0.34166666666666662</v>
      </c>
      <c r="N4" s="40">
        <v>0.34791666666666665</v>
      </c>
      <c r="O4" s="38">
        <v>0.35416666666666669</v>
      </c>
      <c r="P4" s="41">
        <v>0.375</v>
      </c>
      <c r="Q4" s="39">
        <v>0.3833333333333333</v>
      </c>
      <c r="R4" s="38">
        <v>0.39583333333333331</v>
      </c>
      <c r="S4" s="39">
        <v>0.42499999999999999</v>
      </c>
      <c r="T4" s="38">
        <v>0.4375</v>
      </c>
      <c r="U4" s="39">
        <v>0.46666666666666662</v>
      </c>
      <c r="V4" s="38">
        <v>0.47916666666666669</v>
      </c>
      <c r="W4" s="42">
        <v>0.5083333333333333</v>
      </c>
      <c r="X4" s="43">
        <v>0.52083333333333337</v>
      </c>
      <c r="Y4" s="42">
        <v>0.54999999999999993</v>
      </c>
      <c r="Z4" s="43">
        <v>0.5625</v>
      </c>
      <c r="AA4" s="39">
        <v>0.59166666666666667</v>
      </c>
      <c r="AB4" s="41">
        <v>0.60416666666666663</v>
      </c>
      <c r="AC4" s="39">
        <v>0.6333333333333333</v>
      </c>
      <c r="AD4" s="41">
        <v>0.64583333333333337</v>
      </c>
      <c r="AE4" s="39">
        <v>0.67499999999999993</v>
      </c>
      <c r="AF4" s="43">
        <v>0.6875</v>
      </c>
      <c r="AG4" s="40">
        <v>0.70000000000000007</v>
      </c>
      <c r="AH4" s="39">
        <v>0.71666666666666667</v>
      </c>
      <c r="AI4" s="43">
        <v>0.72916666666666663</v>
      </c>
      <c r="AJ4" s="39">
        <v>0.7583333333333333</v>
      </c>
      <c r="AK4" s="41">
        <v>0.78541666666666676</v>
      </c>
      <c r="AL4" s="127"/>
      <c r="AM4" s="128"/>
    </row>
    <row r="5" spans="1:39" ht="99.75" x14ac:dyDescent="0.2">
      <c r="A5" s="18">
        <f>C6-beforehand</f>
        <v>0.34375000000000006</v>
      </c>
      <c r="B5" s="55" t="s">
        <v>74</v>
      </c>
      <c r="C5" s="174"/>
      <c r="D5" s="13"/>
      <c r="E5" s="14"/>
      <c r="F5" s="12"/>
      <c r="G5" s="14"/>
      <c r="H5" s="15"/>
      <c r="I5" s="12"/>
      <c r="J5" s="16"/>
      <c r="K5" s="14"/>
      <c r="L5" s="16"/>
      <c r="M5" s="12"/>
      <c r="N5" s="15"/>
      <c r="O5" s="14"/>
      <c r="P5" s="16"/>
      <c r="Q5" s="12"/>
      <c r="R5" s="14"/>
      <c r="S5" s="12"/>
      <c r="T5" s="14"/>
      <c r="U5" s="12"/>
      <c r="V5" s="14"/>
      <c r="W5" s="17"/>
      <c r="X5" s="11"/>
      <c r="Y5" s="17"/>
      <c r="Z5" s="11"/>
      <c r="AA5" s="12"/>
      <c r="AB5" s="16"/>
      <c r="AC5" s="12"/>
      <c r="AD5" s="16"/>
      <c r="AE5" s="12"/>
      <c r="AF5" s="11"/>
      <c r="AG5" s="15"/>
      <c r="AH5" s="12"/>
      <c r="AI5" s="11"/>
      <c r="AJ5" s="12"/>
      <c r="AK5" s="16"/>
      <c r="AL5" s="121"/>
      <c r="AM5" s="122"/>
    </row>
    <row r="6" spans="1:39" ht="14.25" customHeight="1" x14ac:dyDescent="0.2">
      <c r="A6" s="18">
        <f>C6</f>
        <v>0.34583333333333338</v>
      </c>
      <c r="B6" s="55" t="s">
        <v>75</v>
      </c>
      <c r="C6" s="174">
        <f>HLOOKUP(selector,table,6,FALSE)</f>
        <v>0.34583333333333338</v>
      </c>
      <c r="D6" s="13" t="s">
        <v>7</v>
      </c>
      <c r="E6" s="14">
        <v>0.25416666666666665</v>
      </c>
      <c r="F6" s="12">
        <v>0.26458333333333334</v>
      </c>
      <c r="G6" s="14">
        <v>0.27708333333333335</v>
      </c>
      <c r="H6" s="15">
        <v>0.28958333333333336</v>
      </c>
      <c r="I6" s="12">
        <v>0.30416666666666664</v>
      </c>
      <c r="J6" s="16">
        <v>0.31041666666666667</v>
      </c>
      <c r="K6" s="14">
        <v>0.31666666666666665</v>
      </c>
      <c r="L6" s="16">
        <v>0.32916666666666666</v>
      </c>
      <c r="M6" s="12">
        <v>0.34583333333333338</v>
      </c>
      <c r="N6" s="15">
        <v>0.3520833333333333</v>
      </c>
      <c r="O6" s="14">
        <v>0.35833333333333334</v>
      </c>
      <c r="P6" s="16">
        <v>0.37916666666666665</v>
      </c>
      <c r="Q6" s="12">
        <v>0.38750000000000001</v>
      </c>
      <c r="R6" s="14">
        <v>0.39999999999999997</v>
      </c>
      <c r="S6" s="12">
        <v>0.4291666666666667</v>
      </c>
      <c r="T6" s="14">
        <v>0.44166666666666665</v>
      </c>
      <c r="U6" s="12">
        <v>0.47083333333333338</v>
      </c>
      <c r="V6" s="14">
        <v>0.48333333333333334</v>
      </c>
      <c r="W6" s="17">
        <v>0.51250000000000007</v>
      </c>
      <c r="X6" s="11">
        <v>0.52500000000000002</v>
      </c>
      <c r="Y6" s="17">
        <v>0.5541666666666667</v>
      </c>
      <c r="Z6" s="11">
        <v>0.56666666666666665</v>
      </c>
      <c r="AA6" s="12">
        <v>0.59583333333333333</v>
      </c>
      <c r="AB6" s="16">
        <v>0.60833333333333328</v>
      </c>
      <c r="AC6" s="12">
        <v>0.63750000000000007</v>
      </c>
      <c r="AD6" s="16">
        <v>0.65</v>
      </c>
      <c r="AE6" s="12">
        <v>0.6791666666666667</v>
      </c>
      <c r="AF6" s="11">
        <v>0.69166666666666676</v>
      </c>
      <c r="AG6" s="15">
        <v>0.70416666666666661</v>
      </c>
      <c r="AH6" s="12">
        <v>0.72083333333333333</v>
      </c>
      <c r="AI6" s="11">
        <v>0.73333333333333339</v>
      </c>
      <c r="AJ6" s="12">
        <v>0.76250000000000007</v>
      </c>
      <c r="AK6" s="16">
        <v>0.79027777777777775</v>
      </c>
      <c r="AL6" s="121">
        <v>6.78</v>
      </c>
      <c r="AM6" s="122"/>
    </row>
    <row r="7" spans="1:39" ht="14.25" customHeight="1" x14ac:dyDescent="0.2">
      <c r="A7" s="18">
        <f>C7</f>
        <v>0.34652777777777777</v>
      </c>
      <c r="B7" s="55" t="s">
        <v>76</v>
      </c>
      <c r="C7" s="176">
        <f>HLOOKUP(selector,table,7,FALSE)</f>
        <v>0.34652777777777777</v>
      </c>
      <c r="D7" s="37" t="s">
        <v>5</v>
      </c>
      <c r="E7" s="38">
        <v>0.25486111111111109</v>
      </c>
      <c r="F7" s="39">
        <v>0.26527777777777778</v>
      </c>
      <c r="G7" s="38">
        <v>0.27777777777777779</v>
      </c>
      <c r="H7" s="40">
        <v>0.2902777777777778</v>
      </c>
      <c r="I7" s="39">
        <v>0.30486111111111108</v>
      </c>
      <c r="J7" s="41">
        <v>0.31111111111111112</v>
      </c>
      <c r="K7" s="38">
        <v>0.31736111111111115</v>
      </c>
      <c r="L7" s="41">
        <v>0.3298611111111111</v>
      </c>
      <c r="M7" s="39">
        <v>0.34652777777777777</v>
      </c>
      <c r="N7" s="40">
        <v>0.3527777777777778</v>
      </c>
      <c r="O7" s="38">
        <v>0.35902777777777778</v>
      </c>
      <c r="P7" s="41">
        <v>0.37986111111111115</v>
      </c>
      <c r="Q7" s="39">
        <v>0.38819444444444445</v>
      </c>
      <c r="R7" s="38">
        <v>0.40069444444444446</v>
      </c>
      <c r="S7" s="39">
        <v>0.42986111111111108</v>
      </c>
      <c r="T7" s="38">
        <v>0.44236111111111115</v>
      </c>
      <c r="U7" s="39">
        <v>0.47152777777777777</v>
      </c>
      <c r="V7" s="38">
        <v>0.48402777777777778</v>
      </c>
      <c r="W7" s="42">
        <v>0.5131944444444444</v>
      </c>
      <c r="X7" s="43">
        <v>0.52569444444444446</v>
      </c>
      <c r="Y7" s="42">
        <v>0.55486111111111114</v>
      </c>
      <c r="Z7" s="43">
        <v>0.56736111111111109</v>
      </c>
      <c r="AA7" s="39">
        <v>0.59652777777777777</v>
      </c>
      <c r="AB7" s="41">
        <v>0.60902777777777783</v>
      </c>
      <c r="AC7" s="39">
        <v>0.6381944444444444</v>
      </c>
      <c r="AD7" s="41">
        <v>0.65069444444444446</v>
      </c>
      <c r="AE7" s="39">
        <v>0.67986111111111114</v>
      </c>
      <c r="AF7" s="43">
        <v>0.69236111111111109</v>
      </c>
      <c r="AG7" s="40">
        <v>0.70486111111111116</v>
      </c>
      <c r="AH7" s="39">
        <v>0.72152777777777777</v>
      </c>
      <c r="AI7" s="43">
        <v>0.73402777777777783</v>
      </c>
      <c r="AJ7" s="39">
        <v>0.7631944444444444</v>
      </c>
      <c r="AK7" s="41">
        <v>0.7909722222222223</v>
      </c>
      <c r="AL7" s="127"/>
      <c r="AM7" s="128"/>
    </row>
    <row r="8" spans="1:39" ht="84.75" x14ac:dyDescent="0.2">
      <c r="A8" s="18">
        <f>C9-beforehand</f>
        <v>0.35208333333333336</v>
      </c>
      <c r="B8" s="55" t="s">
        <v>77</v>
      </c>
      <c r="C8" s="174"/>
      <c r="D8" s="13"/>
      <c r="E8" s="14"/>
      <c r="F8" s="12"/>
      <c r="G8" s="14"/>
      <c r="H8" s="15"/>
      <c r="I8" s="12"/>
      <c r="J8" s="16"/>
      <c r="K8" s="14"/>
      <c r="L8" s="16"/>
      <c r="M8" s="12"/>
      <c r="N8" s="15"/>
      <c r="O8" s="14"/>
      <c r="P8" s="16"/>
      <c r="Q8" s="12"/>
      <c r="R8" s="14"/>
      <c r="S8" s="12"/>
      <c r="T8" s="14"/>
      <c r="U8" s="12"/>
      <c r="V8" s="14"/>
      <c r="W8" s="17"/>
      <c r="X8" s="11"/>
      <c r="Y8" s="17"/>
      <c r="Z8" s="11"/>
      <c r="AA8" s="12"/>
      <c r="AB8" s="16"/>
      <c r="AC8" s="12"/>
      <c r="AD8" s="16"/>
      <c r="AE8" s="12"/>
      <c r="AF8" s="11"/>
      <c r="AG8" s="15"/>
      <c r="AH8" s="12"/>
      <c r="AI8" s="11"/>
      <c r="AJ8" s="12"/>
      <c r="AK8" s="16"/>
      <c r="AL8" s="121"/>
      <c r="AM8" s="122"/>
    </row>
    <row r="9" spans="1:39" ht="14.25" customHeight="1" x14ac:dyDescent="0.2">
      <c r="A9" s="18">
        <f>C9</f>
        <v>0.35416666666666669</v>
      </c>
      <c r="B9" s="55" t="s">
        <v>78</v>
      </c>
      <c r="C9" s="174">
        <f>HLOOKUP(selector,table,9,FALSE)</f>
        <v>0.35416666666666669</v>
      </c>
      <c r="D9" s="13" t="s">
        <v>8</v>
      </c>
      <c r="E9" s="14">
        <v>0.26180555555555557</v>
      </c>
      <c r="F9" s="12">
        <v>0.2722222222222222</v>
      </c>
      <c r="G9" s="14">
        <v>0.28472222222222221</v>
      </c>
      <c r="H9" s="15">
        <v>0.29722222222222222</v>
      </c>
      <c r="I9" s="12">
        <v>0.3125</v>
      </c>
      <c r="J9" s="16">
        <v>0.31805555555555554</v>
      </c>
      <c r="K9" s="14">
        <v>0.32430555555555557</v>
      </c>
      <c r="L9" s="16">
        <v>0.33749999999999997</v>
      </c>
      <c r="M9" s="12">
        <v>0.35416666666666669</v>
      </c>
      <c r="N9" s="15">
        <v>0.35972222222222222</v>
      </c>
      <c r="O9" s="14">
        <v>0.3659722222222222</v>
      </c>
      <c r="P9" s="16">
        <v>0.38680555555555557</v>
      </c>
      <c r="Q9" s="12">
        <v>0.39583333333333331</v>
      </c>
      <c r="R9" s="14">
        <v>0.40763888888888888</v>
      </c>
      <c r="S9" s="12">
        <v>0.4375</v>
      </c>
      <c r="T9" s="14">
        <v>0.44930555555555557</v>
      </c>
      <c r="U9" s="12">
        <v>0.47916666666666669</v>
      </c>
      <c r="V9" s="14">
        <v>0.4909722222222222</v>
      </c>
      <c r="W9" s="17">
        <v>0.52083333333333337</v>
      </c>
      <c r="X9" s="11">
        <v>0.53263888888888888</v>
      </c>
      <c r="Y9" s="17">
        <v>0.5625</v>
      </c>
      <c r="Z9" s="11">
        <v>0.57430555555555551</v>
      </c>
      <c r="AA9" s="12">
        <v>0.60416666666666663</v>
      </c>
      <c r="AB9" s="16">
        <v>0.61597222222222225</v>
      </c>
      <c r="AC9" s="12">
        <v>0.64583333333333337</v>
      </c>
      <c r="AD9" s="16">
        <v>0.65763888888888888</v>
      </c>
      <c r="AE9" s="12">
        <v>0.6875</v>
      </c>
      <c r="AF9" s="11">
        <v>0.69930555555555562</v>
      </c>
      <c r="AG9" s="15">
        <v>0.71250000000000002</v>
      </c>
      <c r="AH9" s="12">
        <v>0.72916666666666663</v>
      </c>
      <c r="AI9" s="11">
        <v>0.74097222222222225</v>
      </c>
      <c r="AJ9" s="12">
        <v>0.77083333333333337</v>
      </c>
      <c r="AK9" s="16">
        <v>0.79791666666666661</v>
      </c>
      <c r="AL9" s="121">
        <v>18.760000000000002</v>
      </c>
      <c r="AM9" s="122"/>
    </row>
    <row r="10" spans="1:39" ht="14.25" customHeight="1" x14ac:dyDescent="0.2">
      <c r="A10" s="18">
        <f>C10</f>
        <v>0.35486111111111113</v>
      </c>
      <c r="B10" s="55" t="s">
        <v>79</v>
      </c>
      <c r="C10" s="176">
        <f>HLOOKUP(selector,table,10,FALSE)</f>
        <v>0.35486111111111113</v>
      </c>
      <c r="D10" s="37" t="s">
        <v>69</v>
      </c>
      <c r="E10" s="38">
        <v>0.26250000000000001</v>
      </c>
      <c r="F10" s="39">
        <v>0.27291666666666664</v>
      </c>
      <c r="G10" s="38">
        <v>0.28541666666666665</v>
      </c>
      <c r="H10" s="40">
        <v>0.29791666666666666</v>
      </c>
      <c r="I10" s="39">
        <v>0.31319444444444444</v>
      </c>
      <c r="J10" s="41">
        <v>0.31875000000000003</v>
      </c>
      <c r="K10" s="38">
        <v>0.32500000000000001</v>
      </c>
      <c r="L10" s="41">
        <v>0.33819444444444446</v>
      </c>
      <c r="M10" s="39">
        <v>0.35486111111111113</v>
      </c>
      <c r="N10" s="40">
        <v>0.36041666666666666</v>
      </c>
      <c r="O10" s="38">
        <v>0.3666666666666667</v>
      </c>
      <c r="P10" s="41">
        <v>0.38750000000000001</v>
      </c>
      <c r="Q10" s="39">
        <v>0.39652777777777781</v>
      </c>
      <c r="R10" s="38">
        <v>0.40833333333333338</v>
      </c>
      <c r="S10" s="39">
        <v>0.4381944444444445</v>
      </c>
      <c r="T10" s="38">
        <v>0.45</v>
      </c>
      <c r="U10" s="39">
        <v>0.47986111111111113</v>
      </c>
      <c r="V10" s="38">
        <v>0.4916666666666667</v>
      </c>
      <c r="W10" s="42">
        <v>0.52152777777777781</v>
      </c>
      <c r="X10" s="43">
        <v>0.53333333333333333</v>
      </c>
      <c r="Y10" s="42">
        <v>0.56319444444444444</v>
      </c>
      <c r="Z10" s="43">
        <v>0.57500000000000007</v>
      </c>
      <c r="AA10" s="39">
        <v>0.60486111111111118</v>
      </c>
      <c r="AB10" s="41">
        <v>0.6166666666666667</v>
      </c>
      <c r="AC10" s="39">
        <v>0.64652777777777781</v>
      </c>
      <c r="AD10" s="41">
        <v>0.65833333333333333</v>
      </c>
      <c r="AE10" s="39">
        <v>0.68819444444444444</v>
      </c>
      <c r="AF10" s="43">
        <v>0.70000000000000007</v>
      </c>
      <c r="AG10" s="40">
        <v>0.71319444444444446</v>
      </c>
      <c r="AH10" s="39">
        <v>0.72986111111111107</v>
      </c>
      <c r="AI10" s="43">
        <v>0.7416666666666667</v>
      </c>
      <c r="AJ10" s="39">
        <v>0.7715277777777777</v>
      </c>
      <c r="AK10" s="41">
        <v>0.79861111111111116</v>
      </c>
      <c r="AL10" s="127"/>
      <c r="AM10" s="128"/>
    </row>
    <row r="11" spans="1:39" ht="14.25" customHeight="1" x14ac:dyDescent="0.2">
      <c r="A11" s="18">
        <f>fromYokohama+AM11</f>
        <v>0.3634966181819459</v>
      </c>
      <c r="B11" s="55" t="str">
        <f>"ただいま{+"&amp;D11&amp;"駅}を通過。Passing {+"&amp;D12&amp;"} station."</f>
        <v>ただいま{+小田原駅}を通過。Passing {+Odawara} station.</v>
      </c>
      <c r="C11" s="174"/>
      <c r="D11" s="8" t="s">
        <v>9</v>
      </c>
      <c r="E11" s="14"/>
      <c r="F11" s="12"/>
      <c r="G11" s="14"/>
      <c r="H11" s="15"/>
      <c r="I11" s="12"/>
      <c r="J11" s="16"/>
      <c r="K11" s="14"/>
      <c r="L11" s="16"/>
      <c r="M11" s="12"/>
      <c r="N11" s="15"/>
      <c r="O11" s="14"/>
      <c r="P11" s="16"/>
      <c r="Q11" s="12"/>
      <c r="R11" s="14"/>
      <c r="S11" s="12"/>
      <c r="T11" s="14"/>
      <c r="U11" s="12"/>
      <c r="V11" s="14"/>
      <c r="W11" s="17"/>
      <c r="X11" s="11"/>
      <c r="Y11" s="17"/>
      <c r="Z11" s="11"/>
      <c r="AA11" s="12"/>
      <c r="AB11" s="16"/>
      <c r="AC11" s="12"/>
      <c r="AD11" s="16"/>
      <c r="AE11" s="12"/>
      <c r="AF11" s="11"/>
      <c r="AG11" s="15"/>
      <c r="AH11" s="12"/>
      <c r="AI11" s="11"/>
      <c r="AJ11" s="12"/>
      <c r="AK11" s="16"/>
      <c r="AL11" s="121">
        <v>51.11</v>
      </c>
      <c r="AM11" s="122">
        <f>SUM(AL11:AL11)/SUM(AL11:AL30)*(toNagoya-fromYokohama)</f>
        <v>8.6355070708347449E-3</v>
      </c>
    </row>
    <row r="12" spans="1:39" ht="14.25" customHeight="1" x14ac:dyDescent="0.2">
      <c r="A12" s="18"/>
      <c r="B12" s="55"/>
      <c r="C12" s="176"/>
      <c r="D12" s="45" t="s">
        <v>0</v>
      </c>
      <c r="E12" s="38"/>
      <c r="F12" s="39"/>
      <c r="G12" s="38"/>
      <c r="H12" s="40"/>
      <c r="I12" s="39"/>
      <c r="J12" s="41"/>
      <c r="K12" s="38"/>
      <c r="L12" s="41"/>
      <c r="M12" s="39"/>
      <c r="N12" s="40"/>
      <c r="O12" s="38"/>
      <c r="P12" s="41"/>
      <c r="Q12" s="39"/>
      <c r="R12" s="38"/>
      <c r="S12" s="39"/>
      <c r="T12" s="38"/>
      <c r="U12" s="39"/>
      <c r="V12" s="38"/>
      <c r="W12" s="42"/>
      <c r="X12" s="43"/>
      <c r="Y12" s="42"/>
      <c r="Z12" s="43"/>
      <c r="AA12" s="39"/>
      <c r="AB12" s="41"/>
      <c r="AC12" s="39"/>
      <c r="AD12" s="41"/>
      <c r="AE12" s="39"/>
      <c r="AF12" s="43"/>
      <c r="AG12" s="40"/>
      <c r="AH12" s="39"/>
      <c r="AI12" s="43"/>
      <c r="AJ12" s="39"/>
      <c r="AK12" s="41"/>
      <c r="AL12" s="127"/>
      <c r="AM12" s="128"/>
    </row>
    <row r="13" spans="1:39" ht="14.25" customHeight="1" x14ac:dyDescent="0.2">
      <c r="A13" s="18">
        <f>fromYokohama+AM13</f>
        <v>0.36666967282468266</v>
      </c>
      <c r="B13" s="55" t="str">
        <f>"ただいま{+"&amp;D13&amp;"駅}を通過。Passing {+"&amp;D14&amp;"} station."</f>
        <v>ただいま{+熱海駅}を通過。Passing {+Atami} station.</v>
      </c>
      <c r="C13" s="174"/>
      <c r="D13" s="8" t="s">
        <v>10</v>
      </c>
      <c r="E13" s="14"/>
      <c r="F13" s="12"/>
      <c r="G13" s="14"/>
      <c r="H13" s="15"/>
      <c r="I13" s="12"/>
      <c r="J13" s="16"/>
      <c r="K13" s="14"/>
      <c r="L13" s="16"/>
      <c r="M13" s="12"/>
      <c r="N13" s="15"/>
      <c r="O13" s="14"/>
      <c r="P13" s="16"/>
      <c r="Q13" s="12"/>
      <c r="R13" s="14"/>
      <c r="S13" s="12"/>
      <c r="T13" s="14"/>
      <c r="U13" s="12"/>
      <c r="V13" s="14"/>
      <c r="W13" s="17"/>
      <c r="X13" s="11"/>
      <c r="Y13" s="17"/>
      <c r="Z13" s="11"/>
      <c r="AA13" s="12"/>
      <c r="AB13" s="16"/>
      <c r="AC13" s="12"/>
      <c r="AD13" s="16"/>
      <c r="AE13" s="12"/>
      <c r="AF13" s="11"/>
      <c r="AG13" s="15"/>
      <c r="AH13" s="12"/>
      <c r="AI13" s="11"/>
      <c r="AJ13" s="12"/>
      <c r="AK13" s="16"/>
      <c r="AL13" s="121">
        <v>18.78</v>
      </c>
      <c r="AM13" s="122">
        <f>SUM(AL11:AL13)/SUM(AL11:AL30)*(toNagoya-fromYokohama)</f>
        <v>1.1808561713571518E-2</v>
      </c>
    </row>
    <row r="14" spans="1:39" ht="14.25" customHeight="1" x14ac:dyDescent="0.2">
      <c r="A14" s="18"/>
      <c r="B14" s="55"/>
      <c r="C14" s="176"/>
      <c r="D14" s="45" t="s">
        <v>1</v>
      </c>
      <c r="E14" s="38"/>
      <c r="F14" s="39"/>
      <c r="G14" s="38"/>
      <c r="H14" s="40"/>
      <c r="I14" s="39"/>
      <c r="J14" s="41"/>
      <c r="K14" s="38"/>
      <c r="L14" s="41"/>
      <c r="M14" s="39"/>
      <c r="N14" s="40"/>
      <c r="O14" s="38"/>
      <c r="P14" s="41"/>
      <c r="Q14" s="39"/>
      <c r="R14" s="38"/>
      <c r="S14" s="39"/>
      <c r="T14" s="38"/>
      <c r="U14" s="39"/>
      <c r="V14" s="38"/>
      <c r="W14" s="42"/>
      <c r="X14" s="43"/>
      <c r="Y14" s="42"/>
      <c r="Z14" s="43"/>
      <c r="AA14" s="39"/>
      <c r="AB14" s="41"/>
      <c r="AC14" s="39"/>
      <c r="AD14" s="41"/>
      <c r="AE14" s="39"/>
      <c r="AF14" s="43"/>
      <c r="AG14" s="40"/>
      <c r="AH14" s="39"/>
      <c r="AI14" s="43"/>
      <c r="AJ14" s="39"/>
      <c r="AK14" s="41"/>
      <c r="AL14" s="127"/>
      <c r="AM14" s="128"/>
    </row>
    <row r="15" spans="1:39" ht="14.25" customHeight="1" x14ac:dyDescent="0.2">
      <c r="A15" s="18">
        <f>fromYokohama+AM15</f>
        <v>0.36935105606111673</v>
      </c>
      <c r="B15" s="55" t="str">
        <f>"ただいま{+"&amp;D15&amp;"駅}を通過。Passing {+"&amp;D16&amp;"} station."</f>
        <v>ただいま{+三島駅}を通過。Passing {+Mishima} station.</v>
      </c>
      <c r="C15" s="174"/>
      <c r="D15" s="8" t="s">
        <v>11</v>
      </c>
      <c r="E15" s="14"/>
      <c r="F15" s="12"/>
      <c r="G15" s="14"/>
      <c r="H15" s="15"/>
      <c r="I15" s="12"/>
      <c r="J15" s="16"/>
      <c r="K15" s="14"/>
      <c r="L15" s="16"/>
      <c r="M15" s="12"/>
      <c r="N15" s="15"/>
      <c r="O15" s="14"/>
      <c r="P15" s="16"/>
      <c r="Q15" s="12"/>
      <c r="R15" s="14"/>
      <c r="S15" s="12"/>
      <c r="T15" s="14"/>
      <c r="U15" s="12"/>
      <c r="V15" s="14"/>
      <c r="W15" s="17"/>
      <c r="X15" s="11"/>
      <c r="Y15" s="17"/>
      <c r="Z15" s="11"/>
      <c r="AA15" s="12"/>
      <c r="AB15" s="16"/>
      <c r="AC15" s="12"/>
      <c r="AD15" s="16"/>
      <c r="AE15" s="12"/>
      <c r="AF15" s="11"/>
      <c r="AG15" s="15"/>
      <c r="AH15" s="12"/>
      <c r="AI15" s="11"/>
      <c r="AJ15" s="12"/>
      <c r="AK15" s="16"/>
      <c r="AL15" s="121">
        <v>15.87</v>
      </c>
      <c r="AM15" s="122">
        <f>SUM(AL11:AL15)/SUM(AL11:AL30)*(toNagoya-fromYokohama)</f>
        <v>1.4489944950005629E-2</v>
      </c>
    </row>
    <row r="16" spans="1:39" ht="14.25" customHeight="1" x14ac:dyDescent="0.2">
      <c r="A16" s="18"/>
      <c r="B16" s="55"/>
      <c r="C16" s="176"/>
      <c r="D16" s="46" t="s">
        <v>41</v>
      </c>
      <c r="E16" s="38"/>
      <c r="F16" s="39"/>
      <c r="G16" s="38"/>
      <c r="H16" s="40"/>
      <c r="I16" s="39"/>
      <c r="J16" s="41"/>
      <c r="K16" s="38"/>
      <c r="L16" s="41"/>
      <c r="M16" s="39"/>
      <c r="N16" s="40"/>
      <c r="O16" s="38"/>
      <c r="P16" s="41"/>
      <c r="Q16" s="39"/>
      <c r="R16" s="38"/>
      <c r="S16" s="39"/>
      <c r="T16" s="38"/>
      <c r="U16" s="39"/>
      <c r="V16" s="38"/>
      <c r="W16" s="42"/>
      <c r="X16" s="43"/>
      <c r="Y16" s="42"/>
      <c r="Z16" s="43"/>
      <c r="AA16" s="39"/>
      <c r="AB16" s="41"/>
      <c r="AC16" s="39"/>
      <c r="AD16" s="41"/>
      <c r="AE16" s="39"/>
      <c r="AF16" s="43"/>
      <c r="AG16" s="40"/>
      <c r="AH16" s="39"/>
      <c r="AI16" s="43"/>
      <c r="AJ16" s="39"/>
      <c r="AK16" s="41"/>
      <c r="AL16" s="127"/>
      <c r="AM16" s="128"/>
    </row>
    <row r="17" spans="1:39" ht="14.25" customHeight="1" x14ac:dyDescent="0.2">
      <c r="A17" s="18">
        <f>fromYokohama+AM17</f>
        <v>0.37335539019492192</v>
      </c>
      <c r="B17" s="55" t="str">
        <f>"ただいま{+"&amp;D17&amp;"駅}を通過。Passing {+"&amp;D18&amp;"} station."</f>
        <v>ただいま{+新富士駅}を通過。Passing {+Shin-Fuji} station.</v>
      </c>
      <c r="C17" s="174"/>
      <c r="D17" s="8" t="s">
        <v>12</v>
      </c>
      <c r="E17" s="14"/>
      <c r="F17" s="12"/>
      <c r="G17" s="14"/>
      <c r="H17" s="15"/>
      <c r="I17" s="12"/>
      <c r="J17" s="16"/>
      <c r="K17" s="14"/>
      <c r="L17" s="16"/>
      <c r="M17" s="12"/>
      <c r="N17" s="15"/>
      <c r="O17" s="14"/>
      <c r="P17" s="16"/>
      <c r="Q17" s="12"/>
      <c r="R17" s="14"/>
      <c r="S17" s="12"/>
      <c r="T17" s="14"/>
      <c r="U17" s="12"/>
      <c r="V17" s="14"/>
      <c r="W17" s="17"/>
      <c r="X17" s="11"/>
      <c r="Y17" s="17"/>
      <c r="Z17" s="11"/>
      <c r="AA17" s="12"/>
      <c r="AB17" s="16"/>
      <c r="AC17" s="12"/>
      <c r="AD17" s="16"/>
      <c r="AE17" s="12"/>
      <c r="AF17" s="11"/>
      <c r="AG17" s="15"/>
      <c r="AH17" s="12"/>
      <c r="AI17" s="11"/>
      <c r="AJ17" s="12"/>
      <c r="AK17" s="16"/>
      <c r="AL17" s="121">
        <v>23.7</v>
      </c>
      <c r="AM17" s="122">
        <f>SUM(AL11:AL17)/SUM(AL11:AL30)*(toNagoya-fromYokohama)</f>
        <v>1.8494279083810822E-2</v>
      </c>
    </row>
    <row r="18" spans="1:39" ht="14.25" customHeight="1" x14ac:dyDescent="0.2">
      <c r="A18" s="18"/>
      <c r="B18" s="55"/>
      <c r="C18" s="176"/>
      <c r="D18" s="45" t="s">
        <v>42</v>
      </c>
      <c r="E18" s="38"/>
      <c r="F18" s="39"/>
      <c r="G18" s="38"/>
      <c r="H18" s="40"/>
      <c r="I18" s="39"/>
      <c r="J18" s="41"/>
      <c r="K18" s="38"/>
      <c r="L18" s="41"/>
      <c r="M18" s="39"/>
      <c r="N18" s="40"/>
      <c r="O18" s="38"/>
      <c r="P18" s="41"/>
      <c r="Q18" s="39"/>
      <c r="R18" s="38"/>
      <c r="S18" s="39"/>
      <c r="T18" s="38"/>
      <c r="U18" s="39"/>
      <c r="V18" s="38"/>
      <c r="W18" s="42"/>
      <c r="X18" s="43"/>
      <c r="Y18" s="42"/>
      <c r="Z18" s="43"/>
      <c r="AA18" s="39"/>
      <c r="AB18" s="41"/>
      <c r="AC18" s="39"/>
      <c r="AD18" s="41"/>
      <c r="AE18" s="39"/>
      <c r="AF18" s="43"/>
      <c r="AG18" s="40"/>
      <c r="AH18" s="39"/>
      <c r="AI18" s="43"/>
      <c r="AJ18" s="39"/>
      <c r="AK18" s="41"/>
      <c r="AL18" s="127"/>
      <c r="AM18" s="128"/>
    </row>
    <row r="19" spans="1:39" ht="14.25" customHeight="1" x14ac:dyDescent="0.2">
      <c r="A19" s="18">
        <f>fromYokohama+AM19</f>
        <v>0.37883642814009666</v>
      </c>
      <c r="B19" s="55" t="str">
        <f>"ただいま{+"&amp;D19&amp;"駅}を通過。Passing {+"&amp;D20&amp;"} station."</f>
        <v>ただいま{+静岡駅}を通過。Passing {+Shizuoka} station.</v>
      </c>
      <c r="C19" s="174"/>
      <c r="D19" s="8" t="s">
        <v>13</v>
      </c>
      <c r="E19" s="14"/>
      <c r="F19" s="12"/>
      <c r="G19" s="14"/>
      <c r="H19" s="15"/>
      <c r="I19" s="12"/>
      <c r="J19" s="16"/>
      <c r="K19" s="14"/>
      <c r="L19" s="16"/>
      <c r="M19" s="12"/>
      <c r="N19" s="15"/>
      <c r="O19" s="14"/>
      <c r="P19" s="16"/>
      <c r="Q19" s="12"/>
      <c r="R19" s="14"/>
      <c r="S19" s="12"/>
      <c r="T19" s="14"/>
      <c r="U19" s="12"/>
      <c r="V19" s="14"/>
      <c r="W19" s="17"/>
      <c r="X19" s="11"/>
      <c r="Y19" s="17"/>
      <c r="Z19" s="11"/>
      <c r="AA19" s="12"/>
      <c r="AB19" s="16"/>
      <c r="AC19" s="12"/>
      <c r="AD19" s="16"/>
      <c r="AE19" s="12"/>
      <c r="AF19" s="11"/>
      <c r="AG19" s="15"/>
      <c r="AH19" s="12"/>
      <c r="AI19" s="11"/>
      <c r="AJ19" s="12"/>
      <c r="AK19" s="16"/>
      <c r="AL19" s="121">
        <v>32.44</v>
      </c>
      <c r="AM19" s="122">
        <f>SUM(AL11:AL19)/SUM(AL11:AL30)*(toNagoya-fromYokohama)</f>
        <v>2.3975317028985525E-2</v>
      </c>
    </row>
    <row r="20" spans="1:39" ht="14.25" customHeight="1" x14ac:dyDescent="0.2">
      <c r="A20" s="18"/>
      <c r="B20" s="55"/>
      <c r="C20" s="176"/>
      <c r="D20" s="45" t="s">
        <v>43</v>
      </c>
      <c r="E20" s="38"/>
      <c r="F20" s="39"/>
      <c r="G20" s="38"/>
      <c r="H20" s="40"/>
      <c r="I20" s="39"/>
      <c r="J20" s="41"/>
      <c r="K20" s="38"/>
      <c r="L20" s="41"/>
      <c r="M20" s="39"/>
      <c r="N20" s="40"/>
      <c r="O20" s="38"/>
      <c r="P20" s="41"/>
      <c r="Q20" s="39"/>
      <c r="R20" s="38"/>
      <c r="S20" s="39"/>
      <c r="T20" s="38"/>
      <c r="U20" s="39"/>
      <c r="V20" s="38"/>
      <c r="W20" s="42"/>
      <c r="X20" s="43"/>
      <c r="Y20" s="42"/>
      <c r="Z20" s="43"/>
      <c r="AA20" s="39"/>
      <c r="AB20" s="41"/>
      <c r="AC20" s="39"/>
      <c r="AD20" s="41"/>
      <c r="AE20" s="39"/>
      <c r="AF20" s="43"/>
      <c r="AG20" s="40"/>
      <c r="AH20" s="39"/>
      <c r="AI20" s="43"/>
      <c r="AJ20" s="39"/>
      <c r="AK20" s="41"/>
      <c r="AL20" s="127"/>
      <c r="AM20" s="128"/>
    </row>
    <row r="21" spans="1:39" ht="14.25" customHeight="1" x14ac:dyDescent="0.2">
      <c r="A21" s="18">
        <f>fromYokohama+AM21</f>
        <v>0.38624698067632857</v>
      </c>
      <c r="B21" s="55" t="str">
        <f>"ただいま{+"&amp;D21&amp;"駅}を通過。Passing {+"&amp;D22&amp;"} station."</f>
        <v>ただいま{+掛川駅}を通過。Passing {+Kakegawa} station.</v>
      </c>
      <c r="C21" s="174"/>
      <c r="D21" s="8" t="s">
        <v>14</v>
      </c>
      <c r="E21" s="14"/>
      <c r="F21" s="12"/>
      <c r="G21" s="14"/>
      <c r="H21" s="15"/>
      <c r="I21" s="12"/>
      <c r="J21" s="16"/>
      <c r="K21" s="14"/>
      <c r="L21" s="16"/>
      <c r="M21" s="12"/>
      <c r="N21" s="15"/>
      <c r="O21" s="14"/>
      <c r="P21" s="16"/>
      <c r="Q21" s="12"/>
      <c r="R21" s="14"/>
      <c r="S21" s="12"/>
      <c r="T21" s="14"/>
      <c r="U21" s="12"/>
      <c r="V21" s="14"/>
      <c r="W21" s="17"/>
      <c r="X21" s="11"/>
      <c r="Y21" s="17"/>
      <c r="Z21" s="11"/>
      <c r="AA21" s="12"/>
      <c r="AB21" s="16"/>
      <c r="AC21" s="12"/>
      <c r="AD21" s="16"/>
      <c r="AE21" s="12"/>
      <c r="AF21" s="11"/>
      <c r="AG21" s="15"/>
      <c r="AH21" s="12"/>
      <c r="AI21" s="11"/>
      <c r="AJ21" s="12"/>
      <c r="AK21" s="16"/>
      <c r="AL21" s="121">
        <v>43.86</v>
      </c>
      <c r="AM21" s="122">
        <f>SUM(AL11:AL21)/SUM(AL11:AL30)*(toNagoya-fromYokohama)</f>
        <v>3.1385869565217411E-2</v>
      </c>
    </row>
    <row r="22" spans="1:39" ht="14.25" customHeight="1" x14ac:dyDescent="0.2">
      <c r="A22" s="18"/>
      <c r="B22" s="55"/>
      <c r="C22" s="176"/>
      <c r="D22" s="45" t="s">
        <v>44</v>
      </c>
      <c r="E22" s="38"/>
      <c r="F22" s="39"/>
      <c r="G22" s="38"/>
      <c r="H22" s="40"/>
      <c r="I22" s="39"/>
      <c r="J22" s="41"/>
      <c r="K22" s="38"/>
      <c r="L22" s="41"/>
      <c r="M22" s="39"/>
      <c r="N22" s="40"/>
      <c r="O22" s="38"/>
      <c r="P22" s="41"/>
      <c r="Q22" s="39"/>
      <c r="R22" s="38"/>
      <c r="S22" s="39"/>
      <c r="T22" s="38"/>
      <c r="U22" s="39"/>
      <c r="V22" s="38"/>
      <c r="W22" s="42"/>
      <c r="X22" s="43"/>
      <c r="Y22" s="42"/>
      <c r="Z22" s="43"/>
      <c r="AA22" s="39"/>
      <c r="AB22" s="41"/>
      <c r="AC22" s="39"/>
      <c r="AD22" s="41"/>
      <c r="AE22" s="39"/>
      <c r="AF22" s="43"/>
      <c r="AG22" s="40"/>
      <c r="AH22" s="39"/>
      <c r="AI22" s="43"/>
      <c r="AJ22" s="39"/>
      <c r="AK22" s="41"/>
      <c r="AL22" s="127"/>
      <c r="AM22" s="128"/>
    </row>
    <row r="23" spans="1:39" ht="14.25" customHeight="1" x14ac:dyDescent="0.2">
      <c r="A23" s="18">
        <f>fromYokohama+AM23</f>
        <v>0.39091363505505006</v>
      </c>
      <c r="B23" s="55" t="str">
        <f>"ただいま{+"&amp;D23&amp;"駅}を通過。Passing {+"&amp;D24&amp;"} station."</f>
        <v>ただいま{+浜松駅}を通過。Passing {+Hamamatsu} station.</v>
      </c>
      <c r="C23" s="174"/>
      <c r="D23" s="8" t="s">
        <v>15</v>
      </c>
      <c r="E23" s="14"/>
      <c r="F23" s="12"/>
      <c r="G23" s="14"/>
      <c r="H23" s="15"/>
      <c r="I23" s="12"/>
      <c r="J23" s="16"/>
      <c r="K23" s="14"/>
      <c r="L23" s="16"/>
      <c r="M23" s="12"/>
      <c r="N23" s="15"/>
      <c r="O23" s="14"/>
      <c r="P23" s="16"/>
      <c r="Q23" s="12"/>
      <c r="R23" s="14"/>
      <c r="S23" s="12"/>
      <c r="T23" s="14"/>
      <c r="U23" s="12"/>
      <c r="V23" s="14"/>
      <c r="W23" s="17"/>
      <c r="X23" s="11"/>
      <c r="Y23" s="17"/>
      <c r="Z23" s="11"/>
      <c r="AA23" s="12"/>
      <c r="AB23" s="16"/>
      <c r="AC23" s="12"/>
      <c r="AD23" s="16"/>
      <c r="AE23" s="12"/>
      <c r="AF23" s="11"/>
      <c r="AG23" s="15"/>
      <c r="AH23" s="12"/>
      <c r="AI23" s="11"/>
      <c r="AJ23" s="12"/>
      <c r="AK23" s="16"/>
      <c r="AL23" s="121">
        <v>27.62</v>
      </c>
      <c r="AM23" s="122">
        <f>SUM(AL11:AL23)/SUM(AL11:AL30)*(toNagoya-fromYokohama)</f>
        <v>3.6052523943938909E-2</v>
      </c>
    </row>
    <row r="24" spans="1:39" ht="14.25" customHeight="1" x14ac:dyDescent="0.2">
      <c r="A24" s="18"/>
      <c r="B24" s="55"/>
      <c r="C24" s="176"/>
      <c r="D24" s="45" t="s">
        <v>45</v>
      </c>
      <c r="E24" s="38"/>
      <c r="F24" s="39"/>
      <c r="G24" s="38"/>
      <c r="H24" s="40"/>
      <c r="I24" s="39"/>
      <c r="J24" s="41"/>
      <c r="K24" s="38"/>
      <c r="L24" s="41"/>
      <c r="M24" s="39"/>
      <c r="N24" s="40"/>
      <c r="O24" s="38"/>
      <c r="P24" s="41"/>
      <c r="Q24" s="39"/>
      <c r="R24" s="38"/>
      <c r="S24" s="39"/>
      <c r="T24" s="38"/>
      <c r="U24" s="39"/>
      <c r="V24" s="38"/>
      <c r="W24" s="42"/>
      <c r="X24" s="43"/>
      <c r="Y24" s="42"/>
      <c r="Z24" s="43"/>
      <c r="AA24" s="39"/>
      <c r="AB24" s="41"/>
      <c r="AC24" s="39"/>
      <c r="AD24" s="41"/>
      <c r="AE24" s="39"/>
      <c r="AF24" s="43"/>
      <c r="AG24" s="40"/>
      <c r="AH24" s="39"/>
      <c r="AI24" s="43"/>
      <c r="AJ24" s="39"/>
      <c r="AK24" s="41"/>
      <c r="AL24" s="127"/>
      <c r="AM24" s="128"/>
    </row>
    <row r="25" spans="1:39" ht="14.25" customHeight="1" x14ac:dyDescent="0.2">
      <c r="A25" s="18">
        <f>fromYokohama+AM25</f>
        <v>0.39686944848191219</v>
      </c>
      <c r="B25" s="55" t="str">
        <f>"ただいま{+"&amp;D25&amp;"駅}を通過。Passing {+"&amp;D26&amp;"} station."</f>
        <v>ただいま{+豊橋駅}を通過。Passing {+Toyohashi} station.</v>
      </c>
      <c r="C25" s="174"/>
      <c r="D25" s="8" t="s">
        <v>16</v>
      </c>
      <c r="E25" s="14"/>
      <c r="F25" s="12"/>
      <c r="G25" s="14"/>
      <c r="H25" s="15"/>
      <c r="I25" s="12"/>
      <c r="J25" s="16"/>
      <c r="K25" s="14"/>
      <c r="L25" s="16"/>
      <c r="M25" s="12"/>
      <c r="N25" s="15"/>
      <c r="O25" s="14"/>
      <c r="P25" s="16"/>
      <c r="Q25" s="12"/>
      <c r="R25" s="14"/>
      <c r="S25" s="12"/>
      <c r="T25" s="14"/>
      <c r="U25" s="12"/>
      <c r="V25" s="14"/>
      <c r="W25" s="17"/>
      <c r="X25" s="11"/>
      <c r="Y25" s="17"/>
      <c r="Z25" s="11"/>
      <c r="AA25" s="12"/>
      <c r="AB25" s="16"/>
      <c r="AC25" s="12"/>
      <c r="AD25" s="16"/>
      <c r="AE25" s="12"/>
      <c r="AF25" s="11"/>
      <c r="AG25" s="15"/>
      <c r="AH25" s="12"/>
      <c r="AI25" s="11"/>
      <c r="AJ25" s="12"/>
      <c r="AK25" s="16"/>
      <c r="AL25" s="121">
        <v>35.25</v>
      </c>
      <c r="AM25" s="122">
        <f>SUM(AL11:AL25)/SUM(AL11:AL30)*(toNagoya-fromYokohama)</f>
        <v>4.2008337370801063E-2</v>
      </c>
    </row>
    <row r="26" spans="1:39" ht="14.25" customHeight="1" x14ac:dyDescent="0.2">
      <c r="A26" s="18"/>
      <c r="B26" s="55"/>
      <c r="C26" s="176"/>
      <c r="D26" s="45" t="s">
        <v>46</v>
      </c>
      <c r="E26" s="38"/>
      <c r="F26" s="39"/>
      <c r="G26" s="38"/>
      <c r="H26" s="40"/>
      <c r="I26" s="39"/>
      <c r="J26" s="41"/>
      <c r="K26" s="38"/>
      <c r="L26" s="41"/>
      <c r="M26" s="39"/>
      <c r="N26" s="40"/>
      <c r="O26" s="38"/>
      <c r="P26" s="41"/>
      <c r="Q26" s="39"/>
      <c r="R26" s="38"/>
      <c r="S26" s="39"/>
      <c r="T26" s="38"/>
      <c r="U26" s="39"/>
      <c r="V26" s="38"/>
      <c r="W26" s="42"/>
      <c r="X26" s="43"/>
      <c r="Y26" s="42"/>
      <c r="Z26" s="43"/>
      <c r="AA26" s="39"/>
      <c r="AB26" s="41"/>
      <c r="AC26" s="39"/>
      <c r="AD26" s="41"/>
      <c r="AE26" s="39"/>
      <c r="AF26" s="43"/>
      <c r="AG26" s="40"/>
      <c r="AH26" s="39"/>
      <c r="AI26" s="43"/>
      <c r="AJ26" s="39"/>
      <c r="AK26" s="41"/>
      <c r="AL26" s="127"/>
      <c r="AM26" s="128"/>
    </row>
    <row r="27" spans="1:39" ht="14.25" customHeight="1" x14ac:dyDescent="0.2">
      <c r="A27" s="18">
        <f>fromYokohama+AM27</f>
        <v>0.40339972334569152</v>
      </c>
      <c r="B27" s="55" t="str">
        <f>"ただいま{+"&amp;D27&amp;"駅}を通過。Passing {+"&amp;D28&amp;"} station."</f>
        <v>ただいま{+三河安城駅}を通過。Passing {+Mikawa-Anjo} station.</v>
      </c>
      <c r="C27" s="174"/>
      <c r="D27" s="8" t="s">
        <v>17</v>
      </c>
      <c r="E27" s="14"/>
      <c r="F27" s="12"/>
      <c r="G27" s="14"/>
      <c r="H27" s="15"/>
      <c r="I27" s="12"/>
      <c r="J27" s="16"/>
      <c r="K27" s="14"/>
      <c r="L27" s="16"/>
      <c r="M27" s="12"/>
      <c r="N27" s="15"/>
      <c r="O27" s="14"/>
      <c r="P27" s="16"/>
      <c r="Q27" s="12"/>
      <c r="R27" s="14"/>
      <c r="S27" s="12"/>
      <c r="T27" s="14"/>
      <c r="U27" s="12"/>
      <c r="V27" s="14"/>
      <c r="W27" s="17"/>
      <c r="X27" s="11"/>
      <c r="Y27" s="17"/>
      <c r="Z27" s="11"/>
      <c r="AA27" s="12"/>
      <c r="AB27" s="16"/>
      <c r="AC27" s="12"/>
      <c r="AD27" s="16"/>
      <c r="AE27" s="12"/>
      <c r="AF27" s="11"/>
      <c r="AG27" s="15"/>
      <c r="AH27" s="12"/>
      <c r="AI27" s="11"/>
      <c r="AJ27" s="12"/>
      <c r="AK27" s="16"/>
      <c r="AL27" s="121">
        <v>38.65</v>
      </c>
      <c r="AM27" s="122">
        <f>SUM(AL11:AL27)/SUM(AL11:AL30)*(toNagoya-fromYokohama)</f>
        <v>4.8538612234580412E-2</v>
      </c>
    </row>
    <row r="28" spans="1:39" ht="14.25" customHeight="1" x14ac:dyDescent="0.2">
      <c r="A28" s="18"/>
      <c r="B28" s="55"/>
      <c r="C28" s="176"/>
      <c r="D28" s="47" t="s">
        <v>47</v>
      </c>
      <c r="E28" s="38"/>
      <c r="F28" s="39"/>
      <c r="G28" s="38"/>
      <c r="H28" s="40"/>
      <c r="I28" s="39"/>
      <c r="J28" s="41"/>
      <c r="K28" s="38"/>
      <c r="L28" s="41"/>
      <c r="M28" s="39"/>
      <c r="N28" s="40"/>
      <c r="O28" s="38"/>
      <c r="P28" s="41"/>
      <c r="Q28" s="39"/>
      <c r="R28" s="38"/>
      <c r="S28" s="39"/>
      <c r="T28" s="38"/>
      <c r="U28" s="39"/>
      <c r="V28" s="38"/>
      <c r="W28" s="42"/>
      <c r="X28" s="43"/>
      <c r="Y28" s="42"/>
      <c r="Z28" s="43"/>
      <c r="AA28" s="39"/>
      <c r="AB28" s="41"/>
      <c r="AC28" s="39"/>
      <c r="AD28" s="41"/>
      <c r="AE28" s="39"/>
      <c r="AF28" s="43"/>
      <c r="AG28" s="40"/>
      <c r="AH28" s="39"/>
      <c r="AI28" s="43"/>
      <c r="AJ28" s="39"/>
      <c r="AK28" s="41"/>
      <c r="AL28" s="127"/>
      <c r="AM28" s="128"/>
    </row>
    <row r="29" spans="1:39" ht="85.5" x14ac:dyDescent="0.2">
      <c r="A29" s="18">
        <f>C30-beforehand</f>
        <v>0.40625000000000006</v>
      </c>
      <c r="B29" s="55" t="s">
        <v>80</v>
      </c>
      <c r="C29" s="174"/>
      <c r="D29" s="13"/>
      <c r="E29" s="14"/>
      <c r="F29" s="12"/>
      <c r="G29" s="14"/>
      <c r="H29" s="15"/>
      <c r="I29" s="12"/>
      <c r="J29" s="16"/>
      <c r="K29" s="14"/>
      <c r="L29" s="16"/>
      <c r="M29" s="12"/>
      <c r="N29" s="15"/>
      <c r="O29" s="14"/>
      <c r="P29" s="16"/>
      <c r="Q29" s="12"/>
      <c r="R29" s="14"/>
      <c r="S29" s="12"/>
      <c r="T29" s="14"/>
      <c r="U29" s="12"/>
      <c r="V29" s="14"/>
      <c r="W29" s="17"/>
      <c r="X29" s="11"/>
      <c r="Y29" s="17"/>
      <c r="Z29" s="11"/>
      <c r="AA29" s="12"/>
      <c r="AB29" s="16"/>
      <c r="AC29" s="12"/>
      <c r="AD29" s="16"/>
      <c r="AE29" s="12"/>
      <c r="AF29" s="11"/>
      <c r="AG29" s="15"/>
      <c r="AH29" s="12"/>
      <c r="AI29" s="11"/>
      <c r="AJ29" s="12"/>
      <c r="AK29" s="16"/>
      <c r="AL29" s="121"/>
      <c r="AM29" s="122"/>
    </row>
    <row r="30" spans="1:39" ht="14.25" customHeight="1" x14ac:dyDescent="0.2">
      <c r="A30" s="18">
        <f>C30</f>
        <v>0.40833333333333338</v>
      </c>
      <c r="B30" s="55" t="s">
        <v>81</v>
      </c>
      <c r="C30" s="174">
        <f>HLOOKUP(selector,table,30,FALSE)</f>
        <v>0.40833333333333338</v>
      </c>
      <c r="D30" s="13" t="s">
        <v>18</v>
      </c>
      <c r="E30" s="14">
        <v>0.31527777777777777</v>
      </c>
      <c r="F30" s="12">
        <v>0.3263888888888889</v>
      </c>
      <c r="G30" s="14">
        <v>0.34027777777777773</v>
      </c>
      <c r="H30" s="15">
        <v>0.35069444444444442</v>
      </c>
      <c r="I30" s="12">
        <v>0.3666666666666667</v>
      </c>
      <c r="J30" s="16">
        <v>0.37222222222222223</v>
      </c>
      <c r="K30" s="14">
        <v>0.38125000000000003</v>
      </c>
      <c r="L30" s="16">
        <v>0.3923611111111111</v>
      </c>
      <c r="M30" s="12">
        <v>0.40833333333333338</v>
      </c>
      <c r="N30" s="15">
        <v>0.41388888888888892</v>
      </c>
      <c r="O30" s="14">
        <v>0.42291666666666666</v>
      </c>
      <c r="P30" s="16">
        <v>0.44375000000000003</v>
      </c>
      <c r="Q30" s="12">
        <v>0.45</v>
      </c>
      <c r="R30" s="14">
        <v>0.46458333333333335</v>
      </c>
      <c r="S30" s="12">
        <v>0.4916666666666667</v>
      </c>
      <c r="T30" s="14">
        <v>0.50624999999999998</v>
      </c>
      <c r="U30" s="12">
        <v>0.53333333333333333</v>
      </c>
      <c r="V30" s="14">
        <v>0.54791666666666672</v>
      </c>
      <c r="W30" s="17">
        <v>0.57500000000000007</v>
      </c>
      <c r="X30" s="11">
        <v>0.58958333333333335</v>
      </c>
      <c r="Y30" s="17">
        <v>0.6166666666666667</v>
      </c>
      <c r="Z30" s="11">
        <v>0.63124999999999998</v>
      </c>
      <c r="AA30" s="12">
        <v>0.65833333333333333</v>
      </c>
      <c r="AB30" s="16">
        <v>0.67291666666666661</v>
      </c>
      <c r="AC30" s="12">
        <v>0.70000000000000007</v>
      </c>
      <c r="AD30" s="16">
        <v>0.71458333333333324</v>
      </c>
      <c r="AE30" s="12">
        <v>0.7416666666666667</v>
      </c>
      <c r="AF30" s="11">
        <v>0.75624999999999998</v>
      </c>
      <c r="AG30" s="15">
        <v>0.76736111111111116</v>
      </c>
      <c r="AH30" s="12">
        <v>0.78333333333333333</v>
      </c>
      <c r="AI30" s="11">
        <v>0.79791666666666661</v>
      </c>
      <c r="AJ30" s="12">
        <v>0.82500000000000007</v>
      </c>
      <c r="AK30" s="16">
        <v>0.85486111111111107</v>
      </c>
      <c r="AL30" s="121">
        <v>29.2</v>
      </c>
      <c r="AM30" s="122">
        <f>SUM(AL11:AL30)/SUM(AL11:AL30)*(toNagoya-fromYokohama)</f>
        <v>5.3472222222222254E-2</v>
      </c>
    </row>
    <row r="31" spans="1:39" ht="14.25" customHeight="1" x14ac:dyDescent="0.2">
      <c r="A31" s="18">
        <f>C31</f>
        <v>0.40902777777777777</v>
      </c>
      <c r="B31" s="55" t="s">
        <v>82</v>
      </c>
      <c r="C31" s="176">
        <f>HLOOKUP(selector,table,31,FALSE)</f>
        <v>0.40902777777777777</v>
      </c>
      <c r="D31" s="37" t="s">
        <v>48</v>
      </c>
      <c r="E31" s="38">
        <v>0.31597222222222221</v>
      </c>
      <c r="F31" s="39">
        <v>0.32708333333333334</v>
      </c>
      <c r="G31" s="38">
        <v>0.34166666666666662</v>
      </c>
      <c r="H31" s="40">
        <v>0.3520833333333333</v>
      </c>
      <c r="I31" s="39">
        <v>0.36736111111111108</v>
      </c>
      <c r="J31" s="41">
        <v>0.37361111111111112</v>
      </c>
      <c r="K31" s="38">
        <v>0.38194444444444442</v>
      </c>
      <c r="L31" s="41">
        <v>0.39305555555555555</v>
      </c>
      <c r="M31" s="39">
        <v>0.40902777777777777</v>
      </c>
      <c r="N31" s="40">
        <v>0.4152777777777778</v>
      </c>
      <c r="O31" s="38">
        <v>0.4236111111111111</v>
      </c>
      <c r="P31" s="41">
        <v>0.44513888888888892</v>
      </c>
      <c r="Q31" s="39">
        <v>0.45069444444444445</v>
      </c>
      <c r="R31" s="38">
        <v>0.46527777777777773</v>
      </c>
      <c r="S31" s="39">
        <v>0.49236111111111108</v>
      </c>
      <c r="T31" s="38">
        <v>0.50694444444444442</v>
      </c>
      <c r="U31" s="39">
        <v>0.53402777777777777</v>
      </c>
      <c r="V31" s="38">
        <v>0.54861111111111105</v>
      </c>
      <c r="W31" s="42">
        <v>0.5756944444444444</v>
      </c>
      <c r="X31" s="43">
        <v>0.59027777777777779</v>
      </c>
      <c r="Y31" s="42">
        <v>0.61736111111111114</v>
      </c>
      <c r="Z31" s="43">
        <v>0.63194444444444442</v>
      </c>
      <c r="AA31" s="39">
        <v>0.65902777777777777</v>
      </c>
      <c r="AB31" s="41">
        <v>0.67361111111111116</v>
      </c>
      <c r="AC31" s="39">
        <v>0.7006944444444444</v>
      </c>
      <c r="AD31" s="41">
        <v>0.71527777777777779</v>
      </c>
      <c r="AE31" s="39">
        <v>0.74236111111111114</v>
      </c>
      <c r="AF31" s="43">
        <v>0.75694444444444453</v>
      </c>
      <c r="AG31" s="40">
        <v>0.7680555555555556</v>
      </c>
      <c r="AH31" s="39">
        <v>0.78402777777777777</v>
      </c>
      <c r="AI31" s="43">
        <v>0.79861111111111116</v>
      </c>
      <c r="AJ31" s="39">
        <v>0.8256944444444444</v>
      </c>
      <c r="AK31" s="41">
        <v>0.85625000000000007</v>
      </c>
      <c r="AL31" s="127"/>
      <c r="AM31" s="128"/>
    </row>
    <row r="32" spans="1:39" ht="14.25" customHeight="1" x14ac:dyDescent="0.2">
      <c r="A32" s="18">
        <f>fromNagoya+AM32</f>
        <v>0.41344090525479682</v>
      </c>
      <c r="B32" s="55" t="str">
        <f>"ただいま{+"&amp;D32&amp;"駅}を通過。Passing {+"&amp;D33&amp;"} station."</f>
        <v>ただいま{+岐阜羽島駅}を通過。Passing {+Gifu-Hashima} station.</v>
      </c>
      <c r="C32" s="174"/>
      <c r="D32" s="8" t="s">
        <v>19</v>
      </c>
      <c r="E32" s="14"/>
      <c r="F32" s="12"/>
      <c r="G32" s="14"/>
      <c r="H32" s="15"/>
      <c r="I32" s="12"/>
      <c r="J32" s="16"/>
      <c r="K32" s="14"/>
      <c r="L32" s="16"/>
      <c r="M32" s="12"/>
      <c r="N32" s="15"/>
      <c r="O32" s="14"/>
      <c r="P32" s="16"/>
      <c r="Q32" s="12"/>
      <c r="R32" s="14"/>
      <c r="S32" s="12"/>
      <c r="T32" s="14"/>
      <c r="U32" s="12"/>
      <c r="V32" s="14"/>
      <c r="W32" s="17"/>
      <c r="X32" s="11"/>
      <c r="Y32" s="17"/>
      <c r="Z32" s="11"/>
      <c r="AA32" s="12"/>
      <c r="AB32" s="16"/>
      <c r="AC32" s="12"/>
      <c r="AD32" s="16"/>
      <c r="AE32" s="12"/>
      <c r="AF32" s="11"/>
      <c r="AG32" s="15"/>
      <c r="AH32" s="12"/>
      <c r="AI32" s="11"/>
      <c r="AJ32" s="12"/>
      <c r="AK32" s="16"/>
      <c r="AL32" s="121">
        <v>25.1</v>
      </c>
      <c r="AM32" s="122">
        <f>SUM(AL32:AL32)/SUM(AL32:AL37)*(toKyoto-fromNagoya)</f>
        <v>4.4131274770190495E-3</v>
      </c>
    </row>
    <row r="33" spans="1:39" ht="14.25" customHeight="1" x14ac:dyDescent="0.2">
      <c r="A33" s="18"/>
      <c r="B33" s="55"/>
      <c r="C33" s="176"/>
      <c r="D33" s="45" t="s">
        <v>49</v>
      </c>
      <c r="E33" s="38"/>
      <c r="F33" s="39"/>
      <c r="G33" s="38"/>
      <c r="H33" s="40"/>
      <c r="I33" s="39"/>
      <c r="J33" s="41"/>
      <c r="K33" s="38"/>
      <c r="L33" s="41"/>
      <c r="M33" s="39"/>
      <c r="N33" s="40"/>
      <c r="O33" s="38"/>
      <c r="P33" s="41"/>
      <c r="Q33" s="39"/>
      <c r="R33" s="38"/>
      <c r="S33" s="39"/>
      <c r="T33" s="38"/>
      <c r="U33" s="39"/>
      <c r="V33" s="38"/>
      <c r="W33" s="42"/>
      <c r="X33" s="43"/>
      <c r="Y33" s="42"/>
      <c r="Z33" s="43"/>
      <c r="AA33" s="39"/>
      <c r="AB33" s="41"/>
      <c r="AC33" s="39"/>
      <c r="AD33" s="41"/>
      <c r="AE33" s="39"/>
      <c r="AF33" s="43"/>
      <c r="AG33" s="40"/>
      <c r="AH33" s="39"/>
      <c r="AI33" s="43"/>
      <c r="AJ33" s="39"/>
      <c r="AK33" s="41"/>
      <c r="AL33" s="127"/>
      <c r="AM33" s="128"/>
    </row>
    <row r="34" spans="1:39" ht="14.25" customHeight="1" x14ac:dyDescent="0.2">
      <c r="A34" s="18">
        <f>fromNagoya+AM34</f>
        <v>0.42066893993926907</v>
      </c>
      <c r="B34" s="55" t="str">
        <f>"ただいま{+"&amp;D34&amp;"駅}を通過。Passing {+"&amp;D35&amp;"} station."</f>
        <v>ただいま{+米原駅}を通過。Passing {+Maibara} station.</v>
      </c>
      <c r="C34" s="174"/>
      <c r="D34" s="8" t="s">
        <v>33</v>
      </c>
      <c r="E34" s="14"/>
      <c r="F34" s="12"/>
      <c r="G34" s="14"/>
      <c r="H34" s="15"/>
      <c r="I34" s="12"/>
      <c r="J34" s="16"/>
      <c r="K34" s="14"/>
      <c r="L34" s="16"/>
      <c r="M34" s="12"/>
      <c r="N34" s="15"/>
      <c r="O34" s="14"/>
      <c r="P34" s="16"/>
      <c r="Q34" s="12"/>
      <c r="R34" s="14"/>
      <c r="S34" s="12"/>
      <c r="T34" s="14"/>
      <c r="U34" s="12"/>
      <c r="V34" s="14"/>
      <c r="W34" s="17"/>
      <c r="X34" s="11"/>
      <c r="Y34" s="17"/>
      <c r="Z34" s="11"/>
      <c r="AA34" s="12"/>
      <c r="AB34" s="16"/>
      <c r="AC34" s="12"/>
      <c r="AD34" s="16"/>
      <c r="AE34" s="12"/>
      <c r="AF34" s="11"/>
      <c r="AG34" s="15"/>
      <c r="AH34" s="12"/>
      <c r="AI34" s="11"/>
      <c r="AJ34" s="12"/>
      <c r="AK34" s="16"/>
      <c r="AL34" s="121">
        <v>41.11</v>
      </c>
      <c r="AM34" s="122">
        <f>SUM(AL32:AL34)/SUM(AL32:AL37)*(toKyoto-fromNagoya)</f>
        <v>1.1641162161491286E-2</v>
      </c>
    </row>
    <row r="35" spans="1:39" ht="14.25" customHeight="1" x14ac:dyDescent="0.2">
      <c r="A35" s="18"/>
      <c r="B35" s="55"/>
      <c r="C35" s="176"/>
      <c r="D35" s="47" t="s">
        <v>50</v>
      </c>
      <c r="E35" s="38"/>
      <c r="F35" s="39"/>
      <c r="G35" s="38"/>
      <c r="H35" s="40"/>
      <c r="I35" s="39"/>
      <c r="J35" s="41"/>
      <c r="K35" s="38"/>
      <c r="L35" s="41"/>
      <c r="M35" s="39"/>
      <c r="N35" s="40"/>
      <c r="O35" s="38"/>
      <c r="P35" s="41"/>
      <c r="Q35" s="39"/>
      <c r="R35" s="38"/>
      <c r="S35" s="39"/>
      <c r="T35" s="38"/>
      <c r="U35" s="39"/>
      <c r="V35" s="38"/>
      <c r="W35" s="42"/>
      <c r="X35" s="43"/>
      <c r="Y35" s="42"/>
      <c r="Z35" s="43"/>
      <c r="AA35" s="39"/>
      <c r="AB35" s="41"/>
      <c r="AC35" s="39"/>
      <c r="AD35" s="41"/>
      <c r="AE35" s="39"/>
      <c r="AF35" s="43"/>
      <c r="AG35" s="40"/>
      <c r="AH35" s="39"/>
      <c r="AI35" s="43"/>
      <c r="AJ35" s="39"/>
      <c r="AK35" s="41"/>
      <c r="AL35" s="127"/>
      <c r="AM35" s="128"/>
    </row>
    <row r="36" spans="1:39" ht="84.75" x14ac:dyDescent="0.2">
      <c r="A36" s="18">
        <f>C37-beforehand</f>
        <v>0.43055555555555552</v>
      </c>
      <c r="B36" s="55" t="s">
        <v>83</v>
      </c>
      <c r="C36" s="174"/>
      <c r="D36" s="13"/>
      <c r="E36" s="14"/>
      <c r="F36" s="12"/>
      <c r="G36" s="14"/>
      <c r="H36" s="15"/>
      <c r="I36" s="12"/>
      <c r="J36" s="16"/>
      <c r="K36" s="14"/>
      <c r="L36" s="16"/>
      <c r="M36" s="12"/>
      <c r="N36" s="15"/>
      <c r="O36" s="14"/>
      <c r="P36" s="16"/>
      <c r="Q36" s="12"/>
      <c r="R36" s="14"/>
      <c r="S36" s="12"/>
      <c r="T36" s="14"/>
      <c r="U36" s="12"/>
      <c r="V36" s="14"/>
      <c r="W36" s="17"/>
      <c r="X36" s="11"/>
      <c r="Y36" s="17"/>
      <c r="Z36" s="11"/>
      <c r="AA36" s="12"/>
      <c r="AB36" s="16"/>
      <c r="AC36" s="12"/>
      <c r="AD36" s="16"/>
      <c r="AE36" s="12"/>
      <c r="AF36" s="11"/>
      <c r="AG36" s="15"/>
      <c r="AH36" s="12"/>
      <c r="AI36" s="11"/>
      <c r="AJ36" s="12"/>
      <c r="AK36" s="16"/>
      <c r="AL36" s="121"/>
      <c r="AM36" s="122"/>
    </row>
    <row r="37" spans="1:39" ht="14.25" customHeight="1" x14ac:dyDescent="0.2">
      <c r="A37" s="18">
        <f>C37</f>
        <v>0.43263888888888885</v>
      </c>
      <c r="B37" s="55" t="s">
        <v>84</v>
      </c>
      <c r="C37" s="174">
        <f>HLOOKUP(selector,table,37,FALSE)</f>
        <v>0.43263888888888885</v>
      </c>
      <c r="D37" s="13" t="s">
        <v>20</v>
      </c>
      <c r="E37" s="14">
        <v>0.33888888888888885</v>
      </c>
      <c r="F37" s="12">
        <v>0.35000000000000003</v>
      </c>
      <c r="G37" s="14">
        <v>0.36458333333333331</v>
      </c>
      <c r="H37" s="15">
        <v>0.3756944444444445</v>
      </c>
      <c r="I37" s="12">
        <v>0.39097222222222222</v>
      </c>
      <c r="J37" s="16">
        <v>0.3972222222222222</v>
      </c>
      <c r="K37" s="14">
        <v>0.4055555555555555</v>
      </c>
      <c r="L37" s="16">
        <v>0.41666666666666669</v>
      </c>
      <c r="M37" s="12">
        <v>0.43263888888888885</v>
      </c>
      <c r="N37" s="15">
        <v>0.43888888888888888</v>
      </c>
      <c r="O37" s="14">
        <v>0.44722222222222219</v>
      </c>
      <c r="P37" s="16">
        <v>0.46875</v>
      </c>
      <c r="Q37" s="12">
        <v>0.47430555555555554</v>
      </c>
      <c r="R37" s="14">
        <v>0.48888888888888887</v>
      </c>
      <c r="S37" s="12">
        <v>0.51597222222222217</v>
      </c>
      <c r="T37" s="14">
        <v>0.53055555555555556</v>
      </c>
      <c r="U37" s="12">
        <v>0.55763888888888891</v>
      </c>
      <c r="V37" s="14">
        <v>0.57222222222222219</v>
      </c>
      <c r="W37" s="17">
        <v>0.59930555555555554</v>
      </c>
      <c r="X37" s="11">
        <v>0.61388888888888882</v>
      </c>
      <c r="Y37" s="17">
        <v>0.64097222222222217</v>
      </c>
      <c r="Z37" s="11">
        <v>0.65555555555555556</v>
      </c>
      <c r="AA37" s="12">
        <v>0.68263888888888891</v>
      </c>
      <c r="AB37" s="16">
        <v>0.6972222222222223</v>
      </c>
      <c r="AC37" s="12">
        <v>0.72430555555555554</v>
      </c>
      <c r="AD37" s="16">
        <v>0.73888888888888893</v>
      </c>
      <c r="AE37" s="12">
        <v>0.76597222222222217</v>
      </c>
      <c r="AF37" s="11">
        <v>0.78055555555555556</v>
      </c>
      <c r="AG37" s="15">
        <v>0.79166666666666663</v>
      </c>
      <c r="AH37" s="12">
        <v>0.80763888888888891</v>
      </c>
      <c r="AI37" s="11">
        <v>0.8222222222222223</v>
      </c>
      <c r="AJ37" s="12">
        <v>0.84930555555555554</v>
      </c>
      <c r="AK37" s="16">
        <v>0.87916666666666676</v>
      </c>
      <c r="AL37" s="121">
        <v>68.08</v>
      </c>
      <c r="AM37" s="122">
        <f>SUM(AL32:AL37)/SUM(AL32:AL37)*(toKyoto-fromNagoya)</f>
        <v>2.3611111111111083E-2</v>
      </c>
    </row>
    <row r="38" spans="1:39" ht="14.25" customHeight="1" x14ac:dyDescent="0.2">
      <c r="A38" s="18">
        <f>C38</f>
        <v>0.43402777777777773</v>
      </c>
      <c r="B38" s="55" t="s">
        <v>85</v>
      </c>
      <c r="C38" s="176">
        <f>HLOOKUP(selector,table,38,FALSE)</f>
        <v>0.43402777777777773</v>
      </c>
      <c r="D38" s="37" t="s">
        <v>51</v>
      </c>
      <c r="E38" s="38">
        <v>0.33958333333333335</v>
      </c>
      <c r="F38" s="39">
        <v>0.35138888888888892</v>
      </c>
      <c r="G38" s="38">
        <v>0.3659722222222222</v>
      </c>
      <c r="H38" s="40">
        <v>0.37638888888888888</v>
      </c>
      <c r="I38" s="39">
        <v>0.3923611111111111</v>
      </c>
      <c r="J38" s="41">
        <v>0.3979166666666667</v>
      </c>
      <c r="K38" s="38">
        <v>0.4069444444444445</v>
      </c>
      <c r="L38" s="41">
        <v>0.41805555555555557</v>
      </c>
      <c r="M38" s="39">
        <v>0.43402777777777773</v>
      </c>
      <c r="N38" s="40">
        <v>0.43958333333333338</v>
      </c>
      <c r="O38" s="38">
        <v>0.44861111111111113</v>
      </c>
      <c r="P38" s="41">
        <v>0.4694444444444445</v>
      </c>
      <c r="Q38" s="39">
        <v>0.47569444444444442</v>
      </c>
      <c r="R38" s="38">
        <v>0.49027777777777781</v>
      </c>
      <c r="S38" s="39">
        <v>0.51736111111111105</v>
      </c>
      <c r="T38" s="38">
        <v>0.53194444444444444</v>
      </c>
      <c r="U38" s="39">
        <v>0.55902777777777779</v>
      </c>
      <c r="V38" s="38">
        <v>0.57361111111111118</v>
      </c>
      <c r="W38" s="42">
        <v>0.60069444444444442</v>
      </c>
      <c r="X38" s="43">
        <v>0.61527777777777781</v>
      </c>
      <c r="Y38" s="42">
        <v>0.64236111111111105</v>
      </c>
      <c r="Z38" s="43">
        <v>0.65694444444444444</v>
      </c>
      <c r="AA38" s="39">
        <v>0.68402777777777779</v>
      </c>
      <c r="AB38" s="41">
        <v>0.69861111111111107</v>
      </c>
      <c r="AC38" s="39">
        <v>0.72569444444444453</v>
      </c>
      <c r="AD38" s="41">
        <v>0.7402777777777777</v>
      </c>
      <c r="AE38" s="39">
        <v>0.76736111111111116</v>
      </c>
      <c r="AF38" s="43">
        <v>0.78194444444444444</v>
      </c>
      <c r="AG38" s="40">
        <v>0.79305555555555562</v>
      </c>
      <c r="AH38" s="39">
        <v>0.80902777777777779</v>
      </c>
      <c r="AI38" s="43">
        <v>0.82361111111111107</v>
      </c>
      <c r="AJ38" s="39">
        <v>0.85069444444444453</v>
      </c>
      <c r="AK38" s="41">
        <v>0.87986111111111109</v>
      </c>
      <c r="AL38" s="127"/>
      <c r="AM38" s="128"/>
    </row>
    <row r="39" spans="1:39" ht="85.5" x14ac:dyDescent="0.2">
      <c r="A39" s="18">
        <f>C40-beforehand</f>
        <v>0.44166666666666671</v>
      </c>
      <c r="B39" s="55" t="s">
        <v>86</v>
      </c>
      <c r="C39" s="174"/>
      <c r="D39" s="23"/>
      <c r="E39" s="14"/>
      <c r="F39" s="12"/>
      <c r="G39" s="14"/>
      <c r="H39" s="15"/>
      <c r="I39" s="12"/>
      <c r="J39" s="16"/>
      <c r="K39" s="14"/>
      <c r="L39" s="16"/>
      <c r="M39" s="12"/>
      <c r="N39" s="15"/>
      <c r="O39" s="14"/>
      <c r="P39" s="16"/>
      <c r="Q39" s="12"/>
      <c r="R39" s="14"/>
      <c r="S39" s="12"/>
      <c r="T39" s="14"/>
      <c r="U39" s="12"/>
      <c r="V39" s="14"/>
      <c r="W39" s="17"/>
      <c r="X39" s="11"/>
      <c r="Y39" s="17"/>
      <c r="Z39" s="11"/>
      <c r="AA39" s="12"/>
      <c r="AB39" s="16"/>
      <c r="AC39" s="12"/>
      <c r="AD39" s="16"/>
      <c r="AE39" s="12"/>
      <c r="AF39" s="11"/>
      <c r="AG39" s="15"/>
      <c r="AH39" s="12"/>
      <c r="AI39" s="11"/>
      <c r="AJ39" s="12"/>
      <c r="AK39" s="16"/>
      <c r="AL39" s="121"/>
      <c r="AM39" s="122"/>
    </row>
    <row r="40" spans="1:39" ht="14.25" customHeight="1" x14ac:dyDescent="0.2">
      <c r="A40" s="18">
        <f>C40</f>
        <v>0.44375000000000003</v>
      </c>
      <c r="B40" s="55" t="s">
        <v>87</v>
      </c>
      <c r="C40" s="174">
        <f>HLOOKUP(selector,table,40,FALSE)</f>
        <v>0.44375000000000003</v>
      </c>
      <c r="D40" s="13" t="s">
        <v>21</v>
      </c>
      <c r="E40" s="14">
        <v>0.34861111111111115</v>
      </c>
      <c r="F40" s="12">
        <v>0.36041666666666666</v>
      </c>
      <c r="G40" s="14">
        <v>0.375</v>
      </c>
      <c r="H40" s="15">
        <v>0.38541666666666669</v>
      </c>
      <c r="I40" s="12">
        <v>0.40208333333333335</v>
      </c>
      <c r="J40" s="16">
        <v>0.40833333333333338</v>
      </c>
      <c r="K40" s="14">
        <v>0.41666666666666669</v>
      </c>
      <c r="L40" s="16">
        <v>0.42708333333333331</v>
      </c>
      <c r="M40" s="12">
        <v>0.44375000000000003</v>
      </c>
      <c r="N40" s="15">
        <v>0.45</v>
      </c>
      <c r="O40" s="14">
        <v>0.45833333333333331</v>
      </c>
      <c r="P40" s="16">
        <v>0.47916666666666669</v>
      </c>
      <c r="Q40" s="12">
        <v>0.48541666666666666</v>
      </c>
      <c r="R40" s="14">
        <v>0.5</v>
      </c>
      <c r="S40" s="12">
        <v>0.52708333333333335</v>
      </c>
      <c r="T40" s="14">
        <v>0.54166666666666663</v>
      </c>
      <c r="U40" s="12">
        <v>0.56874999999999998</v>
      </c>
      <c r="V40" s="14">
        <v>0.58333333333333337</v>
      </c>
      <c r="W40" s="17">
        <v>0.61041666666666672</v>
      </c>
      <c r="X40" s="11">
        <v>0.625</v>
      </c>
      <c r="Y40" s="17">
        <v>0.65208333333333335</v>
      </c>
      <c r="Z40" s="11">
        <v>0.66666666666666663</v>
      </c>
      <c r="AA40" s="12">
        <v>0.69374999999999998</v>
      </c>
      <c r="AB40" s="16">
        <v>0.70833333333333337</v>
      </c>
      <c r="AC40" s="12">
        <v>0.73541666666666661</v>
      </c>
      <c r="AD40" s="16">
        <v>0.75</v>
      </c>
      <c r="AE40" s="12">
        <v>0.77708333333333324</v>
      </c>
      <c r="AF40" s="11">
        <v>0.79166666666666663</v>
      </c>
      <c r="AG40" s="15">
        <v>0.80208333333333337</v>
      </c>
      <c r="AH40" s="12">
        <v>0.81874999999999998</v>
      </c>
      <c r="AI40" s="11">
        <v>0.83333333333333337</v>
      </c>
      <c r="AJ40" s="12">
        <v>0.86041666666666661</v>
      </c>
      <c r="AK40" s="16">
        <v>0.88958333333333339</v>
      </c>
      <c r="AL40" s="121">
        <v>39.04</v>
      </c>
      <c r="AM40" s="122"/>
    </row>
    <row r="41" spans="1:39" ht="14.25" customHeight="1" x14ac:dyDescent="0.2">
      <c r="A41" s="18">
        <f>C41</f>
        <v>0.44513888888888892</v>
      </c>
      <c r="B41" s="55" t="s">
        <v>97</v>
      </c>
      <c r="C41" s="176">
        <f>HLOOKUP(selector,table,41,FALSE)</f>
        <v>0.44513888888888892</v>
      </c>
      <c r="D41" s="37" t="s">
        <v>52</v>
      </c>
      <c r="E41" s="38">
        <v>0.35000000000000003</v>
      </c>
      <c r="F41" s="39">
        <v>0.36180555555555555</v>
      </c>
      <c r="G41" s="38">
        <v>0.37638888888888888</v>
      </c>
      <c r="H41" s="40">
        <v>0.38680555555555557</v>
      </c>
      <c r="I41" s="39">
        <v>0.40347222222222223</v>
      </c>
      <c r="J41" s="41">
        <v>0.40972222222222227</v>
      </c>
      <c r="K41" s="38">
        <v>0.41805555555555557</v>
      </c>
      <c r="L41" s="41">
        <v>0.4284722222222222</v>
      </c>
      <c r="M41" s="39">
        <v>0.44513888888888892</v>
      </c>
      <c r="N41" s="40">
        <v>0.4513888888888889</v>
      </c>
      <c r="O41" s="38">
        <v>0.4597222222222222</v>
      </c>
      <c r="P41" s="41">
        <v>0.48055555555555557</v>
      </c>
      <c r="Q41" s="39">
        <v>0.48680555555555555</v>
      </c>
      <c r="R41" s="38">
        <v>0.50138888888888888</v>
      </c>
      <c r="S41" s="39">
        <v>0.52847222222222223</v>
      </c>
      <c r="T41" s="38">
        <v>0.54305555555555551</v>
      </c>
      <c r="U41" s="39">
        <v>0.57013888888888886</v>
      </c>
      <c r="V41" s="38">
        <v>0.58472222222222225</v>
      </c>
      <c r="W41" s="42">
        <v>0.6118055555555556</v>
      </c>
      <c r="X41" s="43">
        <v>0.62638888888888888</v>
      </c>
      <c r="Y41" s="42">
        <v>0.65347222222222223</v>
      </c>
      <c r="Z41" s="43">
        <v>0.66805555555555562</v>
      </c>
      <c r="AA41" s="39">
        <v>0.69513888888888886</v>
      </c>
      <c r="AB41" s="41">
        <v>0.70972222222222225</v>
      </c>
      <c r="AC41" s="39">
        <v>0.7368055555555556</v>
      </c>
      <c r="AD41" s="41">
        <v>0.75138888888888899</v>
      </c>
      <c r="AE41" s="39">
        <v>0.77847222222222223</v>
      </c>
      <c r="AF41" s="43">
        <v>0.79305555555555562</v>
      </c>
      <c r="AG41" s="40">
        <v>0.80347222222222225</v>
      </c>
      <c r="AH41" s="39">
        <v>0.82013888888888886</v>
      </c>
      <c r="AI41" s="43">
        <v>0.83472222222222225</v>
      </c>
      <c r="AJ41" s="39">
        <v>0.8618055555555556</v>
      </c>
      <c r="AK41" s="41">
        <v>0.89097222222222217</v>
      </c>
      <c r="AL41" s="127"/>
      <c r="AM41" s="128"/>
    </row>
    <row r="42" spans="1:39" ht="113.25" x14ac:dyDescent="0.2">
      <c r="A42" s="18">
        <f>C43-beforehand</f>
        <v>0.4513888888888889</v>
      </c>
      <c r="B42" s="55" t="s">
        <v>88</v>
      </c>
      <c r="C42" s="174"/>
      <c r="D42" s="23"/>
      <c r="E42" s="14"/>
      <c r="F42" s="12"/>
      <c r="G42" s="14"/>
      <c r="H42" s="15"/>
      <c r="I42" s="12"/>
      <c r="J42" s="16"/>
      <c r="K42" s="14"/>
      <c r="L42" s="16"/>
      <c r="M42" s="12"/>
      <c r="N42" s="15"/>
      <c r="O42" s="14"/>
      <c r="P42" s="16"/>
      <c r="Q42" s="12"/>
      <c r="R42" s="14"/>
      <c r="S42" s="12"/>
      <c r="T42" s="14"/>
      <c r="U42" s="12"/>
      <c r="V42" s="14"/>
      <c r="W42" s="17"/>
      <c r="X42" s="11"/>
      <c r="Y42" s="17"/>
      <c r="Z42" s="11"/>
      <c r="AA42" s="12"/>
      <c r="AB42" s="16"/>
      <c r="AC42" s="12"/>
      <c r="AD42" s="16"/>
      <c r="AE42" s="12"/>
      <c r="AF42" s="11"/>
      <c r="AG42" s="15"/>
      <c r="AH42" s="12"/>
      <c r="AI42" s="11"/>
      <c r="AJ42" s="12"/>
      <c r="AK42" s="16"/>
      <c r="AL42" s="121"/>
      <c r="AM42" s="122"/>
    </row>
    <row r="43" spans="1:39" ht="14.25" customHeight="1" x14ac:dyDescent="0.2">
      <c r="A43" s="18">
        <f>C43</f>
        <v>0.45347222222222222</v>
      </c>
      <c r="B43" s="55" t="s">
        <v>89</v>
      </c>
      <c r="C43" s="174">
        <f>HLOOKUP(selector,table,43,FALSE)</f>
        <v>0.45347222222222222</v>
      </c>
      <c r="D43" s="13" t="s">
        <v>22</v>
      </c>
      <c r="E43" s="14">
        <v>0.35833333333333334</v>
      </c>
      <c r="F43" s="12">
        <v>0.37013888888888885</v>
      </c>
      <c r="G43" s="14">
        <v>0.38472222222222219</v>
      </c>
      <c r="H43" s="15">
        <v>0.39513888888888887</v>
      </c>
      <c r="I43" s="12">
        <v>0.41180555555555554</v>
      </c>
      <c r="J43" s="16">
        <v>0.41805555555555557</v>
      </c>
      <c r="K43" s="14">
        <v>0.42638888888888887</v>
      </c>
      <c r="L43" s="16">
        <v>0.4368055555555555</v>
      </c>
      <c r="M43" s="12">
        <v>0.45347222222222222</v>
      </c>
      <c r="N43" s="15">
        <v>0.4597222222222222</v>
      </c>
      <c r="O43" s="14">
        <v>0.4680555555555555</v>
      </c>
      <c r="P43" s="16">
        <v>0.48888888888888887</v>
      </c>
      <c r="Q43" s="12">
        <v>0.49513888888888885</v>
      </c>
      <c r="R43" s="14">
        <v>0.50972222222222219</v>
      </c>
      <c r="S43" s="12">
        <v>0.53680555555555554</v>
      </c>
      <c r="T43" s="14">
        <v>0.55138888888888882</v>
      </c>
      <c r="U43" s="12">
        <v>0.57847222222222217</v>
      </c>
      <c r="V43" s="14">
        <v>0.58333333333333337</v>
      </c>
      <c r="W43" s="17">
        <v>0.62013888888888891</v>
      </c>
      <c r="X43" s="11">
        <v>0.63472222222222219</v>
      </c>
      <c r="Y43" s="17">
        <v>0.66180555555555554</v>
      </c>
      <c r="Z43" s="11">
        <v>0.67638888888888893</v>
      </c>
      <c r="AA43" s="12">
        <v>0.70347222222222217</v>
      </c>
      <c r="AB43" s="16">
        <v>0.71805555555555556</v>
      </c>
      <c r="AC43" s="12">
        <v>0.74513888888888891</v>
      </c>
      <c r="AD43" s="16">
        <v>0.7597222222222223</v>
      </c>
      <c r="AE43" s="12">
        <v>0.78680555555555554</v>
      </c>
      <c r="AF43" s="11">
        <v>0.80138888888888893</v>
      </c>
      <c r="AG43" s="15">
        <v>0.81180555555555556</v>
      </c>
      <c r="AH43" s="12">
        <v>0.82847222222222217</v>
      </c>
      <c r="AI43" s="11">
        <v>0.84305555555555556</v>
      </c>
      <c r="AJ43" s="12">
        <v>0.87013888888888891</v>
      </c>
      <c r="AK43" s="16">
        <v>0.89930555555555547</v>
      </c>
      <c r="AL43" s="121">
        <v>32.65</v>
      </c>
      <c r="AM43" s="122"/>
    </row>
    <row r="44" spans="1:39" ht="14.25" customHeight="1" x14ac:dyDescent="0.2">
      <c r="A44" s="18">
        <f>C44</f>
        <v>0.45416666666666666</v>
      </c>
      <c r="B44" s="55" t="str">
        <f>"|次は　　"&amp;IF(C2=3,"{+姫　路}","{+岡　山}")</f>
        <v>|次は　　{+岡　山}</v>
      </c>
      <c r="C44" s="176">
        <f>HLOOKUP(selector,table,44,FALSE)</f>
        <v>0.45416666666666666</v>
      </c>
      <c r="D44" s="37" t="s">
        <v>53</v>
      </c>
      <c r="E44" s="38">
        <v>0.35902777777777778</v>
      </c>
      <c r="F44" s="39">
        <v>0.37083333333333335</v>
      </c>
      <c r="G44" s="38">
        <v>0.38541666666666669</v>
      </c>
      <c r="H44" s="40">
        <v>0.39583333333333331</v>
      </c>
      <c r="I44" s="39">
        <v>0.41250000000000003</v>
      </c>
      <c r="J44" s="41">
        <v>0.41875000000000001</v>
      </c>
      <c r="K44" s="38">
        <v>0.42708333333333331</v>
      </c>
      <c r="L44" s="41">
        <v>0.4375</v>
      </c>
      <c r="M44" s="39">
        <v>0.45416666666666666</v>
      </c>
      <c r="N44" s="40">
        <v>0.4604166666666667</v>
      </c>
      <c r="O44" s="38">
        <v>0.46875</v>
      </c>
      <c r="P44" s="41">
        <v>0.48958333333333331</v>
      </c>
      <c r="Q44" s="39">
        <v>0.49583333333333335</v>
      </c>
      <c r="R44" s="38">
        <v>0.51041666666666663</v>
      </c>
      <c r="S44" s="39">
        <v>0.53749999999999998</v>
      </c>
      <c r="T44" s="38">
        <v>0.55208333333333337</v>
      </c>
      <c r="U44" s="39">
        <v>0.57916666666666672</v>
      </c>
      <c r="V44" s="38">
        <v>0.58472222222222225</v>
      </c>
      <c r="W44" s="42">
        <v>0.62083333333333335</v>
      </c>
      <c r="X44" s="43">
        <v>0.63541666666666663</v>
      </c>
      <c r="Y44" s="42">
        <v>0.66249999999999998</v>
      </c>
      <c r="Z44" s="43">
        <v>0.67708333333333337</v>
      </c>
      <c r="AA44" s="39">
        <v>0.70416666666666661</v>
      </c>
      <c r="AB44" s="41">
        <v>0.71875</v>
      </c>
      <c r="AC44" s="39">
        <v>0.74583333333333324</v>
      </c>
      <c r="AD44" s="41">
        <v>0.76041666666666663</v>
      </c>
      <c r="AE44" s="39">
        <v>0.78749999999999998</v>
      </c>
      <c r="AF44" s="43">
        <v>0.80208333333333337</v>
      </c>
      <c r="AG44" s="40">
        <v>0.8125</v>
      </c>
      <c r="AH44" s="39">
        <v>0.82916666666666661</v>
      </c>
      <c r="AI44" s="43">
        <v>0.84375</v>
      </c>
      <c r="AJ44" s="39">
        <v>0.87083333333333324</v>
      </c>
      <c r="AK44" s="41">
        <v>0.9</v>
      </c>
      <c r="AL44" s="127"/>
      <c r="AM44" s="128"/>
    </row>
    <row r="45" spans="1:39" ht="14.25" customHeight="1" x14ac:dyDescent="0.2">
      <c r="A45" s="18">
        <f>fromKobe+AM45</f>
        <v>0.45789217659688675</v>
      </c>
      <c r="B45" s="55" t="str">
        <f>"ただいま{+"&amp;D45&amp;"駅}を通過。Passing {+"&amp;D46&amp;"} station."</f>
        <v>ただいま{+西明石駅}を通過。Passing {+Nishi-Akashi} station.</v>
      </c>
      <c r="C45" s="177"/>
      <c r="D45" s="9" t="s">
        <v>34</v>
      </c>
      <c r="E45" s="24"/>
      <c r="F45" s="25"/>
      <c r="G45" s="24"/>
      <c r="H45" s="15"/>
      <c r="I45" s="25"/>
      <c r="J45" s="26"/>
      <c r="K45" s="24"/>
      <c r="L45" s="26"/>
      <c r="M45" s="25"/>
      <c r="N45" s="15"/>
      <c r="O45" s="24"/>
      <c r="P45" s="26"/>
      <c r="Q45" s="25"/>
      <c r="R45" s="24"/>
      <c r="S45" s="25"/>
      <c r="T45" s="24"/>
      <c r="U45" s="12"/>
      <c r="V45" s="24"/>
      <c r="W45" s="17"/>
      <c r="X45" s="11"/>
      <c r="Y45" s="17"/>
      <c r="Z45" s="11"/>
      <c r="AA45" s="25"/>
      <c r="AB45" s="26"/>
      <c r="AC45" s="25"/>
      <c r="AD45" s="26"/>
      <c r="AE45" s="25"/>
      <c r="AF45" s="11"/>
      <c r="AG45" s="15"/>
      <c r="AH45" s="25"/>
      <c r="AI45" s="11"/>
      <c r="AJ45" s="25"/>
      <c r="AK45" s="26"/>
      <c r="AL45" s="121">
        <v>22.21</v>
      </c>
      <c r="AM45" s="122">
        <f>SUM(AL45:AL45)/SUM(AL45:AL53)*(toOkayama-fromKobe)</f>
        <v>3.7255099302200717E-3</v>
      </c>
    </row>
    <row r="46" spans="1:39" ht="14.25" customHeight="1" x14ac:dyDescent="0.2">
      <c r="A46" s="18"/>
      <c r="B46" s="55"/>
      <c r="C46" s="176"/>
      <c r="D46" s="47" t="s">
        <v>54</v>
      </c>
      <c r="E46" s="38"/>
      <c r="F46" s="39"/>
      <c r="G46" s="38"/>
      <c r="H46" s="40"/>
      <c r="I46" s="39"/>
      <c r="J46" s="41"/>
      <c r="K46" s="38"/>
      <c r="L46" s="41"/>
      <c r="M46" s="39"/>
      <c r="N46" s="40"/>
      <c r="O46" s="38"/>
      <c r="P46" s="41"/>
      <c r="Q46" s="39"/>
      <c r="R46" s="38"/>
      <c r="S46" s="39"/>
      <c r="T46" s="38"/>
      <c r="U46" s="39"/>
      <c r="V46" s="38"/>
      <c r="W46" s="42"/>
      <c r="X46" s="43"/>
      <c r="Y46" s="42"/>
      <c r="Z46" s="43"/>
      <c r="AA46" s="39"/>
      <c r="AB46" s="41"/>
      <c r="AC46" s="39"/>
      <c r="AD46" s="41"/>
      <c r="AE46" s="39"/>
      <c r="AF46" s="43"/>
      <c r="AG46" s="40"/>
      <c r="AH46" s="39"/>
      <c r="AI46" s="43"/>
      <c r="AJ46" s="39"/>
      <c r="AK46" s="41"/>
      <c r="AL46" s="127"/>
      <c r="AM46" s="128"/>
    </row>
    <row r="47" spans="1:39" x14ac:dyDescent="0.2">
      <c r="A47" s="59" t="str">
        <f>IF(C2=3,C48-beforehand,"")</f>
        <v/>
      </c>
      <c r="B47" s="53" t="str">
        <f>IF(C2=3,"!まもなく{+姫路}です。{+山陽線（網干方面）}、{+JR神戸線（加古川方面）}と、{+播但線}、{+姫新線}はお乗り換えです。お降りの時は足元にご注意ください。今日も新幹線をご利用くださいましてありがとうございました。姫路を出ますと、次は{+岡山}に停まります。"&amp;"We will soon make a brief stop at {+Himeji}. Passengers going to the {+Sanyo}, {+JR Kobe}, {+Bantan}, and {+Kishin lines}, please change trains here at {+Himeji}. Thank you.","")</f>
        <v/>
      </c>
      <c r="C47" s="174"/>
      <c r="D47" s="27"/>
      <c r="E47" s="14"/>
      <c r="F47" s="12"/>
      <c r="G47" s="14"/>
      <c r="H47" s="15"/>
      <c r="I47" s="12"/>
      <c r="J47" s="16"/>
      <c r="K47" s="14"/>
      <c r="L47" s="16"/>
      <c r="M47" s="12"/>
      <c r="N47" s="15"/>
      <c r="O47" s="14"/>
      <c r="P47" s="16"/>
      <c r="Q47" s="12"/>
      <c r="R47" s="14"/>
      <c r="S47" s="12"/>
      <c r="T47" s="14"/>
      <c r="U47" s="12"/>
      <c r="V47" s="14"/>
      <c r="W47" s="17"/>
      <c r="X47" s="11"/>
      <c r="Y47" s="17"/>
      <c r="Z47" s="11"/>
      <c r="AA47" s="12"/>
      <c r="AB47" s="16"/>
      <c r="AC47" s="12"/>
      <c r="AD47" s="16"/>
      <c r="AE47" s="12"/>
      <c r="AF47" s="11"/>
      <c r="AG47" s="15"/>
      <c r="AH47" s="12"/>
      <c r="AI47" s="11"/>
      <c r="AJ47" s="12"/>
      <c r="AK47" s="16"/>
      <c r="AL47" s="121"/>
      <c r="AM47" s="122"/>
    </row>
    <row r="48" spans="1:39" ht="14.25" customHeight="1" x14ac:dyDescent="0.2">
      <c r="A48" s="59">
        <f>IF(C2=3,C48,fromKobe+AM48)</f>
        <v>0.46310386473429949</v>
      </c>
      <c r="B48" s="53" t="str">
        <f>IF(C2=3,"{+姫路}","ただいま{+"&amp;D48&amp;"駅}を通過。Passing {+"&amp;D49&amp;"} station.")</f>
        <v>ただいま{+姫路駅}を通過。Passing {+Himeji} station.</v>
      </c>
      <c r="C48" s="174">
        <f>HLOOKUP(selector,table,48,FALSE)</f>
        <v>0</v>
      </c>
      <c r="D48" s="27" t="s">
        <v>23</v>
      </c>
      <c r="E48" s="24"/>
      <c r="F48" s="25"/>
      <c r="G48" s="24"/>
      <c r="H48" s="15">
        <v>0.40625</v>
      </c>
      <c r="I48" s="25"/>
      <c r="J48" s="26"/>
      <c r="K48" s="24"/>
      <c r="L48" s="26"/>
      <c r="M48" s="25"/>
      <c r="N48" s="15">
        <v>0.47083333333333338</v>
      </c>
      <c r="O48" s="24"/>
      <c r="P48" s="26"/>
      <c r="Q48" s="25"/>
      <c r="R48" s="24"/>
      <c r="S48" s="25"/>
      <c r="T48" s="24"/>
      <c r="U48" s="12"/>
      <c r="V48" s="24"/>
      <c r="W48" s="17"/>
      <c r="X48" s="11"/>
      <c r="Y48" s="17"/>
      <c r="Z48" s="11"/>
      <c r="AA48" s="25"/>
      <c r="AB48" s="26"/>
      <c r="AC48" s="25"/>
      <c r="AD48" s="26"/>
      <c r="AE48" s="25"/>
      <c r="AF48" s="11"/>
      <c r="AG48" s="15">
        <v>0.82291666666666663</v>
      </c>
      <c r="AH48" s="25"/>
      <c r="AI48" s="11"/>
      <c r="AJ48" s="25"/>
      <c r="AK48" s="26"/>
      <c r="AL48" s="121">
        <v>31.07</v>
      </c>
      <c r="AM48" s="122">
        <f>SUM(AL45:AL48)/SUM(AL45:AL53)*(toOkayama-fromKobe)</f>
        <v>8.9371980676328407E-3</v>
      </c>
    </row>
    <row r="49" spans="1:39" ht="14.25" customHeight="1" x14ac:dyDescent="0.2">
      <c r="A49" s="59" t="str">
        <f>IF(C2=3,C49,"")</f>
        <v/>
      </c>
      <c r="B49" s="53" t="str">
        <f>IF(C2=3,"|次は　　{+岡　山}","")</f>
        <v/>
      </c>
      <c r="C49" s="176">
        <f>HLOOKUP(selector,table,49,FALSE)</f>
        <v>0</v>
      </c>
      <c r="D49" s="48" t="s">
        <v>3</v>
      </c>
      <c r="E49" s="38"/>
      <c r="F49" s="39"/>
      <c r="G49" s="38"/>
      <c r="H49" s="40">
        <v>0.40763888888888888</v>
      </c>
      <c r="I49" s="39"/>
      <c r="J49" s="41"/>
      <c r="K49" s="38"/>
      <c r="L49" s="41"/>
      <c r="M49" s="39"/>
      <c r="N49" s="40">
        <v>0.47152777777777777</v>
      </c>
      <c r="O49" s="38"/>
      <c r="P49" s="41"/>
      <c r="Q49" s="39"/>
      <c r="R49" s="38"/>
      <c r="S49" s="39"/>
      <c r="T49" s="38"/>
      <c r="U49" s="39"/>
      <c r="V49" s="38"/>
      <c r="W49" s="42"/>
      <c r="X49" s="43"/>
      <c r="Y49" s="42"/>
      <c r="Z49" s="43"/>
      <c r="AA49" s="39"/>
      <c r="AB49" s="41"/>
      <c r="AC49" s="39"/>
      <c r="AD49" s="41"/>
      <c r="AE49" s="39"/>
      <c r="AF49" s="43"/>
      <c r="AG49" s="40">
        <v>0.82361111111111107</v>
      </c>
      <c r="AH49" s="39"/>
      <c r="AI49" s="43"/>
      <c r="AJ49" s="39"/>
      <c r="AK49" s="41"/>
      <c r="AL49" s="127"/>
      <c r="AM49" s="128"/>
    </row>
    <row r="50" spans="1:39" ht="14.25" customHeight="1" x14ac:dyDescent="0.2">
      <c r="A50" s="18">
        <f>fromKobe+AM50</f>
        <v>0.46646705582393988</v>
      </c>
      <c r="B50" s="55" t="str">
        <f>"ただいま{+"&amp;D50&amp;"駅}を通過。Passing {+"&amp;D51&amp;"} station."</f>
        <v>ただいま{+相生駅}を通過。Passing {+Aioi} station.</v>
      </c>
      <c r="C50" s="174"/>
      <c r="D50" s="9" t="s">
        <v>35</v>
      </c>
      <c r="E50" s="14"/>
      <c r="F50" s="25"/>
      <c r="G50" s="14"/>
      <c r="H50" s="15"/>
      <c r="I50" s="25"/>
      <c r="J50" s="26"/>
      <c r="K50" s="14"/>
      <c r="L50" s="26"/>
      <c r="M50" s="12"/>
      <c r="N50" s="28"/>
      <c r="O50" s="14"/>
      <c r="P50" s="26"/>
      <c r="Q50" s="25"/>
      <c r="R50" s="14"/>
      <c r="S50" s="25"/>
      <c r="T50" s="14"/>
      <c r="U50" s="12"/>
      <c r="V50" s="14"/>
      <c r="W50" s="17"/>
      <c r="X50" s="11"/>
      <c r="Y50" s="17"/>
      <c r="Z50" s="11"/>
      <c r="AA50" s="25"/>
      <c r="AB50" s="26"/>
      <c r="AC50" s="25"/>
      <c r="AD50" s="26"/>
      <c r="AE50" s="25"/>
      <c r="AF50" s="11"/>
      <c r="AG50" s="28"/>
      <c r="AH50" s="25"/>
      <c r="AI50" s="11"/>
      <c r="AJ50" s="25"/>
      <c r="AK50" s="26"/>
      <c r="AL50" s="121">
        <v>20.05</v>
      </c>
      <c r="AM50" s="122">
        <f>SUM(AL45:AL50)/SUM(AL45:AL53)*(toOkayama-fromKobe)</f>
        <v>1.2300389157273202E-2</v>
      </c>
    </row>
    <row r="51" spans="1:39" ht="14.25" customHeight="1" x14ac:dyDescent="0.2">
      <c r="A51" s="18"/>
      <c r="B51" s="55"/>
      <c r="C51" s="176"/>
      <c r="D51" s="47" t="s">
        <v>55</v>
      </c>
      <c r="E51" s="38"/>
      <c r="F51" s="39"/>
      <c r="G51" s="38"/>
      <c r="H51" s="40"/>
      <c r="I51" s="39"/>
      <c r="J51" s="41"/>
      <c r="K51" s="38"/>
      <c r="L51" s="41"/>
      <c r="M51" s="39"/>
      <c r="N51" s="40"/>
      <c r="O51" s="38"/>
      <c r="P51" s="41"/>
      <c r="Q51" s="39"/>
      <c r="R51" s="38"/>
      <c r="S51" s="39"/>
      <c r="T51" s="38"/>
      <c r="U51" s="39"/>
      <c r="V51" s="38"/>
      <c r="W51" s="42"/>
      <c r="X51" s="43"/>
      <c r="Y51" s="42"/>
      <c r="Z51" s="43"/>
      <c r="AA51" s="39"/>
      <c r="AB51" s="41"/>
      <c r="AC51" s="39"/>
      <c r="AD51" s="41"/>
      <c r="AE51" s="39"/>
      <c r="AF51" s="43"/>
      <c r="AG51" s="40"/>
      <c r="AH51" s="39"/>
      <c r="AI51" s="43"/>
      <c r="AJ51" s="39"/>
      <c r="AK51" s="41"/>
      <c r="AL51" s="127"/>
      <c r="AM51" s="128"/>
    </row>
    <row r="52" spans="1:39" ht="99.75" x14ac:dyDescent="0.2">
      <c r="A52" s="18">
        <f>C53-beforehand</f>
        <v>0.47361111111111109</v>
      </c>
      <c r="B52" s="55" t="str">
        <f>"!まもなく{+岡山}です。{+山陽線}、{+瀬戸大橋線}、{+宇野みなと線}、{+伯備線}、{+津山線}、{+赤穂線}、{+桃太郎線}はお乗り換えです。お降りの時は足元にご注意ください。今日も新幹線をご利用くださいましてありがとうございました。{+岡山}を出ますと、次は"&amp;IF(C2=1,"{+福山}","{+広島}")&amp;"に停まります。"&amp;"We will soon make a brief stop at {+Okayama}. Passengers going to the {+Sanyo}, {+Seto-Ohashi}, {+Uno-Port}, {+Hakubi}, {+Tsuyama}, {+Ako}, and {+Momotaro lines}, please change trains here at {+Okayama}."&amp;" We will depart shortly after arriving at {+Okayama}, so please be ready to get off before the train stops. Thank you."</f>
        <v>!まもなく{+岡山}です。{+山陽線}、{+瀬戸大橋線}、{+宇野みなと線}、{+伯備線}、{+津山線}、{+赤穂線}、{+桃太郎線}はお乗り換えです。お降りの時は足元にご注意ください。今日も新幹線をご利用くださいましてありがとうございました。{+岡山}を出ますと、次は{+広島}に停まります。We will soon make a brief stop at {+Okayama}. Passengers going to the {+Sanyo}, {+Seto-Ohashi}, {+Uno-Port}, {+Hakubi}, {+Tsuyama}, {+Ako}, and {+Momotaro lines}, please change trains here at {+Okayama}. We will depart shortly after arriving at {+Okayama}, so please be ready to get off before the train stops. Thank you.</v>
      </c>
      <c r="C52" s="174"/>
      <c r="D52" s="13"/>
      <c r="E52" s="14"/>
      <c r="F52" s="12"/>
      <c r="G52" s="14"/>
      <c r="H52" s="15"/>
      <c r="I52" s="12"/>
      <c r="J52" s="16"/>
      <c r="K52" s="14"/>
      <c r="L52" s="16"/>
      <c r="M52" s="12"/>
      <c r="N52" s="15"/>
      <c r="O52" s="14"/>
      <c r="P52" s="16"/>
      <c r="Q52" s="12"/>
      <c r="R52" s="14"/>
      <c r="S52" s="12"/>
      <c r="T52" s="14"/>
      <c r="U52" s="12"/>
      <c r="V52" s="14"/>
      <c r="W52" s="17"/>
      <c r="X52" s="11"/>
      <c r="Y52" s="17"/>
      <c r="Z52" s="11"/>
      <c r="AA52" s="12"/>
      <c r="AB52" s="16"/>
      <c r="AC52" s="12"/>
      <c r="AD52" s="16"/>
      <c r="AE52" s="12"/>
      <c r="AF52" s="11"/>
      <c r="AG52" s="15"/>
      <c r="AH52" s="12"/>
      <c r="AI52" s="11"/>
      <c r="AJ52" s="12"/>
      <c r="AK52" s="16"/>
      <c r="AL52" s="121"/>
      <c r="AM52" s="122"/>
    </row>
    <row r="53" spans="1:39" ht="14.25" customHeight="1" x14ac:dyDescent="0.2">
      <c r="A53" s="18">
        <f>C53</f>
        <v>0.47569444444444442</v>
      </c>
      <c r="B53" s="55" t="s">
        <v>90</v>
      </c>
      <c r="C53" s="174">
        <f>HLOOKUP(selector,table,53,FALSE)</f>
        <v>0.47569444444444442</v>
      </c>
      <c r="D53" s="13" t="s">
        <v>24</v>
      </c>
      <c r="E53" s="14">
        <v>0.38125000000000003</v>
      </c>
      <c r="F53" s="12">
        <v>0.3923611111111111</v>
      </c>
      <c r="G53" s="14">
        <v>0.4069444444444445</v>
      </c>
      <c r="H53" s="15">
        <v>0.4201388888888889</v>
      </c>
      <c r="I53" s="12">
        <v>0.43402777777777773</v>
      </c>
      <c r="J53" s="16">
        <v>0.44166666666666665</v>
      </c>
      <c r="K53" s="14">
        <v>0.44861111111111113</v>
      </c>
      <c r="L53" s="16">
        <v>0.4597222222222222</v>
      </c>
      <c r="M53" s="12">
        <v>0.47569444444444442</v>
      </c>
      <c r="N53" s="15">
        <v>0.48541666666666666</v>
      </c>
      <c r="O53" s="14">
        <v>0.4909722222222222</v>
      </c>
      <c r="P53" s="16">
        <v>0.51180555555555551</v>
      </c>
      <c r="Q53" s="12">
        <v>0.51736111111111105</v>
      </c>
      <c r="R53" s="14">
        <v>0.53263888888888888</v>
      </c>
      <c r="S53" s="12">
        <v>0.55902777777777779</v>
      </c>
      <c r="T53" s="14">
        <v>0.57430555555555551</v>
      </c>
      <c r="U53" s="12">
        <v>0.60069444444444442</v>
      </c>
      <c r="V53" s="14">
        <v>0.61527777777777781</v>
      </c>
      <c r="W53" s="17">
        <v>0.64236111111111105</v>
      </c>
      <c r="X53" s="11">
        <v>0.65694444444444444</v>
      </c>
      <c r="Y53" s="17">
        <v>0.68402777777777779</v>
      </c>
      <c r="Z53" s="11">
        <v>0.69861111111111107</v>
      </c>
      <c r="AA53" s="12">
        <v>0.72569444444444453</v>
      </c>
      <c r="AB53" s="16">
        <v>0.7402777777777777</v>
      </c>
      <c r="AC53" s="12">
        <v>0.76736111111111116</v>
      </c>
      <c r="AD53" s="16">
        <v>0.78194444444444444</v>
      </c>
      <c r="AE53" s="12">
        <v>0.80972222222222223</v>
      </c>
      <c r="AF53" s="11">
        <v>0.82361111111111107</v>
      </c>
      <c r="AG53" s="15">
        <v>0.83680555555555547</v>
      </c>
      <c r="AH53" s="12">
        <v>0.85069444444444453</v>
      </c>
      <c r="AI53" s="11">
        <v>0.8652777777777777</v>
      </c>
      <c r="AJ53" s="12">
        <v>0.89236111111111116</v>
      </c>
      <c r="AK53" s="16">
        <v>0.92222222222222217</v>
      </c>
      <c r="AL53" s="121">
        <v>55.01</v>
      </c>
      <c r="AM53" s="122">
        <f>SUM(AL45:AL53)/SUM(AL45:AL53)*(toOkayama-fromKobe)</f>
        <v>2.1527777777777757E-2</v>
      </c>
    </row>
    <row r="54" spans="1:39" ht="14.25" customHeight="1" x14ac:dyDescent="0.2">
      <c r="A54" s="18">
        <f>C54</f>
        <v>0.47638888888888892</v>
      </c>
      <c r="B54" s="55" t="str">
        <f>"|次は　　"&amp;IF(C2=1,"{+福　山}","{+広　島}")</f>
        <v>|次は　　{+広　島}</v>
      </c>
      <c r="C54" s="176">
        <f>HLOOKUP(selector,table,54,FALSE)</f>
        <v>0.47638888888888892</v>
      </c>
      <c r="D54" s="37" t="s">
        <v>70</v>
      </c>
      <c r="E54" s="38">
        <v>0.38194444444444442</v>
      </c>
      <c r="F54" s="39">
        <v>0.39305555555555555</v>
      </c>
      <c r="G54" s="38">
        <v>0.40763888888888888</v>
      </c>
      <c r="H54" s="40">
        <v>0.42083333333333334</v>
      </c>
      <c r="I54" s="39">
        <v>0.43472222222222223</v>
      </c>
      <c r="J54" s="41">
        <v>0.44236111111111115</v>
      </c>
      <c r="K54" s="38">
        <v>0.44930555555555557</v>
      </c>
      <c r="L54" s="41">
        <v>0.4604166666666667</v>
      </c>
      <c r="M54" s="39">
        <v>0.47638888888888892</v>
      </c>
      <c r="N54" s="40">
        <v>0.4861111111111111</v>
      </c>
      <c r="O54" s="38">
        <v>0.4916666666666667</v>
      </c>
      <c r="P54" s="41">
        <v>0.51250000000000007</v>
      </c>
      <c r="Q54" s="39">
        <v>0.5180555555555556</v>
      </c>
      <c r="R54" s="38">
        <v>0.53333333333333333</v>
      </c>
      <c r="S54" s="39">
        <v>0.55972222222222223</v>
      </c>
      <c r="T54" s="38">
        <v>0.57500000000000007</v>
      </c>
      <c r="U54" s="39">
        <v>0.60138888888888886</v>
      </c>
      <c r="V54" s="38">
        <v>0.61597222222222225</v>
      </c>
      <c r="W54" s="42">
        <v>0.6430555555555556</v>
      </c>
      <c r="X54" s="43">
        <v>0.65763888888888888</v>
      </c>
      <c r="Y54" s="42">
        <v>0.68472222222222223</v>
      </c>
      <c r="Z54" s="43">
        <v>0.69930555555555562</v>
      </c>
      <c r="AA54" s="39">
        <v>0.72638888888888886</v>
      </c>
      <c r="AB54" s="41">
        <v>0.74097222222222225</v>
      </c>
      <c r="AC54" s="39">
        <v>0.7680555555555556</v>
      </c>
      <c r="AD54" s="41">
        <v>0.78263888888888899</v>
      </c>
      <c r="AE54" s="39">
        <v>0.81041666666666667</v>
      </c>
      <c r="AF54" s="43">
        <v>0.82430555555555562</v>
      </c>
      <c r="AG54" s="40">
        <v>0.83750000000000002</v>
      </c>
      <c r="AH54" s="39">
        <v>0.85138888888888886</v>
      </c>
      <c r="AI54" s="43">
        <v>0.86597222222222225</v>
      </c>
      <c r="AJ54" s="39">
        <v>0.8930555555555556</v>
      </c>
      <c r="AK54" s="41">
        <v>0.92291666666666661</v>
      </c>
      <c r="AL54" s="127"/>
      <c r="AM54" s="128"/>
    </row>
    <row r="55" spans="1:39" ht="14.25" customHeight="1" x14ac:dyDescent="0.2">
      <c r="A55" s="18">
        <f>fromOkayama+AM55</f>
        <v>0.4808408491318486</v>
      </c>
      <c r="B55" s="55" t="str">
        <f>"ただいま{+"&amp;D55&amp;"駅}を通過。Passing {+"&amp;D56&amp;"} station."</f>
        <v>ただいま{+新倉敷駅}を通過。Passing {+Shin-Kurashiki} station.</v>
      </c>
      <c r="C55" s="174"/>
      <c r="D55" s="9" t="s">
        <v>25</v>
      </c>
      <c r="E55" s="14"/>
      <c r="F55" s="25"/>
      <c r="G55" s="14"/>
      <c r="H55" s="15"/>
      <c r="I55" s="25"/>
      <c r="J55" s="26"/>
      <c r="K55" s="14"/>
      <c r="L55" s="26"/>
      <c r="M55" s="12"/>
      <c r="N55" s="28"/>
      <c r="O55" s="14"/>
      <c r="P55" s="26"/>
      <c r="Q55" s="25"/>
      <c r="R55" s="14"/>
      <c r="S55" s="25"/>
      <c r="T55" s="14"/>
      <c r="U55" s="12"/>
      <c r="V55" s="14"/>
      <c r="W55" s="17"/>
      <c r="X55" s="11"/>
      <c r="Y55" s="17"/>
      <c r="Z55" s="11"/>
      <c r="AA55" s="25"/>
      <c r="AB55" s="26"/>
      <c r="AC55" s="25"/>
      <c r="AD55" s="26"/>
      <c r="AE55" s="25"/>
      <c r="AF55" s="11"/>
      <c r="AG55" s="28"/>
      <c r="AH55" s="25"/>
      <c r="AI55" s="11"/>
      <c r="AJ55" s="25"/>
      <c r="AK55" s="26"/>
      <c r="AL55" s="121">
        <v>25.8</v>
      </c>
      <c r="AM55" s="122">
        <f>SUM(AL55:AL55)/SUM(AL55:AL67)*(toHiroshima-fromOkayama)</f>
        <v>4.451960242959685E-3</v>
      </c>
    </row>
    <row r="56" spans="1:39" ht="14.25" customHeight="1" x14ac:dyDescent="0.2">
      <c r="A56" s="18"/>
      <c r="B56" s="55"/>
      <c r="C56" s="176"/>
      <c r="D56" s="47" t="s">
        <v>56</v>
      </c>
      <c r="E56" s="38"/>
      <c r="F56" s="39"/>
      <c r="G56" s="38"/>
      <c r="H56" s="40"/>
      <c r="I56" s="39"/>
      <c r="J56" s="41"/>
      <c r="K56" s="38"/>
      <c r="L56" s="41"/>
      <c r="M56" s="39"/>
      <c r="N56" s="40"/>
      <c r="O56" s="38"/>
      <c r="P56" s="41"/>
      <c r="Q56" s="39"/>
      <c r="R56" s="38"/>
      <c r="S56" s="39"/>
      <c r="T56" s="38"/>
      <c r="U56" s="39"/>
      <c r="V56" s="38"/>
      <c r="W56" s="42"/>
      <c r="X56" s="43"/>
      <c r="Y56" s="42"/>
      <c r="Z56" s="43"/>
      <c r="AA56" s="39"/>
      <c r="AB56" s="41"/>
      <c r="AC56" s="39"/>
      <c r="AD56" s="41"/>
      <c r="AE56" s="39"/>
      <c r="AF56" s="43"/>
      <c r="AG56" s="40"/>
      <c r="AH56" s="39"/>
      <c r="AI56" s="43"/>
      <c r="AJ56" s="39"/>
      <c r="AK56" s="41"/>
      <c r="AL56" s="127"/>
      <c r="AM56" s="128"/>
    </row>
    <row r="57" spans="1:39" x14ac:dyDescent="0.2">
      <c r="A57" s="58" t="str">
        <f>IF(C2=1,C58-beforehand,"")</f>
        <v/>
      </c>
      <c r="B57" s="57" t="str">
        <f>IF(C2=1,"まもなく{+福山}です。お出口は、左側です。{+山陽線}、{+福塩線}はお乗り換えです。お降りの時は足元にご注意ください。{+福山}を出ますと、次は{+広島}に停まります。"&amp;"We will soon make a brief stop at {+Fukuyama}. "&amp;"Passengers going to the {+Sanyo} and {+Fukuen lines}, please change trains here at {+Fukuayama}. We will depart shortly after arriving at {+Fukuyama}, so please be ready to get off before the train stops. Thank you.","")</f>
        <v/>
      </c>
      <c r="C57" s="174"/>
      <c r="D57" s="29"/>
      <c r="E57" s="14"/>
      <c r="F57" s="12"/>
      <c r="G57" s="14"/>
      <c r="H57" s="15"/>
      <c r="I57" s="12"/>
      <c r="J57" s="16"/>
      <c r="K57" s="14"/>
      <c r="L57" s="16"/>
      <c r="M57" s="12"/>
      <c r="N57" s="15"/>
      <c r="O57" s="14"/>
      <c r="P57" s="16"/>
      <c r="Q57" s="12"/>
      <c r="R57" s="14"/>
      <c r="S57" s="12"/>
      <c r="T57" s="14"/>
      <c r="U57" s="12"/>
      <c r="V57" s="14"/>
      <c r="W57" s="17"/>
      <c r="X57" s="11"/>
      <c r="Y57" s="17"/>
      <c r="Z57" s="11"/>
      <c r="AA57" s="12"/>
      <c r="AB57" s="16"/>
      <c r="AC57" s="12"/>
      <c r="AD57" s="16"/>
      <c r="AE57" s="12"/>
      <c r="AF57" s="11"/>
      <c r="AG57" s="15"/>
      <c r="AH57" s="12"/>
      <c r="AI57" s="11"/>
      <c r="AJ57" s="12"/>
      <c r="AK57" s="16"/>
      <c r="AL57" s="121"/>
      <c r="AM57" s="122"/>
    </row>
    <row r="58" spans="1:39" ht="14.25" customHeight="1" x14ac:dyDescent="0.2">
      <c r="A58" s="58">
        <f>IF(C2=1,C58,fromOkayama+AM58)</f>
        <v>0.4861780247254433</v>
      </c>
      <c r="B58" s="57" t="str">
        <f>IF(C2=1,"|!{+福　山}","ただいま{+"&amp;D58&amp;"駅}を通過。Passing {+"&amp;D59&amp;"} station.")</f>
        <v>ただいま{+福山駅}を通過。Passing {+Fukuyama} station.</v>
      </c>
      <c r="C58" s="174">
        <f>HLOOKUP(selector,table,58,FALSE)</f>
        <v>0</v>
      </c>
      <c r="D58" s="29" t="s">
        <v>26</v>
      </c>
      <c r="E58" s="14">
        <v>0.39305555555555555</v>
      </c>
      <c r="F58" s="25"/>
      <c r="G58" s="14">
        <v>0.41875000000000001</v>
      </c>
      <c r="H58" s="15"/>
      <c r="I58" s="25"/>
      <c r="J58" s="26"/>
      <c r="K58" s="14">
        <v>0.4604166666666667</v>
      </c>
      <c r="L58" s="26"/>
      <c r="M58" s="12"/>
      <c r="N58" s="28"/>
      <c r="O58" s="14">
        <v>0.50208333333333333</v>
      </c>
      <c r="P58" s="26"/>
      <c r="Q58" s="25"/>
      <c r="R58" s="14">
        <v>0.54375000000000007</v>
      </c>
      <c r="S58" s="25"/>
      <c r="T58" s="14">
        <v>0.5854166666666667</v>
      </c>
      <c r="U58" s="12"/>
      <c r="V58" s="14">
        <v>0.62708333333333333</v>
      </c>
      <c r="W58" s="17"/>
      <c r="X58" s="11">
        <v>0.66875000000000007</v>
      </c>
      <c r="Y58" s="17"/>
      <c r="Z58" s="11">
        <v>0.7104166666666667</v>
      </c>
      <c r="AA58" s="25"/>
      <c r="AB58" s="26"/>
      <c r="AC58" s="25"/>
      <c r="AD58" s="26"/>
      <c r="AE58" s="25"/>
      <c r="AF58" s="11">
        <v>0.8354166666666667</v>
      </c>
      <c r="AG58" s="28"/>
      <c r="AH58" s="25"/>
      <c r="AI58" s="11">
        <v>0.87708333333333333</v>
      </c>
      <c r="AJ58" s="25"/>
      <c r="AK58" s="26"/>
      <c r="AL58" s="121">
        <v>30.93</v>
      </c>
      <c r="AM58" s="122">
        <f>SUM(AL55:AL58)/SUM(AL55:AL67)*(toHiroshima-fromOkayama)</f>
        <v>9.7891358365543787E-3</v>
      </c>
    </row>
    <row r="59" spans="1:39" ht="14.25" customHeight="1" x14ac:dyDescent="0.2">
      <c r="A59" s="58" t="str">
        <f>IF(C2=1,C59,"")</f>
        <v/>
      </c>
      <c r="B59" s="57" t="str">
        <f>IF(C2=1,"|次は　　{+広　島}","")</f>
        <v/>
      </c>
      <c r="C59" s="176">
        <f>HLOOKUP(selector,table,59,FALSE)</f>
        <v>0</v>
      </c>
      <c r="D59" s="49" t="s">
        <v>57</v>
      </c>
      <c r="E59" s="38">
        <v>0.39374999999999999</v>
      </c>
      <c r="F59" s="39"/>
      <c r="G59" s="38">
        <v>0.41944444444444445</v>
      </c>
      <c r="H59" s="40"/>
      <c r="I59" s="39"/>
      <c r="J59" s="41"/>
      <c r="K59" s="38">
        <v>0.46111111111111108</v>
      </c>
      <c r="L59" s="41"/>
      <c r="M59" s="39"/>
      <c r="N59" s="40"/>
      <c r="O59" s="38">
        <v>0.50277777777777777</v>
      </c>
      <c r="P59" s="41"/>
      <c r="Q59" s="39"/>
      <c r="R59" s="38">
        <v>0.5444444444444444</v>
      </c>
      <c r="S59" s="39"/>
      <c r="T59" s="38">
        <v>0.58611111111111114</v>
      </c>
      <c r="U59" s="39"/>
      <c r="V59" s="38">
        <v>0.62777777777777777</v>
      </c>
      <c r="W59" s="42"/>
      <c r="X59" s="43">
        <v>0.6694444444444444</v>
      </c>
      <c r="Y59" s="42"/>
      <c r="Z59" s="43">
        <v>0.71111111111111114</v>
      </c>
      <c r="AA59" s="39"/>
      <c r="AB59" s="41"/>
      <c r="AC59" s="39"/>
      <c r="AD59" s="41"/>
      <c r="AE59" s="39"/>
      <c r="AF59" s="43">
        <v>0.83611111111111114</v>
      </c>
      <c r="AG59" s="40"/>
      <c r="AH59" s="39"/>
      <c r="AI59" s="43">
        <v>0.87777777777777777</v>
      </c>
      <c r="AJ59" s="39"/>
      <c r="AK59" s="41"/>
      <c r="AL59" s="127"/>
      <c r="AM59" s="128"/>
    </row>
    <row r="60" spans="1:39" ht="14.25" customHeight="1" x14ac:dyDescent="0.2">
      <c r="A60" s="18">
        <f>fromOkayama+AM60</f>
        <v>0.48917705840849135</v>
      </c>
      <c r="B60" s="55" t="str">
        <f>"ただいま{+"&amp;D60&amp;"駅}を通過。Passing {+"&amp;D61&amp;"} station."</f>
        <v>ただいま{+新尾道駅}を通過。Passing {+Shin-Onomichi} station.</v>
      </c>
      <c r="C60" s="174"/>
      <c r="D60" s="9" t="s">
        <v>36</v>
      </c>
      <c r="E60" s="14"/>
      <c r="F60" s="25"/>
      <c r="G60" s="14"/>
      <c r="H60" s="15"/>
      <c r="I60" s="25"/>
      <c r="J60" s="26"/>
      <c r="K60" s="14"/>
      <c r="L60" s="26"/>
      <c r="M60" s="12"/>
      <c r="N60" s="28"/>
      <c r="O60" s="14"/>
      <c r="P60" s="26"/>
      <c r="Q60" s="25"/>
      <c r="R60" s="14"/>
      <c r="S60" s="25"/>
      <c r="T60" s="14"/>
      <c r="U60" s="12"/>
      <c r="V60" s="14"/>
      <c r="W60" s="17"/>
      <c r="X60" s="11"/>
      <c r="Y60" s="17"/>
      <c r="Z60" s="11"/>
      <c r="AA60" s="25"/>
      <c r="AB60" s="26"/>
      <c r="AC60" s="25"/>
      <c r="AD60" s="26"/>
      <c r="AE60" s="25"/>
      <c r="AF60" s="11"/>
      <c r="AG60" s="28"/>
      <c r="AH60" s="25"/>
      <c r="AI60" s="11"/>
      <c r="AJ60" s="25"/>
      <c r="AK60" s="26"/>
      <c r="AL60" s="121">
        <v>17.38</v>
      </c>
      <c r="AM60" s="122">
        <f>SUM(AL55:AL60)/SUM(AL55:AL67)*(toHiroshima-fromOkayama)</f>
        <v>1.2788169519602413E-2</v>
      </c>
    </row>
    <row r="61" spans="1:39" ht="14.25" customHeight="1" x14ac:dyDescent="0.2">
      <c r="A61" s="18"/>
      <c r="B61" s="55"/>
      <c r="C61" s="176"/>
      <c r="D61" s="47" t="s">
        <v>58</v>
      </c>
      <c r="E61" s="38"/>
      <c r="F61" s="39"/>
      <c r="G61" s="38"/>
      <c r="H61" s="40"/>
      <c r="I61" s="39"/>
      <c r="J61" s="41"/>
      <c r="K61" s="38"/>
      <c r="L61" s="41"/>
      <c r="M61" s="39"/>
      <c r="N61" s="40"/>
      <c r="O61" s="38"/>
      <c r="P61" s="41"/>
      <c r="Q61" s="39"/>
      <c r="R61" s="38"/>
      <c r="S61" s="39"/>
      <c r="T61" s="38"/>
      <c r="U61" s="39"/>
      <c r="V61" s="38"/>
      <c r="W61" s="42"/>
      <c r="X61" s="43"/>
      <c r="Y61" s="42"/>
      <c r="Z61" s="43"/>
      <c r="AA61" s="39"/>
      <c r="AB61" s="41"/>
      <c r="AC61" s="39"/>
      <c r="AD61" s="41"/>
      <c r="AE61" s="39"/>
      <c r="AF61" s="43"/>
      <c r="AG61" s="40"/>
      <c r="AH61" s="39"/>
      <c r="AI61" s="43"/>
      <c r="AJ61" s="39"/>
      <c r="AK61" s="41"/>
      <c r="AL61" s="127"/>
      <c r="AM61" s="128"/>
    </row>
    <row r="62" spans="1:39" ht="14.25" customHeight="1" x14ac:dyDescent="0.2">
      <c r="A62" s="18">
        <f>fromOkayama+AM62</f>
        <v>0.49099753052334499</v>
      </c>
      <c r="B62" s="55" t="str">
        <f>"ただいま{+"&amp;D62&amp;"駅}を通過。Passing {+"&amp;D63&amp;"} station."</f>
        <v>ただいま{+三原駅}を通過。Passing {+Mihara} station.</v>
      </c>
      <c r="C62" s="174"/>
      <c r="D62" s="9" t="s">
        <v>27</v>
      </c>
      <c r="E62" s="14"/>
      <c r="F62" s="25"/>
      <c r="G62" s="14"/>
      <c r="H62" s="15"/>
      <c r="I62" s="25"/>
      <c r="J62" s="26"/>
      <c r="K62" s="14"/>
      <c r="L62" s="26"/>
      <c r="M62" s="12"/>
      <c r="N62" s="28"/>
      <c r="O62" s="14"/>
      <c r="P62" s="26"/>
      <c r="Q62" s="25"/>
      <c r="R62" s="14"/>
      <c r="S62" s="25"/>
      <c r="T62" s="14"/>
      <c r="U62" s="12"/>
      <c r="V62" s="14"/>
      <c r="W62" s="17"/>
      <c r="X62" s="11"/>
      <c r="Y62" s="17"/>
      <c r="Z62" s="11"/>
      <c r="AA62" s="25"/>
      <c r="AB62" s="26"/>
      <c r="AC62" s="25"/>
      <c r="AD62" s="26"/>
      <c r="AE62" s="25"/>
      <c r="AF62" s="11"/>
      <c r="AG62" s="28"/>
      <c r="AH62" s="25"/>
      <c r="AI62" s="11"/>
      <c r="AJ62" s="25"/>
      <c r="AK62" s="26"/>
      <c r="AL62" s="121">
        <v>10.55</v>
      </c>
      <c r="AM62" s="122">
        <f>SUM(AL55:AL62)/SUM(AL55:AL67)*(toHiroshima-fromOkayama)</f>
        <v>1.4608641634456082E-2</v>
      </c>
    </row>
    <row r="63" spans="1:39" ht="14.25" customHeight="1" x14ac:dyDescent="0.2">
      <c r="A63" s="18"/>
      <c r="B63" s="55"/>
      <c r="C63" s="176"/>
      <c r="D63" s="47" t="s">
        <v>59</v>
      </c>
      <c r="E63" s="38"/>
      <c r="F63" s="39"/>
      <c r="G63" s="38"/>
      <c r="H63" s="40"/>
      <c r="I63" s="39"/>
      <c r="J63" s="41"/>
      <c r="K63" s="38"/>
      <c r="L63" s="41"/>
      <c r="M63" s="39"/>
      <c r="N63" s="40"/>
      <c r="O63" s="38"/>
      <c r="P63" s="41"/>
      <c r="Q63" s="39"/>
      <c r="R63" s="38"/>
      <c r="S63" s="39"/>
      <c r="T63" s="38"/>
      <c r="U63" s="39"/>
      <c r="V63" s="38"/>
      <c r="W63" s="42"/>
      <c r="X63" s="43"/>
      <c r="Y63" s="42"/>
      <c r="Z63" s="43"/>
      <c r="AA63" s="39"/>
      <c r="AB63" s="41"/>
      <c r="AC63" s="39"/>
      <c r="AD63" s="41"/>
      <c r="AE63" s="39"/>
      <c r="AF63" s="43"/>
      <c r="AG63" s="40"/>
      <c r="AH63" s="39"/>
      <c r="AI63" s="43"/>
      <c r="AJ63" s="39"/>
      <c r="AK63" s="41"/>
      <c r="AL63" s="127"/>
      <c r="AM63" s="128"/>
    </row>
    <row r="64" spans="1:39" ht="14.25" customHeight="1" x14ac:dyDescent="0.2">
      <c r="A64" s="18">
        <f>fromOkayama+AM64</f>
        <v>0.49633643168292535</v>
      </c>
      <c r="B64" s="55" t="str">
        <f>"ただいま{+"&amp;D64&amp;"駅}を通過。Passing {+"&amp;D65&amp;"} station."</f>
        <v>ただいま{+東広島駅}を通過。Passing {+Higashi-Hiroshima} station.</v>
      </c>
      <c r="C64" s="174"/>
      <c r="D64" s="9" t="s">
        <v>37</v>
      </c>
      <c r="E64" s="14"/>
      <c r="F64" s="25"/>
      <c r="G64" s="14"/>
      <c r="H64" s="15"/>
      <c r="I64" s="25"/>
      <c r="J64" s="26"/>
      <c r="K64" s="14"/>
      <c r="L64" s="26"/>
      <c r="M64" s="12"/>
      <c r="N64" s="28"/>
      <c r="O64" s="14"/>
      <c r="P64" s="26"/>
      <c r="Q64" s="25"/>
      <c r="R64" s="14"/>
      <c r="S64" s="25"/>
      <c r="T64" s="14"/>
      <c r="U64" s="12"/>
      <c r="V64" s="14"/>
      <c r="W64" s="17"/>
      <c r="X64" s="11"/>
      <c r="Y64" s="17"/>
      <c r="Z64" s="11"/>
      <c r="AA64" s="25"/>
      <c r="AB64" s="26"/>
      <c r="AC64" s="25"/>
      <c r="AD64" s="26"/>
      <c r="AE64" s="25"/>
      <c r="AF64" s="11"/>
      <c r="AG64" s="28"/>
      <c r="AH64" s="25"/>
      <c r="AI64" s="11"/>
      <c r="AJ64" s="25"/>
      <c r="AK64" s="26"/>
      <c r="AL64" s="121">
        <v>30.94</v>
      </c>
      <c r="AM64" s="122">
        <f>SUM(AL55:AL64)/SUM(AL55:AL67)*(toHiroshima-fromOkayama)</f>
        <v>1.9947542794036419E-2</v>
      </c>
    </row>
    <row r="65" spans="1:39" ht="14.25" customHeight="1" x14ac:dyDescent="0.2">
      <c r="A65" s="18"/>
      <c r="B65" s="55"/>
      <c r="C65" s="176"/>
      <c r="D65" s="47" t="s">
        <v>60</v>
      </c>
      <c r="E65" s="38"/>
      <c r="F65" s="39"/>
      <c r="G65" s="38"/>
      <c r="H65" s="40"/>
      <c r="I65" s="39"/>
      <c r="J65" s="41"/>
      <c r="K65" s="38"/>
      <c r="L65" s="41"/>
      <c r="M65" s="39"/>
      <c r="N65" s="40"/>
      <c r="O65" s="38"/>
      <c r="P65" s="41"/>
      <c r="Q65" s="39"/>
      <c r="R65" s="38"/>
      <c r="S65" s="39"/>
      <c r="T65" s="38"/>
      <c r="U65" s="39"/>
      <c r="V65" s="38"/>
      <c r="W65" s="42"/>
      <c r="X65" s="43"/>
      <c r="Y65" s="42"/>
      <c r="Z65" s="43"/>
      <c r="AA65" s="39"/>
      <c r="AB65" s="41"/>
      <c r="AC65" s="39"/>
      <c r="AD65" s="41"/>
      <c r="AE65" s="39"/>
      <c r="AF65" s="43"/>
      <c r="AG65" s="40"/>
      <c r="AH65" s="39"/>
      <c r="AI65" s="43"/>
      <c r="AJ65" s="39"/>
      <c r="AK65" s="41"/>
      <c r="AL65" s="127"/>
      <c r="AM65" s="128"/>
    </row>
    <row r="66" spans="1:39" ht="85.5" x14ac:dyDescent="0.2">
      <c r="A66" s="18">
        <f>C67-beforehand</f>
        <v>0.49930555555555556</v>
      </c>
      <c r="B66" s="55" t="str">
        <f>"!まもなく{+広島}です。{+山陽線}、{+呉線}、{+可部線}、{+芸備線}はお乗り換えです。お降りの時は足元にご注意ください。今日も新幹線をご利用くださいましてありがとうございました。{+広島}を出ますと、次は"&amp;IF(C2=2,"{+新山口}",IF(C2=4,"{+徳山}","{+小倉}"))&amp;"に停まります。"&amp;"We will soon make a brief stop at {+Hiroshima}. Passengers going to the {+Sanyo}, {+Kure}, {+Kabe}, and {+Geibi lines}, please change trains here at {+Hiroshima}."&amp;" We will depart shortly after arriving at {+Hiroshima}, so please be ready to get off before the train stops. Thank you."</f>
        <v>!まもなく{+広島}です。{+山陽線}、{+呉線}、{+可部線}、{+芸備線}はお乗り換えです。お降りの時は足元にご注意ください。今日も新幹線をご利用くださいましてありがとうございました。{+広島}を出ますと、次は{+新山口}に停まります。We will soon make a brief stop at {+Hiroshima}. Passengers going to the {+Sanyo}, {+Kure}, {+Kabe}, and {+Geibi lines}, please change trains here at {+Hiroshima}. We will depart shortly after arriving at {+Hiroshima}, so please be ready to get off before the train stops. Thank you.</v>
      </c>
      <c r="C66" s="174"/>
      <c r="D66" s="13"/>
      <c r="E66" s="14"/>
      <c r="F66" s="12"/>
      <c r="G66" s="14"/>
      <c r="H66" s="15"/>
      <c r="I66" s="12"/>
      <c r="J66" s="16"/>
      <c r="K66" s="14"/>
      <c r="L66" s="16"/>
      <c r="M66" s="12"/>
      <c r="N66" s="15"/>
      <c r="O66" s="14"/>
      <c r="P66" s="16"/>
      <c r="Q66" s="12"/>
      <c r="R66" s="14"/>
      <c r="S66" s="12"/>
      <c r="T66" s="14"/>
      <c r="U66" s="12"/>
      <c r="V66" s="14"/>
      <c r="W66" s="17"/>
      <c r="X66" s="11"/>
      <c r="Y66" s="17"/>
      <c r="Z66" s="11"/>
      <c r="AA66" s="12"/>
      <c r="AB66" s="16"/>
      <c r="AC66" s="12"/>
      <c r="AD66" s="16"/>
      <c r="AE66" s="12"/>
      <c r="AF66" s="11"/>
      <c r="AG66" s="15"/>
      <c r="AH66" s="12"/>
      <c r="AI66" s="11"/>
      <c r="AJ66" s="12"/>
      <c r="AK66" s="16"/>
      <c r="AL66" s="121"/>
      <c r="AM66" s="122"/>
    </row>
    <row r="67" spans="1:39" ht="14.25" customHeight="1" x14ac:dyDescent="0.2">
      <c r="A67" s="18">
        <f>C67</f>
        <v>0.50138888888888888</v>
      </c>
      <c r="B67" s="55" t="s">
        <v>91</v>
      </c>
      <c r="C67" s="174">
        <f>HLOOKUP(selector,table,67,FALSE)</f>
        <v>0.50138888888888888</v>
      </c>
      <c r="D67" s="13" t="s">
        <v>28</v>
      </c>
      <c r="E67" s="14">
        <v>0.40902777777777777</v>
      </c>
      <c r="F67" s="12">
        <v>0.41805555555555557</v>
      </c>
      <c r="G67" s="14">
        <v>0.43541666666666662</v>
      </c>
      <c r="H67" s="15">
        <v>0.4458333333333333</v>
      </c>
      <c r="I67" s="12">
        <v>0.4597222222222222</v>
      </c>
      <c r="J67" s="16">
        <v>0.46597222222222223</v>
      </c>
      <c r="K67" s="14">
        <v>0.4770833333333333</v>
      </c>
      <c r="L67" s="16">
        <v>0.48472222222222222</v>
      </c>
      <c r="M67" s="12">
        <v>0.50138888888888888</v>
      </c>
      <c r="N67" s="15">
        <v>0.51041666666666663</v>
      </c>
      <c r="O67" s="14">
        <v>0.51874999999999993</v>
      </c>
      <c r="P67" s="16">
        <v>0.53819444444444442</v>
      </c>
      <c r="Q67" s="12">
        <v>0.54305555555555551</v>
      </c>
      <c r="R67" s="14">
        <v>0.56041666666666667</v>
      </c>
      <c r="S67" s="12">
        <v>0.58472222222222225</v>
      </c>
      <c r="T67" s="14">
        <v>0.6020833333333333</v>
      </c>
      <c r="U67" s="12">
        <v>0.62638888888888888</v>
      </c>
      <c r="V67" s="14">
        <v>0.64374999999999993</v>
      </c>
      <c r="W67" s="17">
        <v>0.66805555555555562</v>
      </c>
      <c r="X67" s="11">
        <v>0.68541666666666667</v>
      </c>
      <c r="Y67" s="17">
        <v>0.70972222222222225</v>
      </c>
      <c r="Z67" s="11">
        <v>0.7270833333333333</v>
      </c>
      <c r="AA67" s="12">
        <v>0.75138888888888899</v>
      </c>
      <c r="AB67" s="16">
        <v>0.76597222222222217</v>
      </c>
      <c r="AC67" s="12">
        <v>0.79305555555555562</v>
      </c>
      <c r="AD67" s="16">
        <v>0.80763888888888891</v>
      </c>
      <c r="AE67" s="12">
        <v>0.83472222222222225</v>
      </c>
      <c r="AF67" s="11">
        <v>0.8520833333333333</v>
      </c>
      <c r="AG67" s="15">
        <v>0.86249999999999993</v>
      </c>
      <c r="AH67" s="12">
        <v>0.87638888888888899</v>
      </c>
      <c r="AI67" s="11">
        <v>0.89374999999999993</v>
      </c>
      <c r="AJ67" s="12">
        <v>0.91805555555555562</v>
      </c>
      <c r="AK67" s="16">
        <v>0.9472222222222223</v>
      </c>
      <c r="AL67" s="121">
        <v>29.28</v>
      </c>
      <c r="AM67" s="122">
        <f>SUM(AL55:AL67)/SUM(AL55:AL67)*(toHiroshima-fromOkayama)</f>
        <v>2.4999999999999967E-2</v>
      </c>
    </row>
    <row r="68" spans="1:39" ht="14.25" customHeight="1" x14ac:dyDescent="0.2">
      <c r="A68" s="18">
        <f>C68</f>
        <v>0.50208333333333333</v>
      </c>
      <c r="B68" s="55" t="str">
        <f>"|次は　　"&amp;IF( C2=4,"{+徳　山}",IF(C2=2,"{+新山口}","{+小　倉}") )</f>
        <v>|次は　　{+新山口}</v>
      </c>
      <c r="C68" s="176">
        <f>HLOOKUP(selector,table,68,FALSE)</f>
        <v>0.50208333333333333</v>
      </c>
      <c r="D68" s="50" t="s">
        <v>61</v>
      </c>
      <c r="E68" s="38">
        <v>0.40972222222222227</v>
      </c>
      <c r="F68" s="39">
        <v>0.41875000000000001</v>
      </c>
      <c r="G68" s="38">
        <v>0.43611111111111112</v>
      </c>
      <c r="H68" s="40">
        <v>0.4465277777777778</v>
      </c>
      <c r="I68" s="39">
        <v>0.4604166666666667</v>
      </c>
      <c r="J68" s="41">
        <v>0.46666666666666662</v>
      </c>
      <c r="K68" s="38">
        <v>0.4777777777777778</v>
      </c>
      <c r="L68" s="41">
        <v>0.48541666666666666</v>
      </c>
      <c r="M68" s="39">
        <v>0.50208333333333333</v>
      </c>
      <c r="N68" s="40">
        <v>0.51111111111111118</v>
      </c>
      <c r="O68" s="38">
        <v>0.51944444444444449</v>
      </c>
      <c r="P68" s="41">
        <v>0.53888888888888886</v>
      </c>
      <c r="Q68" s="39">
        <v>0.54375000000000007</v>
      </c>
      <c r="R68" s="38">
        <v>0.56111111111111112</v>
      </c>
      <c r="S68" s="39">
        <v>0.5854166666666667</v>
      </c>
      <c r="T68" s="38">
        <v>0.60277777777777775</v>
      </c>
      <c r="U68" s="39">
        <v>0.62708333333333333</v>
      </c>
      <c r="V68" s="38">
        <v>0.64444444444444449</v>
      </c>
      <c r="W68" s="42">
        <v>0.66875000000000007</v>
      </c>
      <c r="X68" s="43">
        <v>0.68611111111111101</v>
      </c>
      <c r="Y68" s="42">
        <v>0.7104166666666667</v>
      </c>
      <c r="Z68" s="43">
        <v>0.72777777777777775</v>
      </c>
      <c r="AA68" s="39">
        <v>0.75208333333333333</v>
      </c>
      <c r="AB68" s="41">
        <v>0.76666666666666661</v>
      </c>
      <c r="AC68" s="39">
        <v>0.79375000000000007</v>
      </c>
      <c r="AD68" s="41">
        <v>0.80833333333333324</v>
      </c>
      <c r="AE68" s="39">
        <v>0.8354166666666667</v>
      </c>
      <c r="AF68" s="43">
        <v>0.85277777777777775</v>
      </c>
      <c r="AG68" s="40">
        <v>0.86319444444444438</v>
      </c>
      <c r="AH68" s="39">
        <v>0.87708333333333333</v>
      </c>
      <c r="AI68" s="43">
        <v>0.89444444444444438</v>
      </c>
      <c r="AJ68" s="39">
        <v>0.91875000000000007</v>
      </c>
      <c r="AK68" s="41">
        <v>0.94791666666666663</v>
      </c>
      <c r="AL68" s="127"/>
      <c r="AM68" s="128"/>
    </row>
    <row r="69" spans="1:39" ht="14.25" customHeight="1" x14ac:dyDescent="0.2">
      <c r="A69" s="18">
        <f>fromHiroshima+AM69</f>
        <v>0.51007069246930947</v>
      </c>
      <c r="B69" s="55" t="str">
        <f>"ただいま{+"&amp;D69&amp;"駅}を通過。Passing {+"&amp;D70&amp;"} station."</f>
        <v>ただいま{+新岩国駅}を通過。Passing {+Shin-Iwakuni} station.</v>
      </c>
      <c r="C69" s="174"/>
      <c r="D69" s="9" t="s">
        <v>38</v>
      </c>
      <c r="E69" s="14"/>
      <c r="F69" s="25"/>
      <c r="G69" s="14"/>
      <c r="H69" s="15"/>
      <c r="I69" s="25"/>
      <c r="J69" s="26"/>
      <c r="K69" s="14"/>
      <c r="L69" s="26"/>
      <c r="M69" s="12"/>
      <c r="N69" s="28"/>
      <c r="O69" s="14"/>
      <c r="P69" s="26"/>
      <c r="Q69" s="25"/>
      <c r="R69" s="14"/>
      <c r="S69" s="25"/>
      <c r="T69" s="14"/>
      <c r="U69" s="12"/>
      <c r="V69" s="14"/>
      <c r="W69" s="17"/>
      <c r="X69" s="11"/>
      <c r="Y69" s="17"/>
      <c r="Z69" s="11"/>
      <c r="AA69" s="25"/>
      <c r="AB69" s="26"/>
      <c r="AC69" s="25"/>
      <c r="AD69" s="26"/>
      <c r="AE69" s="25"/>
      <c r="AF69" s="11"/>
      <c r="AG69" s="28"/>
      <c r="AH69" s="25"/>
      <c r="AI69" s="11"/>
      <c r="AJ69" s="25"/>
      <c r="AK69" s="26"/>
      <c r="AL69" s="121">
        <v>44.16</v>
      </c>
      <c r="AM69" s="122">
        <f>SUM(AL69:AL69)/SUM(AL69:AL82)*(toKokura-fromHiroshima)</f>
        <v>7.9873591359761031E-3</v>
      </c>
    </row>
    <row r="70" spans="1:39" ht="14.25" customHeight="1" x14ac:dyDescent="0.2">
      <c r="A70" s="18"/>
      <c r="B70" s="55"/>
      <c r="C70" s="176"/>
      <c r="D70" s="47" t="s">
        <v>62</v>
      </c>
      <c r="E70" s="38"/>
      <c r="F70" s="39"/>
      <c r="G70" s="38"/>
      <c r="H70" s="40"/>
      <c r="I70" s="39"/>
      <c r="J70" s="41"/>
      <c r="K70" s="38"/>
      <c r="L70" s="41"/>
      <c r="M70" s="39"/>
      <c r="N70" s="40"/>
      <c r="O70" s="38"/>
      <c r="P70" s="41"/>
      <c r="Q70" s="39"/>
      <c r="R70" s="38"/>
      <c r="S70" s="39"/>
      <c r="T70" s="38"/>
      <c r="U70" s="39"/>
      <c r="V70" s="38"/>
      <c r="W70" s="42"/>
      <c r="X70" s="43"/>
      <c r="Y70" s="42"/>
      <c r="Z70" s="43"/>
      <c r="AA70" s="39"/>
      <c r="AB70" s="41"/>
      <c r="AC70" s="39"/>
      <c r="AD70" s="41"/>
      <c r="AE70" s="39"/>
      <c r="AF70" s="43"/>
      <c r="AG70" s="40"/>
      <c r="AH70" s="39"/>
      <c r="AI70" s="43"/>
      <c r="AJ70" s="39"/>
      <c r="AK70" s="41"/>
      <c r="AL70" s="127"/>
      <c r="AM70" s="128"/>
    </row>
    <row r="71" spans="1:39" x14ac:dyDescent="0.2">
      <c r="A71" s="60" t="str">
        <f>IF(C2=4,C72-beforehand,"")</f>
        <v/>
      </c>
      <c r="B71" s="61" t="str">
        <f>IF(C2=4,"まもなく{+徳山}です。お出口は左側です。{+山陽線}、{+岩徳線}はお乗り換えです。お降りの時は、足元にご注意ください。{+徳山}を出ますと、次は{+小倉}に停まります。"&amp;"We will soon make a brief stop at {+Tokuyama}. "&amp;"Passengers going to the {+Sanyo} and {+Gantoku lines}, please change trains here at {+Tokuyama}. We will depart shortly after arriving at {+Tokuyama}, so please be ready to get off before the train stops. Thank you.","")</f>
        <v/>
      </c>
      <c r="C71" s="174"/>
      <c r="D71" s="30"/>
      <c r="E71" s="14"/>
      <c r="F71" s="12"/>
      <c r="G71" s="14"/>
      <c r="H71" s="15"/>
      <c r="I71" s="12"/>
      <c r="J71" s="16"/>
      <c r="K71" s="14"/>
      <c r="L71" s="16"/>
      <c r="M71" s="12"/>
      <c r="N71" s="15"/>
      <c r="O71" s="14"/>
      <c r="P71" s="16"/>
      <c r="Q71" s="12"/>
      <c r="R71" s="14"/>
      <c r="S71" s="12"/>
      <c r="T71" s="14"/>
      <c r="U71" s="12"/>
      <c r="V71" s="14"/>
      <c r="W71" s="17"/>
      <c r="X71" s="11"/>
      <c r="Y71" s="17"/>
      <c r="Z71" s="11"/>
      <c r="AA71" s="12"/>
      <c r="AB71" s="16"/>
      <c r="AC71" s="12"/>
      <c r="AD71" s="16"/>
      <c r="AE71" s="12"/>
      <c r="AF71" s="11"/>
      <c r="AG71" s="15"/>
      <c r="AH71" s="12"/>
      <c r="AI71" s="11"/>
      <c r="AJ71" s="12"/>
      <c r="AK71" s="16"/>
      <c r="AL71" s="121"/>
      <c r="AM71" s="122"/>
    </row>
    <row r="72" spans="1:39" ht="14.25" customHeight="1" x14ac:dyDescent="0.2">
      <c r="A72" s="60">
        <f>IF(C2=4,C72,fromHiroshima+AM72)</f>
        <v>0.51697281259224526</v>
      </c>
      <c r="B72" s="61" t="str">
        <f>IF(C2=4,"|!{+徳　山}","ただいま{+"&amp;D72&amp;"駅}を通過。Passing {+"&amp;D73&amp;"} station.")</f>
        <v>ただいま{+徳山駅}を通過。Passing {+Tokuyama} station.</v>
      </c>
      <c r="C72" s="174">
        <f>HLOOKUP(selector,table,72,FALSE)</f>
        <v>0</v>
      </c>
      <c r="D72" s="30" t="s">
        <v>29</v>
      </c>
      <c r="E72" s="24"/>
      <c r="F72" s="25"/>
      <c r="G72" s="24"/>
      <c r="H72" s="28"/>
      <c r="I72" s="25"/>
      <c r="J72" s="16">
        <v>0.48125000000000001</v>
      </c>
      <c r="K72" s="24"/>
      <c r="L72" s="16">
        <v>0.50069444444444444</v>
      </c>
      <c r="M72" s="25"/>
      <c r="N72" s="28"/>
      <c r="O72" s="24"/>
      <c r="P72" s="16">
        <v>0.5541666666666667</v>
      </c>
      <c r="Q72" s="25"/>
      <c r="R72" s="24"/>
      <c r="S72" s="25"/>
      <c r="T72" s="24"/>
      <c r="U72" s="12"/>
      <c r="V72" s="24"/>
      <c r="W72" s="17"/>
      <c r="X72" s="11"/>
      <c r="Y72" s="17"/>
      <c r="Z72" s="11"/>
      <c r="AA72" s="25"/>
      <c r="AB72" s="16">
        <v>0.78125</v>
      </c>
      <c r="AC72" s="25"/>
      <c r="AD72" s="16">
        <v>0.82291666666666663</v>
      </c>
      <c r="AE72" s="25"/>
      <c r="AF72" s="11"/>
      <c r="AG72" s="28"/>
      <c r="AH72" s="25"/>
      <c r="AI72" s="11"/>
      <c r="AJ72" s="25"/>
      <c r="AK72" s="16">
        <v>0.96319444444444446</v>
      </c>
      <c r="AL72" s="121">
        <v>38.159999999999997</v>
      </c>
      <c r="AM72" s="122">
        <f>SUM(AL69:AL72)/SUM(AL69:AL82)*(toKokura-fromHiroshima)</f>
        <v>1.4889479258911976E-2</v>
      </c>
    </row>
    <row r="73" spans="1:39" ht="14.25" customHeight="1" x14ac:dyDescent="0.2">
      <c r="A73" s="60" t="str">
        <f>IF(C2=4,C73,"")</f>
        <v/>
      </c>
      <c r="B73" s="61" t="str">
        <f>IF(C2=4,"|次は　　{+小倉}","")</f>
        <v/>
      </c>
      <c r="C73" s="176">
        <f>HLOOKUP(selector,table,73,FALSE)</f>
        <v>0</v>
      </c>
      <c r="D73" s="51" t="s">
        <v>63</v>
      </c>
      <c r="E73" s="38"/>
      <c r="F73" s="39"/>
      <c r="G73" s="38"/>
      <c r="H73" s="40"/>
      <c r="I73" s="39"/>
      <c r="J73" s="41">
        <v>0.48194444444444445</v>
      </c>
      <c r="K73" s="38"/>
      <c r="L73" s="41">
        <v>0.50138888888888888</v>
      </c>
      <c r="M73" s="39"/>
      <c r="N73" s="40"/>
      <c r="O73" s="38"/>
      <c r="P73" s="41">
        <v>0.55486111111111114</v>
      </c>
      <c r="Q73" s="39"/>
      <c r="R73" s="38"/>
      <c r="S73" s="39"/>
      <c r="T73" s="38"/>
      <c r="U73" s="39"/>
      <c r="V73" s="38"/>
      <c r="W73" s="42"/>
      <c r="X73" s="43"/>
      <c r="Y73" s="42"/>
      <c r="Z73" s="43"/>
      <c r="AA73" s="39"/>
      <c r="AB73" s="41">
        <v>0.78194444444444444</v>
      </c>
      <c r="AC73" s="39"/>
      <c r="AD73" s="41">
        <v>0.82361111111111107</v>
      </c>
      <c r="AE73" s="39"/>
      <c r="AF73" s="43"/>
      <c r="AG73" s="40"/>
      <c r="AH73" s="39"/>
      <c r="AI73" s="43"/>
      <c r="AJ73" s="39"/>
      <c r="AK73" s="41">
        <v>0.96388888888888891</v>
      </c>
      <c r="AL73" s="127"/>
      <c r="AM73" s="128"/>
    </row>
    <row r="74" spans="1:39" ht="85.5" x14ac:dyDescent="0.2">
      <c r="A74" s="62">
        <f>IF(C2=2,C75-beforehand,"")</f>
        <v>0.52083333333333337</v>
      </c>
      <c r="B74" s="63" t="str">
        <f>IF(C2=2,"!まもなく{+新山口}です。{+山陽線}・{+宇部線}・{+山口線}はお乗り換えです。お降りの際は足元にご注意ください。今日も新幹線をご利用くださいましてありがとうございました。{+新山口}を出ますと次は{+小倉}に止まります。"&amp;"We will soon make a brief stop at {+Shin-Yamaguchi}. Passengers going to the Santyo, {+Ube}, and {+Yamaguchi lines}, please change trains here at {+Shin-Yamaguchi}. "&amp;"We will depart shortly after arriving at {+Shin-Yamaguchi}, so please be ready to get off before the train stops. Thank you.","")</f>
        <v>!まもなく{+新山口}です。{+山陽線}・{+宇部線}・{+山口線}はお乗り換えです。お降りの際は足元にご注意ください。今日も新幹線をご利用くださいましてありがとうございました。{+新山口}を出ますと次は{+小倉}に止まります。We will soon make a brief stop at {+Shin-Yamaguchi}. Passengers going to the Santyo, {+Ube}, and {+Yamaguchi lines}, please change trains here at {+Shin-Yamaguchi}. We will depart shortly after arriving at {+Shin-Yamaguchi}, so please be ready to get off before the train stops. Thank you.</v>
      </c>
      <c r="C74" s="174"/>
      <c r="D74" s="31"/>
      <c r="E74" s="14"/>
      <c r="F74" s="12"/>
      <c r="G74" s="14"/>
      <c r="H74" s="15"/>
      <c r="I74" s="12"/>
      <c r="J74" s="16"/>
      <c r="K74" s="14"/>
      <c r="L74" s="16"/>
      <c r="M74" s="12"/>
      <c r="N74" s="15"/>
      <c r="O74" s="14"/>
      <c r="P74" s="16"/>
      <c r="Q74" s="12"/>
      <c r="R74" s="14"/>
      <c r="S74" s="12"/>
      <c r="T74" s="14"/>
      <c r="U74" s="12"/>
      <c r="V74" s="14"/>
      <c r="W74" s="17"/>
      <c r="X74" s="11"/>
      <c r="Y74" s="17"/>
      <c r="Z74" s="11"/>
      <c r="AA74" s="12"/>
      <c r="AB74" s="16"/>
      <c r="AC74" s="12"/>
      <c r="AD74" s="16"/>
      <c r="AE74" s="12"/>
      <c r="AF74" s="11"/>
      <c r="AG74" s="15"/>
      <c r="AH74" s="12"/>
      <c r="AI74" s="11"/>
      <c r="AJ74" s="12"/>
      <c r="AK74" s="16"/>
      <c r="AL74" s="121"/>
      <c r="AM74" s="122"/>
    </row>
    <row r="75" spans="1:39" ht="14.25" customHeight="1" x14ac:dyDescent="0.2">
      <c r="A75" s="62">
        <f>IF(C2=2,C75,fromHiroshima+AM75)</f>
        <v>0.5229166666666667</v>
      </c>
      <c r="B75" s="63" t="str">
        <f>IF(C2=2,"|!{+新山口}","ただいま{+"&amp;D75&amp;"駅}を通過。Passing {+"&amp;D76&amp;"} station.")</f>
        <v>|!{+新山口}</v>
      </c>
      <c r="C75" s="174">
        <f>HLOOKUP(selector,table,75,FALSE)</f>
        <v>0.5229166666666667</v>
      </c>
      <c r="D75" s="31" t="s">
        <v>30</v>
      </c>
      <c r="E75" s="14"/>
      <c r="F75" s="12">
        <v>0.43958333333333338</v>
      </c>
      <c r="G75" s="14"/>
      <c r="H75" s="15"/>
      <c r="I75" s="12">
        <v>0.48125000000000001</v>
      </c>
      <c r="J75" s="26"/>
      <c r="K75" s="24"/>
      <c r="L75" s="26"/>
      <c r="M75" s="12">
        <v>0.5229166666666667</v>
      </c>
      <c r="N75" s="28"/>
      <c r="O75" s="24"/>
      <c r="P75" s="26"/>
      <c r="Q75" s="12">
        <v>0.56458333333333333</v>
      </c>
      <c r="R75" s="24"/>
      <c r="S75" s="12">
        <v>0.60625000000000007</v>
      </c>
      <c r="T75" s="24"/>
      <c r="U75" s="12">
        <v>0.6479166666666667</v>
      </c>
      <c r="V75" s="24"/>
      <c r="W75" s="17">
        <v>0.68958333333333333</v>
      </c>
      <c r="X75" s="11"/>
      <c r="Y75" s="17">
        <v>0.73125000000000007</v>
      </c>
      <c r="Z75" s="11"/>
      <c r="AA75" s="12">
        <v>0.7729166666666667</v>
      </c>
      <c r="AB75" s="26"/>
      <c r="AC75" s="12">
        <v>0.81458333333333333</v>
      </c>
      <c r="AD75" s="26"/>
      <c r="AE75" s="12">
        <v>0.85625000000000007</v>
      </c>
      <c r="AF75" s="11"/>
      <c r="AG75" s="28"/>
      <c r="AH75" s="12">
        <v>0.8979166666666667</v>
      </c>
      <c r="AI75" s="11"/>
      <c r="AJ75" s="12">
        <v>0.93958333333333333</v>
      </c>
      <c r="AK75" s="26"/>
      <c r="AL75" s="121">
        <v>41.01</v>
      </c>
      <c r="AM75" s="122">
        <f>SUM(AL69:AL75)/SUM(AL69:AL82)*(toKokura-fromHiroshima)</f>
        <v>2.2307087913041954E-2</v>
      </c>
    </row>
    <row r="76" spans="1:39" ht="14.25" customHeight="1" x14ac:dyDescent="0.2">
      <c r="A76" s="62">
        <f>IF(C2=2,C76,"")</f>
        <v>0.52361111111111114</v>
      </c>
      <c r="B76" s="63" t="str">
        <f>IF(C2=2,"|次は　　{+小　倉}","")</f>
        <v>|次は　　{+小　倉}</v>
      </c>
      <c r="C76" s="176">
        <f>HLOOKUP(selector,table,76,FALSE)</f>
        <v>0.52361111111111114</v>
      </c>
      <c r="D76" s="52" t="s">
        <v>64</v>
      </c>
      <c r="E76" s="38"/>
      <c r="F76" s="39">
        <v>0.44027777777777777</v>
      </c>
      <c r="G76" s="38"/>
      <c r="H76" s="40"/>
      <c r="I76" s="39">
        <v>0.48194444444444445</v>
      </c>
      <c r="J76" s="41"/>
      <c r="K76" s="38"/>
      <c r="L76" s="41"/>
      <c r="M76" s="39">
        <v>0.52361111111111114</v>
      </c>
      <c r="N76" s="40"/>
      <c r="O76" s="38"/>
      <c r="P76" s="41"/>
      <c r="Q76" s="39">
        <v>0.56527777777777777</v>
      </c>
      <c r="R76" s="38"/>
      <c r="S76" s="39">
        <v>0.6069444444444444</v>
      </c>
      <c r="T76" s="38"/>
      <c r="U76" s="39">
        <v>0.64861111111111114</v>
      </c>
      <c r="V76" s="38"/>
      <c r="W76" s="42">
        <v>0.69027777777777777</v>
      </c>
      <c r="X76" s="43"/>
      <c r="Y76" s="42">
        <v>0.7319444444444444</v>
      </c>
      <c r="Z76" s="43"/>
      <c r="AA76" s="39">
        <v>0.77361111111111114</v>
      </c>
      <c r="AB76" s="41"/>
      <c r="AC76" s="39">
        <v>0.81527777777777777</v>
      </c>
      <c r="AD76" s="41"/>
      <c r="AE76" s="39">
        <v>0.8569444444444444</v>
      </c>
      <c r="AF76" s="43"/>
      <c r="AG76" s="40"/>
      <c r="AH76" s="39">
        <v>0.89861111111111114</v>
      </c>
      <c r="AI76" s="43"/>
      <c r="AJ76" s="39">
        <v>0.94027777777777777</v>
      </c>
      <c r="AK76" s="41"/>
      <c r="AL76" s="127"/>
      <c r="AM76" s="128"/>
    </row>
    <row r="77" spans="1:39" ht="14.25" customHeight="1" x14ac:dyDescent="0.2">
      <c r="A77" s="18">
        <f>fromHiroshima+AM77</f>
        <v>0.52875127334710859</v>
      </c>
      <c r="B77" s="55" t="str">
        <f>"ただいま{+"&amp;D77&amp;"駅}を通過。Passing {+"&amp;D78&amp;"} station."</f>
        <v>ただいま{+厚狭駅}を通過。Passing {+Asa} station.</v>
      </c>
      <c r="C77" s="174"/>
      <c r="D77" s="9" t="s">
        <v>39</v>
      </c>
      <c r="E77" s="14"/>
      <c r="F77" s="25"/>
      <c r="G77" s="14"/>
      <c r="H77" s="15"/>
      <c r="I77" s="25"/>
      <c r="J77" s="26"/>
      <c r="K77" s="14"/>
      <c r="L77" s="26"/>
      <c r="M77" s="12"/>
      <c r="N77" s="28"/>
      <c r="O77" s="14"/>
      <c r="P77" s="26"/>
      <c r="Q77" s="25"/>
      <c r="R77" s="14"/>
      <c r="S77" s="25"/>
      <c r="T77" s="14"/>
      <c r="U77" s="12"/>
      <c r="V77" s="14"/>
      <c r="W77" s="17"/>
      <c r="X77" s="11"/>
      <c r="Y77" s="17"/>
      <c r="Z77" s="11"/>
      <c r="AA77" s="25"/>
      <c r="AB77" s="26"/>
      <c r="AC77" s="25"/>
      <c r="AD77" s="26"/>
      <c r="AE77" s="25"/>
      <c r="AF77" s="11"/>
      <c r="AG77" s="28"/>
      <c r="AH77" s="25"/>
      <c r="AI77" s="11"/>
      <c r="AJ77" s="25"/>
      <c r="AK77" s="26"/>
      <c r="AL77" s="121">
        <v>24.11</v>
      </c>
      <c r="AM77" s="122">
        <f>SUM(AL69:AL77)/SUM(AL69:AL82)*(toKokura-fromHiroshima)</f>
        <v>2.6667940013775291E-2</v>
      </c>
    </row>
    <row r="78" spans="1:39" ht="14.25" customHeight="1" x14ac:dyDescent="0.2">
      <c r="A78" s="18"/>
      <c r="B78" s="55"/>
      <c r="C78" s="176"/>
      <c r="D78" s="47" t="s">
        <v>65</v>
      </c>
      <c r="E78" s="38"/>
      <c r="F78" s="39"/>
      <c r="G78" s="38"/>
      <c r="H78" s="40"/>
      <c r="I78" s="39"/>
      <c r="J78" s="41"/>
      <c r="K78" s="38"/>
      <c r="L78" s="41"/>
      <c r="M78" s="39"/>
      <c r="N78" s="40"/>
      <c r="O78" s="38"/>
      <c r="P78" s="41"/>
      <c r="Q78" s="39"/>
      <c r="R78" s="38"/>
      <c r="S78" s="39"/>
      <c r="T78" s="38"/>
      <c r="U78" s="39"/>
      <c r="V78" s="38"/>
      <c r="W78" s="42"/>
      <c r="X78" s="43"/>
      <c r="Y78" s="42"/>
      <c r="Z78" s="43"/>
      <c r="AA78" s="39"/>
      <c r="AB78" s="41"/>
      <c r="AC78" s="39"/>
      <c r="AD78" s="41"/>
      <c r="AE78" s="39"/>
      <c r="AF78" s="43"/>
      <c r="AG78" s="40"/>
      <c r="AH78" s="39"/>
      <c r="AI78" s="43"/>
      <c r="AJ78" s="39"/>
      <c r="AK78" s="41"/>
      <c r="AL78" s="127"/>
      <c r="AM78" s="128"/>
    </row>
    <row r="79" spans="1:39" ht="14.25" customHeight="1" x14ac:dyDescent="0.2">
      <c r="A79" s="18">
        <f>fromHiroshima+AM79</f>
        <v>0.53305424603381313</v>
      </c>
      <c r="B79" s="55" t="str">
        <f>"ただいま{+"&amp;D79&amp;"駅}を通過。Passing {+"&amp;D80&amp;"} station."</f>
        <v>ただいま{+新下関駅}を通過。Passing {+Shin-Shimonoseki} station.</v>
      </c>
      <c r="C79" s="174"/>
      <c r="D79" s="9" t="s">
        <v>40</v>
      </c>
      <c r="E79" s="14"/>
      <c r="F79" s="25"/>
      <c r="G79" s="14"/>
      <c r="H79" s="15"/>
      <c r="I79" s="25"/>
      <c r="J79" s="26"/>
      <c r="K79" s="14"/>
      <c r="L79" s="26"/>
      <c r="M79" s="12"/>
      <c r="N79" s="28"/>
      <c r="O79" s="14"/>
      <c r="P79" s="26"/>
      <c r="Q79" s="25"/>
      <c r="R79" s="14"/>
      <c r="S79" s="25"/>
      <c r="T79" s="14"/>
      <c r="U79" s="12"/>
      <c r="V79" s="14"/>
      <c r="W79" s="17"/>
      <c r="X79" s="11"/>
      <c r="Y79" s="17"/>
      <c r="Z79" s="11"/>
      <c r="AA79" s="25"/>
      <c r="AB79" s="26"/>
      <c r="AC79" s="25"/>
      <c r="AD79" s="26"/>
      <c r="AE79" s="25"/>
      <c r="AF79" s="11"/>
      <c r="AG79" s="28"/>
      <c r="AH79" s="25"/>
      <c r="AI79" s="11"/>
      <c r="AJ79" s="25"/>
      <c r="AK79" s="26"/>
      <c r="AL79" s="121">
        <v>23.79</v>
      </c>
      <c r="AM79" s="122">
        <f>SUM(AL69:AL79)/SUM(AL69:AL82)*(toKokura-fromHiroshima)</f>
        <v>3.0970912700479806E-2</v>
      </c>
    </row>
    <row r="80" spans="1:39" ht="14.25" customHeight="1" x14ac:dyDescent="0.2">
      <c r="A80" s="18"/>
      <c r="B80" s="55"/>
      <c r="C80" s="176"/>
      <c r="D80" s="47" t="s">
        <v>66</v>
      </c>
      <c r="E80" s="38"/>
      <c r="F80" s="39"/>
      <c r="G80" s="38"/>
      <c r="H80" s="40"/>
      <c r="I80" s="39"/>
      <c r="J80" s="41"/>
      <c r="K80" s="38"/>
      <c r="L80" s="41"/>
      <c r="M80" s="39"/>
      <c r="N80" s="40"/>
      <c r="O80" s="38"/>
      <c r="P80" s="41"/>
      <c r="Q80" s="39"/>
      <c r="R80" s="38"/>
      <c r="S80" s="39"/>
      <c r="T80" s="38"/>
      <c r="U80" s="39"/>
      <c r="V80" s="38"/>
      <c r="W80" s="42"/>
      <c r="X80" s="43"/>
      <c r="Y80" s="42"/>
      <c r="Z80" s="43"/>
      <c r="AA80" s="39"/>
      <c r="AB80" s="41"/>
      <c r="AC80" s="39"/>
      <c r="AD80" s="41"/>
      <c r="AE80" s="39"/>
      <c r="AF80" s="43"/>
      <c r="AG80" s="40"/>
      <c r="AH80" s="39"/>
      <c r="AI80" s="43"/>
      <c r="AJ80" s="39"/>
      <c r="AK80" s="41"/>
      <c r="AL80" s="127"/>
      <c r="AM80" s="128"/>
    </row>
    <row r="81" spans="1:39" ht="71.25" x14ac:dyDescent="0.2">
      <c r="A81" s="18">
        <f>C82-beforehand</f>
        <v>0.53472222222222221</v>
      </c>
      <c r="B81" s="55" t="s">
        <v>92</v>
      </c>
      <c r="C81" s="174"/>
      <c r="D81" s="13"/>
      <c r="E81" s="14"/>
      <c r="F81" s="12"/>
      <c r="G81" s="14"/>
      <c r="H81" s="15"/>
      <c r="I81" s="12"/>
      <c r="J81" s="16"/>
      <c r="K81" s="14"/>
      <c r="L81" s="16"/>
      <c r="M81" s="12"/>
      <c r="N81" s="15"/>
      <c r="O81" s="14"/>
      <c r="P81" s="16"/>
      <c r="Q81" s="12"/>
      <c r="R81" s="14"/>
      <c r="S81" s="12"/>
      <c r="T81" s="14"/>
      <c r="U81" s="12"/>
      <c r="V81" s="14"/>
      <c r="W81" s="17"/>
      <c r="X81" s="11"/>
      <c r="Y81" s="17"/>
      <c r="Z81" s="11"/>
      <c r="AA81" s="12"/>
      <c r="AB81" s="16"/>
      <c r="AC81" s="12"/>
      <c r="AD81" s="16"/>
      <c r="AE81" s="12"/>
      <c r="AF81" s="11"/>
      <c r="AG81" s="15"/>
      <c r="AH81" s="12"/>
      <c r="AI81" s="11"/>
      <c r="AJ81" s="12"/>
      <c r="AK81" s="16"/>
      <c r="AL81" s="121"/>
      <c r="AM81" s="122"/>
    </row>
    <row r="82" spans="1:39" ht="14.25" customHeight="1" x14ac:dyDescent="0.2">
      <c r="A82" s="18">
        <f>C82</f>
        <v>0.53680555555555554</v>
      </c>
      <c r="B82" s="55" t="s">
        <v>93</v>
      </c>
      <c r="C82" s="174">
        <f>HLOOKUP(selector,table,82,FALSE)</f>
        <v>0.53680555555555554</v>
      </c>
      <c r="D82" s="13" t="s">
        <v>31</v>
      </c>
      <c r="E82" s="14">
        <v>0.44097222222222227</v>
      </c>
      <c r="F82" s="12">
        <v>0.45347222222222222</v>
      </c>
      <c r="G82" s="14">
        <v>0.46736111111111112</v>
      </c>
      <c r="H82" s="15">
        <v>0.47847222222222219</v>
      </c>
      <c r="I82" s="12">
        <v>0.49513888888888885</v>
      </c>
      <c r="J82" s="16">
        <v>0.50138888888888888</v>
      </c>
      <c r="K82" s="14">
        <v>0.50902777777777775</v>
      </c>
      <c r="L82" s="16">
        <v>0.52013888888888882</v>
      </c>
      <c r="M82" s="12">
        <v>0.53680555555555554</v>
      </c>
      <c r="N82" s="15">
        <v>0.54305555555555551</v>
      </c>
      <c r="O82" s="14">
        <v>0.55069444444444449</v>
      </c>
      <c r="P82" s="16">
        <v>0.57361111111111118</v>
      </c>
      <c r="Q82" s="12">
        <v>0.57847222222222217</v>
      </c>
      <c r="R82" s="14">
        <v>0.59236111111111112</v>
      </c>
      <c r="S82" s="12">
        <v>0.62013888888888891</v>
      </c>
      <c r="T82" s="14">
        <v>0.63402777777777775</v>
      </c>
      <c r="U82" s="12">
        <v>0.66180555555555554</v>
      </c>
      <c r="V82" s="14">
        <v>0.67569444444444438</v>
      </c>
      <c r="W82" s="17">
        <v>0.70347222222222217</v>
      </c>
      <c r="X82" s="11">
        <v>0.71736111111111101</v>
      </c>
      <c r="Y82" s="17">
        <v>0.74513888888888891</v>
      </c>
      <c r="Z82" s="11">
        <v>0.75902777777777775</v>
      </c>
      <c r="AA82" s="12">
        <v>0.78680555555555554</v>
      </c>
      <c r="AB82" s="16">
        <v>0.80069444444444438</v>
      </c>
      <c r="AC82" s="12">
        <v>0.82847222222222217</v>
      </c>
      <c r="AD82" s="16">
        <v>0.84236111111111101</v>
      </c>
      <c r="AE82" s="12">
        <v>0.87013888888888891</v>
      </c>
      <c r="AF82" s="11">
        <v>0.88402777777777775</v>
      </c>
      <c r="AG82" s="15">
        <v>0.89444444444444438</v>
      </c>
      <c r="AH82" s="12">
        <v>0.91180555555555554</v>
      </c>
      <c r="AI82" s="11">
        <v>0.92569444444444438</v>
      </c>
      <c r="AJ82" s="12">
        <v>0.95347222222222217</v>
      </c>
      <c r="AK82" s="16">
        <v>0.98263888888888884</v>
      </c>
      <c r="AL82" s="121">
        <v>20.74</v>
      </c>
      <c r="AM82" s="122">
        <f>SUM(AL69:AL82)/SUM(AL69:AL82)*(toKokura-fromHiroshima)</f>
        <v>3.472222222222221E-2</v>
      </c>
    </row>
    <row r="83" spans="1:39" ht="14.25" customHeight="1" x14ac:dyDescent="0.2">
      <c r="A83" s="18">
        <f>C83</f>
        <v>0.53749999999999998</v>
      </c>
      <c r="B83" s="55" t="s">
        <v>94</v>
      </c>
      <c r="C83" s="176">
        <f>HLOOKUP(selector,table,83,FALSE)</f>
        <v>0.53749999999999998</v>
      </c>
      <c r="D83" s="37" t="s">
        <v>67</v>
      </c>
      <c r="E83" s="38">
        <v>0.44166666666666665</v>
      </c>
      <c r="F83" s="39">
        <v>0.45416666666666666</v>
      </c>
      <c r="G83" s="38">
        <v>0.4680555555555555</v>
      </c>
      <c r="H83" s="40">
        <v>0.47916666666666669</v>
      </c>
      <c r="I83" s="39">
        <v>0.49583333333333335</v>
      </c>
      <c r="J83" s="41">
        <v>0.50208333333333333</v>
      </c>
      <c r="K83" s="38">
        <v>0.50972222222222219</v>
      </c>
      <c r="L83" s="41">
        <v>0.52083333333333337</v>
      </c>
      <c r="M83" s="39">
        <v>0.53749999999999998</v>
      </c>
      <c r="N83" s="40">
        <v>0.54375000000000007</v>
      </c>
      <c r="O83" s="38">
        <v>0.55138888888888882</v>
      </c>
      <c r="P83" s="41">
        <v>0.57430555555555551</v>
      </c>
      <c r="Q83" s="39">
        <v>0.57916666666666672</v>
      </c>
      <c r="R83" s="38">
        <v>0.59305555555555556</v>
      </c>
      <c r="S83" s="39">
        <v>0.62083333333333335</v>
      </c>
      <c r="T83" s="38">
        <v>0.63472222222222219</v>
      </c>
      <c r="U83" s="39">
        <v>0.66249999999999998</v>
      </c>
      <c r="V83" s="38">
        <v>0.67638888888888893</v>
      </c>
      <c r="W83" s="42">
        <v>0.70416666666666661</v>
      </c>
      <c r="X83" s="43">
        <v>0.71805555555555556</v>
      </c>
      <c r="Y83" s="42">
        <v>0.74583333333333324</v>
      </c>
      <c r="Z83" s="43">
        <v>0.7597222222222223</v>
      </c>
      <c r="AA83" s="39">
        <v>0.78749999999999998</v>
      </c>
      <c r="AB83" s="41">
        <v>0.80138888888888893</v>
      </c>
      <c r="AC83" s="39">
        <v>0.82916666666666661</v>
      </c>
      <c r="AD83" s="41">
        <v>0.84305555555555556</v>
      </c>
      <c r="AE83" s="39">
        <v>0.87083333333333324</v>
      </c>
      <c r="AF83" s="43">
        <v>0.8847222222222223</v>
      </c>
      <c r="AG83" s="40">
        <v>0.89513888888888893</v>
      </c>
      <c r="AH83" s="39">
        <v>0.91249999999999998</v>
      </c>
      <c r="AI83" s="43">
        <v>0.92638888888888893</v>
      </c>
      <c r="AJ83" s="39">
        <v>0.95416666666666661</v>
      </c>
      <c r="AK83" s="41">
        <v>0.98333333333333339</v>
      </c>
      <c r="AL83" s="127"/>
      <c r="AM83" s="128"/>
    </row>
    <row r="84" spans="1:39" ht="97.5" x14ac:dyDescent="0.2">
      <c r="A84" s="18">
        <f>C85-beforehand</f>
        <v>0.54583333333333339</v>
      </c>
      <c r="B84" s="55" t="s">
        <v>95</v>
      </c>
      <c r="C84" s="174"/>
      <c r="D84" s="23"/>
      <c r="E84" s="14"/>
      <c r="F84" s="12"/>
      <c r="G84" s="14"/>
      <c r="H84" s="15"/>
      <c r="I84" s="12"/>
      <c r="J84" s="16"/>
      <c r="K84" s="14"/>
      <c r="L84" s="16"/>
      <c r="M84" s="12"/>
      <c r="N84" s="15"/>
      <c r="O84" s="14"/>
      <c r="P84" s="16"/>
      <c r="Q84" s="12"/>
      <c r="R84" s="14"/>
      <c r="S84" s="12"/>
      <c r="T84" s="14"/>
      <c r="U84" s="12"/>
      <c r="V84" s="14"/>
      <c r="W84" s="17"/>
      <c r="X84" s="11"/>
      <c r="Y84" s="17"/>
      <c r="Z84" s="11"/>
      <c r="AA84" s="12"/>
      <c r="AB84" s="16"/>
      <c r="AC84" s="12"/>
      <c r="AD84" s="16"/>
      <c r="AE84" s="12"/>
      <c r="AF84" s="11"/>
      <c r="AG84" s="15"/>
      <c r="AH84" s="12"/>
      <c r="AI84" s="11"/>
      <c r="AJ84" s="12"/>
      <c r="AK84" s="16"/>
      <c r="AL84" s="121"/>
      <c r="AM84" s="122"/>
    </row>
    <row r="85" spans="1:39" ht="14.25" customHeight="1" x14ac:dyDescent="0.2">
      <c r="A85" s="18">
        <f>C85</f>
        <v>0.54791666666666672</v>
      </c>
      <c r="B85" s="55" t="s">
        <v>96</v>
      </c>
      <c r="C85" s="174">
        <f>HLOOKUP(selector,table,85,FALSE)</f>
        <v>0.54791666666666672</v>
      </c>
      <c r="D85" s="13" t="s">
        <v>32</v>
      </c>
      <c r="E85" s="14">
        <v>0.45277777777777778</v>
      </c>
      <c r="F85" s="12">
        <v>0.46458333333333335</v>
      </c>
      <c r="G85" s="14">
        <v>0.47916666666666669</v>
      </c>
      <c r="H85" s="15">
        <v>0.48958333333333331</v>
      </c>
      <c r="I85" s="12">
        <v>0.50624999999999998</v>
      </c>
      <c r="J85" s="16">
        <v>0.51250000000000007</v>
      </c>
      <c r="K85" s="14">
        <v>0.52083333333333337</v>
      </c>
      <c r="L85" s="16">
        <v>0.53125</v>
      </c>
      <c r="M85" s="12">
        <v>0.54791666666666672</v>
      </c>
      <c r="N85" s="15">
        <v>0.5541666666666667</v>
      </c>
      <c r="O85" s="14">
        <v>0.5625</v>
      </c>
      <c r="P85" s="16">
        <v>0.5854166666666667</v>
      </c>
      <c r="Q85" s="12">
        <v>0.58958333333333335</v>
      </c>
      <c r="R85" s="14">
        <v>0.60416666666666663</v>
      </c>
      <c r="S85" s="12">
        <v>0.63124999999999998</v>
      </c>
      <c r="T85" s="14">
        <v>0.64583333333333337</v>
      </c>
      <c r="U85" s="12">
        <v>0.67291666666666661</v>
      </c>
      <c r="V85" s="14">
        <v>0.6875</v>
      </c>
      <c r="W85" s="17">
        <v>0.71458333333333324</v>
      </c>
      <c r="X85" s="11">
        <v>0.72916666666666663</v>
      </c>
      <c r="Y85" s="17">
        <v>0.75624999999999998</v>
      </c>
      <c r="Z85" s="11">
        <v>0.77083333333333337</v>
      </c>
      <c r="AA85" s="12">
        <v>0.79791666666666661</v>
      </c>
      <c r="AB85" s="16">
        <v>0.8125</v>
      </c>
      <c r="AC85" s="12">
        <v>0.83958333333333324</v>
      </c>
      <c r="AD85" s="16">
        <v>0.85416666666666663</v>
      </c>
      <c r="AE85" s="12">
        <v>0.88124999999999998</v>
      </c>
      <c r="AF85" s="11">
        <v>0.89583333333333337</v>
      </c>
      <c r="AG85" s="15">
        <v>0.90625</v>
      </c>
      <c r="AH85" s="12">
        <v>0.92291666666666661</v>
      </c>
      <c r="AI85" s="11">
        <v>0.9375</v>
      </c>
      <c r="AJ85" s="12">
        <v>0.96458333333333324</v>
      </c>
      <c r="AK85" s="16">
        <v>0.99375000000000002</v>
      </c>
      <c r="AL85" s="121">
        <v>55.91</v>
      </c>
      <c r="AM85" s="122">
        <f>SUM(AL84:AL85)/SUM(AL84:AL85)*(toHakata-fromKokura)</f>
        <v>1.0416666666666741E-2</v>
      </c>
    </row>
    <row r="86" spans="1:39" ht="14.25" customHeight="1" x14ac:dyDescent="0.2">
      <c r="A86" s="44"/>
      <c r="B86" s="56"/>
      <c r="C86" s="176"/>
      <c r="D86" s="37" t="s">
        <v>68</v>
      </c>
      <c r="E86" s="38"/>
      <c r="F86" s="39"/>
      <c r="G86" s="38"/>
      <c r="H86" s="40"/>
      <c r="I86" s="39"/>
      <c r="J86" s="41"/>
      <c r="K86" s="38"/>
      <c r="L86" s="41"/>
      <c r="M86" s="39"/>
      <c r="N86" s="40"/>
      <c r="O86" s="38"/>
      <c r="P86" s="41"/>
      <c r="Q86" s="39"/>
      <c r="R86" s="38"/>
      <c r="S86" s="39"/>
      <c r="T86" s="38"/>
      <c r="U86" s="39"/>
      <c r="V86" s="38"/>
      <c r="W86" s="42"/>
      <c r="X86" s="43"/>
      <c r="Y86" s="42"/>
      <c r="Z86" s="43"/>
      <c r="AA86" s="39"/>
      <c r="AB86" s="41"/>
      <c r="AC86" s="39"/>
      <c r="AD86" s="41"/>
      <c r="AE86" s="39"/>
      <c r="AF86" s="43"/>
      <c r="AG86" s="40"/>
      <c r="AH86" s="39"/>
      <c r="AI86" s="43"/>
      <c r="AJ86" s="39"/>
      <c r="AK86" s="41"/>
      <c r="AL86" s="127"/>
      <c r="AM86" s="128"/>
    </row>
  </sheetData>
  <phoneticPr fontId="1"/>
  <dataValidations count="1">
    <dataValidation type="list" allowBlank="1" showInputMessage="1" showErrorMessage="1" sqref="A1">
      <formula1>Nozomi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30</vt:i4>
      </vt:variant>
    </vt:vector>
  </HeadingPairs>
  <TitlesOfParts>
    <vt:vector size="32" baseType="lpstr">
      <vt:lpstr>上り</vt:lpstr>
      <vt:lpstr>下り</vt:lpstr>
      <vt:lpstr>下り!beforehand</vt:lpstr>
      <vt:lpstr>上り!beforehand</vt:lpstr>
      <vt:lpstr>下り!fromHiroshima</vt:lpstr>
      <vt:lpstr>上り!fromHiroshima</vt:lpstr>
      <vt:lpstr>下り!fromKobe</vt:lpstr>
      <vt:lpstr>下り!fromKokura</vt:lpstr>
      <vt:lpstr>上り!fromKokura</vt:lpstr>
      <vt:lpstr>上り!fromKyoto</vt:lpstr>
      <vt:lpstr>下り!fromNagoya</vt:lpstr>
      <vt:lpstr>上り!fromNagoya</vt:lpstr>
      <vt:lpstr>下り!fromOkayama</vt:lpstr>
      <vt:lpstr>上り!fromOkayama</vt:lpstr>
      <vt:lpstr>下り!fromYokohama</vt:lpstr>
      <vt:lpstr>下り!Nozomi</vt:lpstr>
      <vt:lpstr>上り!Nozomi</vt:lpstr>
      <vt:lpstr>下り!selector</vt:lpstr>
      <vt:lpstr>上り!selector</vt:lpstr>
      <vt:lpstr>下り!table</vt:lpstr>
      <vt:lpstr>上り!table</vt:lpstr>
      <vt:lpstr>下り!toHakata</vt:lpstr>
      <vt:lpstr>下り!toHiroshima</vt:lpstr>
      <vt:lpstr>上り!toHiroshima</vt:lpstr>
      <vt:lpstr>上り!toKobe</vt:lpstr>
      <vt:lpstr>下り!toKokura</vt:lpstr>
      <vt:lpstr>下り!toKyoto</vt:lpstr>
      <vt:lpstr>下り!toNagoya</vt:lpstr>
      <vt:lpstr>上り!toNagoya</vt:lpstr>
      <vt:lpstr>下り!toOkayama</vt:lpstr>
      <vt:lpstr>上り!toOkayama</vt:lpstr>
      <vt:lpstr>上り!toYokohama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2024-10-17T08:44:00Z</dcterms:created>
  <dcterms:modified xsi:type="dcterms:W3CDTF">2024-10-19T02:35:03Z</dcterms:modified>
</cp:coreProperties>
</file>