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100" activeTab="4"/>
  </bookViews>
  <sheets>
    <sheet name="Sheet1" sheetId="1" r:id="rId1"/>
    <sheet name="Sheet2" sheetId="2" r:id="rId2"/>
    <sheet name="Sheet1 (2)" sheetId="3" r:id="rId3"/>
    <sheet name="Sheet4" sheetId="4" r:id="rId4"/>
    <sheet name="Sheet3" sheetId="5" r:id="rId5"/>
    <sheet name="Sheet5"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<sst xmlns="http://schemas.openxmlformats.org/spreadsheetml/2006/main" count="195" uniqueCount="102">
  <si>
    <t>收入复合增长率</t>
  </si>
  <si>
    <t>单位：万元</t>
  </si>
  <si>
    <t>序号</t>
  </si>
  <si>
    <t>科目</t>
  </si>
  <si>
    <t>一</t>
  </si>
  <si>
    <t>营业总收入</t>
  </si>
  <si>
    <t>营业收入</t>
  </si>
  <si>
    <t>海上施工和运维等</t>
  </si>
  <si>
    <t>"01"运营收入</t>
  </si>
  <si>
    <t>"02"运营收入</t>
  </si>
  <si>
    <t>二</t>
  </si>
  <si>
    <t>营业总成本</t>
  </si>
  <si>
    <t>营业成本</t>
  </si>
  <si>
    <t>管理费用</t>
  </si>
  <si>
    <t>-</t>
  </si>
  <si>
    <t>其中：职工薪酬（已知条件）</t>
  </si>
  <si>
    <t>办公费用（已知条件）</t>
  </si>
  <si>
    <t>财务费用（已知条件）</t>
  </si>
  <si>
    <t>税金及附加（按报表）</t>
  </si>
  <si>
    <t>三</t>
  </si>
  <si>
    <t>营业利润</t>
  </si>
  <si>
    <t>四</t>
  </si>
  <si>
    <t>利润总额</t>
  </si>
  <si>
    <t>五</t>
  </si>
  <si>
    <t>所得税（前三年定额，第四年开始25%</t>
  </si>
  <si>
    <t>六</t>
  </si>
  <si>
    <t>净利润</t>
  </si>
  <si>
    <t>金额单位：万元</t>
  </si>
  <si>
    <t>项目</t>
  </si>
  <si>
    <t>海上施工和运维成本</t>
  </si>
  <si>
    <t>人工费</t>
  </si>
  <si>
    <t>材料费</t>
  </si>
  <si>
    <t>钢筋（万吨）</t>
  </si>
  <si>
    <t>单价（元/吨）</t>
  </si>
  <si>
    <t>金额</t>
  </si>
  <si>
    <t>水泥（万吨）</t>
  </si>
  <si>
    <t>材料费小计</t>
  </si>
  <si>
    <t>机械使用费</t>
  </si>
  <si>
    <t>其他直接费用</t>
  </si>
  <si>
    <t>成本小计</t>
  </si>
  <si>
    <t>"01"运营成本</t>
  </si>
  <si>
    <t>"02"运营成本</t>
  </si>
  <si>
    <t>合计</t>
  </si>
  <si>
    <t>02租金</t>
  </si>
  <si>
    <t xml:space="preserve"> </t>
  </si>
  <si>
    <t>项目名称：关于开展山东蓝鲲海洋工程有限公司股权架构调整的可行性分析报告</t>
  </si>
  <si>
    <t>单位：万元人民币</t>
  </si>
  <si>
    <t>投资</t>
  </si>
  <si>
    <t>折旧</t>
  </si>
  <si>
    <t>净现金流量</t>
  </si>
  <si>
    <t>累计净现金流量</t>
  </si>
  <si>
    <t>现值系数</t>
  </si>
  <si>
    <t>折现净现金流量</t>
  </si>
  <si>
    <t>累计折现净现金流量</t>
  </si>
  <si>
    <t>计算指标</t>
  </si>
  <si>
    <t>内部收益率</t>
  </si>
  <si>
    <t>投资回收期（静态）</t>
  </si>
  <si>
    <t>投资回收期（动态）</t>
  </si>
  <si>
    <t>净现值</t>
  </si>
  <si>
    <t>海上施工成本敏感性系数分析</t>
  </si>
  <si>
    <t>金额单位：元</t>
  </si>
  <si>
    <t>基期</t>
  </si>
  <si>
    <t>钢筋单价增长10%</t>
  </si>
  <si>
    <t>水泥单价增长10%</t>
  </si>
  <si>
    <t>人工成本增加10%</t>
  </si>
  <si>
    <t>其他直接费</t>
  </si>
  <si>
    <t>成本合计</t>
  </si>
  <si>
    <t>税前利润</t>
  </si>
  <si>
    <t>敏感系数</t>
  </si>
  <si>
    <t>——</t>
  </si>
  <si>
    <t>对税前利润敏感性大小排序</t>
  </si>
  <si>
    <t>营收</t>
  </si>
  <si>
    <t>毛利</t>
  </si>
  <si>
    <t xml:space="preserve">应收 </t>
  </si>
  <si>
    <t>应收占比</t>
  </si>
  <si>
    <t>流动资产</t>
  </si>
  <si>
    <t>营成</t>
  </si>
  <si>
    <t>货币资金</t>
  </si>
  <si>
    <t>应付账款</t>
  </si>
  <si>
    <t>应收账款</t>
  </si>
  <si>
    <t>流动负债</t>
  </si>
  <si>
    <t>负债</t>
  </si>
  <si>
    <t>固定资产</t>
  </si>
  <si>
    <t>非流动资产</t>
  </si>
  <si>
    <t>资产</t>
  </si>
  <si>
    <t>非流动负债</t>
  </si>
  <si>
    <t>所有者权益</t>
  </si>
  <si>
    <t>应收账款周转率</t>
  </si>
  <si>
    <t>应付账款周转率</t>
  </si>
  <si>
    <t>流动资产周转率</t>
  </si>
  <si>
    <t>总资产周转率</t>
  </si>
  <si>
    <t>毛利率</t>
  </si>
  <si>
    <t>净利率</t>
  </si>
  <si>
    <t>流动比率</t>
  </si>
  <si>
    <t>现金比率</t>
  </si>
  <si>
    <t>权益乘数</t>
  </si>
  <si>
    <t>资产负债率</t>
  </si>
  <si>
    <t>应收账款周转期</t>
  </si>
  <si>
    <t>应付账款周转期</t>
  </si>
  <si>
    <t>流动资产周转期</t>
  </si>
  <si>
    <t>总资产周转期</t>
  </si>
  <si>
    <t>年份</t>
  </si>
</sst>
</file>

<file path=xl/styles.xml><?xml version="1.0" encoding="utf-8"?>
<styleSheet xmlns="http://schemas.openxmlformats.org/spreadsheetml/2006/main" xmlns:mc="http://schemas.openxmlformats.org/markup-compatibility/2006" xmlns:xr9="http://schemas.microsoft.com/office/spreadsheetml/2016/revision9" mc:Ignorable="xr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000"/>
    <numFmt numFmtId="177" formatCode="#,##0.00_ "/>
    <numFmt numFmtId="178" formatCode="0.00_ "/>
    <numFmt numFmtId="179" formatCode="0.00_);[Red]\(0.00\)"/>
  </numFmts>
  <fonts count="40">
    <font>
      <sz val="11"/>
      <color theme="1"/>
      <name val="等线"/>
      <charset val="134"/>
      <scheme val="minor"/>
    </font>
    <font>
      <b/>
      <sz val="29"/>
      <color rgb="FF404040"/>
      <name val="Arial"/>
      <charset val="134"/>
    </font>
    <font>
      <b/>
      <sz val="14"/>
      <color theme="1"/>
      <name val="仿宋"/>
      <charset val="134"/>
    </font>
    <font>
      <sz val="11"/>
      <color theme="1"/>
      <name val="仿宋"/>
      <charset val="134"/>
    </font>
    <font>
      <b/>
      <sz val="11"/>
      <color theme="1"/>
      <name val="仿宋"/>
      <charset val="134"/>
    </font>
    <font>
      <sz val="11"/>
      <color rgb="FF000000"/>
      <name val="仿宋"/>
      <charset val="134"/>
    </font>
    <font>
      <sz val="11"/>
      <color rgb="FFFF0000"/>
      <name val="仿宋"/>
      <charset val="134"/>
    </font>
    <font>
      <b/>
      <sz val="9"/>
      <color theme="1"/>
      <name val="微软雅黑"/>
      <charset val="134"/>
    </font>
    <font>
      <sz val="9"/>
      <color rgb="FF000000"/>
      <name val="宋体"/>
      <charset val="134"/>
    </font>
    <font>
      <b/>
      <sz val="9"/>
      <color rgb="FF000000"/>
      <name val="宋体"/>
      <charset val="134"/>
    </font>
    <font>
      <b/>
      <vertAlign val="subscript"/>
      <sz val="16"/>
      <color rgb="FF000000"/>
      <name val="宋体"/>
      <charset val="134"/>
    </font>
    <font>
      <b/>
      <sz val="10"/>
      <color rgb="FFFF0000"/>
      <name val="仿宋"/>
      <charset val="134"/>
    </font>
    <font>
      <b/>
      <sz val="10"/>
      <color rgb="FF000000"/>
      <name val="仿宋"/>
      <charset val="134"/>
    </font>
    <font>
      <b/>
      <sz val="12"/>
      <color theme="1"/>
      <name val="等线"/>
      <charset val="134"/>
      <scheme val="minor"/>
    </font>
    <font>
      <b/>
      <sz val="11"/>
      <color rgb="FF000000"/>
      <name val="仿宋"/>
      <charset val="134"/>
    </font>
    <font>
      <sz val="11"/>
      <color rgb="FFFF0000"/>
      <name val="等线"/>
      <charset val="134"/>
      <scheme val="minor"/>
    </font>
    <font>
      <sz val="11"/>
      <color theme="1"/>
      <name val="等线"/>
      <charset val="134"/>
      <scheme val="minor"/>
    </font>
    <font>
      <b/>
      <sz val="11"/>
      <name val="等线"/>
      <charset val="134"/>
      <scheme val="minor"/>
    </font>
    <font>
      <sz val="11"/>
      <name val="等线"/>
      <charset val="134"/>
      <scheme val="minor"/>
    </font>
    <font>
      <b/>
      <sz val="20"/>
      <color theme="1"/>
      <name val="仿宋"/>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0" fillId="0" borderId="0" applyFont="0" applyFill="0" applyBorder="0" applyAlignment="0" applyProtection="0">
      <alignment vertical="center"/>
    </xf>
    <xf numFmtId="44" fontId="20" fillId="0" borderId="0" applyFont="0" applyFill="0" applyBorder="0" applyAlignment="0" applyProtection="0">
      <alignment vertical="center"/>
    </xf>
    <xf numFmtId="9" fontId="0" fillId="0" borderId="0" applyFont="0" applyFill="0" applyBorder="0" applyAlignment="0" applyProtection="0">
      <alignment vertical="center"/>
    </xf>
    <xf numFmtId="41" fontId="20" fillId="0" borderId="0" applyFont="0" applyFill="0" applyBorder="0" applyAlignment="0" applyProtection="0">
      <alignment vertical="center"/>
    </xf>
    <xf numFmtId="42" fontId="20" fillId="0" borderId="0" applyFon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0" fillId="4" borderId="7"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0" borderId="8" applyNumberFormat="0" applyFill="0" applyAlignment="0" applyProtection="0">
      <alignment vertical="center"/>
    </xf>
    <xf numFmtId="0" fontId="28" fillId="0" borderId="9" applyNumberFormat="0" applyFill="0" applyAlignment="0" applyProtection="0">
      <alignment vertical="center"/>
    </xf>
    <xf numFmtId="0" fontId="28" fillId="0" borderId="0" applyNumberFormat="0" applyFill="0" applyBorder="0" applyAlignment="0" applyProtection="0">
      <alignment vertical="center"/>
    </xf>
    <xf numFmtId="0" fontId="29" fillId="5" borderId="10" applyNumberFormat="0" applyAlignment="0" applyProtection="0">
      <alignment vertical="center"/>
    </xf>
    <xf numFmtId="0" fontId="30" fillId="6" borderId="11" applyNumberFormat="0" applyAlignment="0" applyProtection="0">
      <alignment vertical="center"/>
    </xf>
    <xf numFmtId="0" fontId="31" fillId="6" borderId="10" applyNumberFormat="0" applyAlignment="0" applyProtection="0">
      <alignment vertical="center"/>
    </xf>
    <xf numFmtId="0" fontId="32" fillId="7" borderId="12" applyNumberFormat="0" applyAlignment="0" applyProtection="0">
      <alignment vertical="center"/>
    </xf>
    <xf numFmtId="0" fontId="33" fillId="0" borderId="13" applyNumberFormat="0" applyFill="0" applyAlignment="0" applyProtection="0">
      <alignment vertical="center"/>
    </xf>
    <xf numFmtId="0" fontId="34" fillId="0" borderId="14" applyNumberFormat="0" applyFill="0" applyAlignment="0" applyProtection="0">
      <alignment vertical="center"/>
    </xf>
    <xf numFmtId="0" fontId="35" fillId="8" borderId="0" applyNumberFormat="0" applyBorder="0" applyAlignment="0" applyProtection="0">
      <alignment vertical="center"/>
    </xf>
    <xf numFmtId="0" fontId="36" fillId="9" borderId="0" applyNumberFormat="0" applyBorder="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39" fillId="13" borderId="0" applyNumberFormat="0" applyBorder="0" applyAlignment="0" applyProtection="0">
      <alignment vertical="center"/>
    </xf>
    <xf numFmtId="0" fontId="38" fillId="14" borderId="0" applyNumberFormat="0" applyBorder="0" applyAlignment="0" applyProtection="0">
      <alignment vertical="center"/>
    </xf>
    <xf numFmtId="0" fontId="38" fillId="15" borderId="0" applyNumberFormat="0" applyBorder="0" applyAlignment="0" applyProtection="0">
      <alignment vertical="center"/>
    </xf>
    <xf numFmtId="0" fontId="39" fillId="16" borderId="0" applyNumberFormat="0" applyBorder="0" applyAlignment="0" applyProtection="0">
      <alignment vertical="center"/>
    </xf>
    <xf numFmtId="0" fontId="39" fillId="17" borderId="0" applyNumberFormat="0" applyBorder="0" applyAlignment="0" applyProtection="0">
      <alignment vertical="center"/>
    </xf>
    <xf numFmtId="0" fontId="38" fillId="18" borderId="0" applyNumberFormat="0" applyBorder="0" applyAlignment="0" applyProtection="0">
      <alignment vertical="center"/>
    </xf>
    <xf numFmtId="0" fontId="38" fillId="19" borderId="0" applyNumberFormat="0" applyBorder="0" applyAlignment="0" applyProtection="0">
      <alignment vertical="center"/>
    </xf>
    <xf numFmtId="0" fontId="39" fillId="20" borderId="0" applyNumberFormat="0" applyBorder="0" applyAlignment="0" applyProtection="0">
      <alignment vertical="center"/>
    </xf>
    <xf numFmtId="0" fontId="39" fillId="21" borderId="0" applyNumberFormat="0" applyBorder="0" applyAlignment="0" applyProtection="0">
      <alignment vertical="center"/>
    </xf>
    <xf numFmtId="0" fontId="38" fillId="22" borderId="0" applyNumberFormat="0" applyBorder="0" applyAlignment="0" applyProtection="0">
      <alignment vertical="center"/>
    </xf>
    <xf numFmtId="0" fontId="38" fillId="23" borderId="0" applyNumberFormat="0" applyBorder="0" applyAlignment="0" applyProtection="0">
      <alignment vertical="center"/>
    </xf>
    <xf numFmtId="0" fontId="39" fillId="24" borderId="0" applyNumberFormat="0" applyBorder="0" applyAlignment="0" applyProtection="0">
      <alignment vertical="center"/>
    </xf>
    <xf numFmtId="0" fontId="39" fillId="25" borderId="0" applyNumberFormat="0" applyBorder="0" applyAlignment="0" applyProtection="0">
      <alignment vertical="center"/>
    </xf>
    <xf numFmtId="0" fontId="38" fillId="26" borderId="0" applyNumberFormat="0" applyBorder="0" applyAlignment="0" applyProtection="0">
      <alignment vertical="center"/>
    </xf>
    <xf numFmtId="0" fontId="38" fillId="27" borderId="0" applyNumberFormat="0" applyBorder="0" applyAlignment="0" applyProtection="0">
      <alignment vertical="center"/>
    </xf>
    <xf numFmtId="0" fontId="39" fillId="28" borderId="0" applyNumberFormat="0" applyBorder="0" applyAlignment="0" applyProtection="0">
      <alignment vertical="center"/>
    </xf>
    <xf numFmtId="0" fontId="39" fillId="29" borderId="0" applyNumberFormat="0" applyBorder="0" applyAlignment="0" applyProtection="0">
      <alignment vertical="center"/>
    </xf>
    <xf numFmtId="0" fontId="38" fillId="30" borderId="0" applyNumberFormat="0" applyBorder="0" applyAlignment="0" applyProtection="0">
      <alignment vertical="center"/>
    </xf>
    <xf numFmtId="0" fontId="38" fillId="31" borderId="0" applyNumberFormat="0" applyBorder="0" applyAlignment="0" applyProtection="0">
      <alignment vertical="center"/>
    </xf>
    <xf numFmtId="0" fontId="39" fillId="32" borderId="0" applyNumberFormat="0" applyBorder="0" applyAlignment="0" applyProtection="0">
      <alignment vertical="center"/>
    </xf>
    <xf numFmtId="0" fontId="39" fillId="33" borderId="0" applyNumberFormat="0" applyBorder="0" applyAlignment="0" applyProtection="0">
      <alignment vertical="center"/>
    </xf>
    <xf numFmtId="0" fontId="38" fillId="34" borderId="0" applyNumberFormat="0" applyBorder="0" applyAlignment="0" applyProtection="0">
      <alignment vertical="center"/>
    </xf>
  </cellStyleXfs>
  <cellXfs count="107">
    <xf numFmtId="0" fontId="0" fillId="0" borderId="0" xfId="0"/>
    <xf numFmtId="0" fontId="0" fillId="2" borderId="0" xfId="0" applyFill="1"/>
    <xf numFmtId="0" fontId="0" fillId="0" borderId="1" xfId="0" applyBorder="1"/>
    <xf numFmtId="2" fontId="0" fillId="0" borderId="1" xfId="0" applyNumberFormat="1" applyBorder="1"/>
    <xf numFmtId="2" fontId="0" fillId="2" borderId="1" xfId="0" applyNumberFormat="1" applyFill="1" applyBorder="1"/>
    <xf numFmtId="0" fontId="0" fillId="2" borderId="1" xfId="0" applyFill="1" applyBorder="1"/>
    <xf numFmtId="10" fontId="0" fillId="0" borderId="1" xfId="0" applyNumberFormat="1" applyBorder="1"/>
    <xf numFmtId="2" fontId="0" fillId="0" borderId="0" xfId="0" applyNumberFormat="1"/>
    <xf numFmtId="176" fontId="0" fillId="0" borderId="0" xfId="0" applyNumberFormat="1"/>
    <xf numFmtId="2" fontId="0" fillId="2" borderId="0" xfId="0" applyNumberFormat="1" applyFill="1"/>
    <xf numFmtId="10" fontId="0" fillId="0" borderId="0" xfId="0" applyNumberFormat="1"/>
    <xf numFmtId="0" fontId="1" fillId="0" borderId="0" xfId="0" applyFont="1" applyAlignment="1">
      <alignment vertical="center" wrapText="1"/>
    </xf>
    <xf numFmtId="0" fontId="0" fillId="0" borderId="0" xfId="0" applyNumberFormat="1"/>
    <xf numFmtId="0" fontId="2" fillId="2" borderId="0" xfId="0" applyFont="1" applyFill="1" applyAlignment="1">
      <alignment horizontal="center" vertical="center"/>
    </xf>
    <xf numFmtId="0" fontId="3" fillId="2" borderId="0" xfId="0" applyFont="1" applyFill="1" applyAlignment="1">
      <alignment vertical="center"/>
    </xf>
    <xf numFmtId="0" fontId="3" fillId="2" borderId="0" xfId="0" applyFont="1" applyFill="1" applyAlignment="1">
      <alignment vertical="center" wrapText="1"/>
    </xf>
    <xf numFmtId="0" fontId="4" fillId="2" borderId="1" xfId="0" applyFont="1" applyFill="1" applyBorder="1" applyAlignment="1">
      <alignment horizontal="center" vertical="center"/>
    </xf>
    <xf numFmtId="0" fontId="4" fillId="2" borderId="1" xfId="0" applyFont="1" applyFill="1" applyBorder="1" applyAlignment="1">
      <alignment vertical="center" wrapText="1"/>
    </xf>
    <xf numFmtId="0" fontId="4" fillId="2" borderId="1" xfId="0" applyFont="1" applyFill="1" applyBorder="1" applyAlignment="1">
      <alignment vertical="center"/>
    </xf>
    <xf numFmtId="0" fontId="5" fillId="2" borderId="1" xfId="0" applyFont="1" applyFill="1" applyBorder="1" applyAlignment="1">
      <alignment horizontal="center" vertical="center" wrapText="1"/>
    </xf>
    <xf numFmtId="177" fontId="5" fillId="2" borderId="1" xfId="0" applyNumberFormat="1" applyFont="1" applyFill="1" applyBorder="1" applyAlignment="1">
      <alignment horizontal="center" vertical="center" wrapText="1"/>
    </xf>
    <xf numFmtId="177" fontId="3" fillId="2" borderId="1" xfId="0" applyNumberFormat="1" applyFont="1" applyFill="1" applyBorder="1" applyAlignment="1">
      <alignment horizontal="center" vertical="center" wrapText="1"/>
    </xf>
    <xf numFmtId="177" fontId="3" fillId="2" borderId="1" xfId="0" applyNumberFormat="1" applyFont="1" applyFill="1" applyBorder="1" applyAlignment="1">
      <alignment horizontal="center" vertical="center"/>
    </xf>
    <xf numFmtId="177" fontId="6" fillId="2" borderId="1" xfId="0" applyNumberFormat="1" applyFont="1" applyFill="1" applyBorder="1" applyAlignment="1">
      <alignment horizontal="center" vertical="center" wrapText="1"/>
    </xf>
    <xf numFmtId="177" fontId="6" fillId="2" borderId="1" xfId="0" applyNumberFormat="1" applyFont="1" applyFill="1" applyBorder="1" applyAlignment="1">
      <alignment horizontal="center" vertical="center"/>
    </xf>
    <xf numFmtId="0" fontId="5" fillId="2" borderId="2" xfId="0" applyFont="1" applyFill="1" applyBorder="1" applyAlignment="1">
      <alignment horizontal="center" vertical="center" wrapText="1"/>
    </xf>
    <xf numFmtId="0" fontId="5" fillId="2" borderId="3" xfId="0" applyFont="1" applyFill="1" applyBorder="1" applyAlignment="1">
      <alignment horizontal="center" vertical="center" wrapText="1"/>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1" xfId="0" applyFont="1" applyFill="1" applyBorder="1" applyAlignment="1">
      <alignment horizontal="center" vertical="center"/>
    </xf>
    <xf numFmtId="0" fontId="6" fillId="2" borderId="1" xfId="0" applyFont="1" applyFill="1" applyBorder="1" applyAlignment="1">
      <alignment horizontal="center" vertical="center"/>
    </xf>
    <xf numFmtId="177" fontId="0" fillId="0" borderId="0" xfId="0" applyNumberFormat="1"/>
    <xf numFmtId="178" fontId="0" fillId="0" borderId="0" xfId="0" applyNumberFormat="1"/>
    <xf numFmtId="0" fontId="0" fillId="0" borderId="0" xfId="0" applyBorder="1"/>
    <xf numFmtId="0" fontId="0" fillId="0" borderId="4" xfId="0" applyBorder="1"/>
    <xf numFmtId="0" fontId="7" fillId="3" borderId="0" xfId="0" applyFont="1" applyFill="1" applyAlignment="1">
      <alignment horizontal="justify" vertical="center" wrapText="1"/>
    </xf>
    <xf numFmtId="0" fontId="8" fillId="3" borderId="0" xfId="0" applyFont="1" applyFill="1" applyAlignment="1">
      <alignment horizontal="justify" vertical="center" wrapText="1"/>
    </xf>
    <xf numFmtId="0" fontId="9" fillId="0"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2" fontId="10" fillId="0" borderId="1" xfId="0" applyNumberFormat="1" applyFont="1" applyFill="1" applyBorder="1" applyAlignment="1">
      <alignment horizontal="center" vertical="center" wrapText="1"/>
    </xf>
    <xf numFmtId="2" fontId="11" fillId="0" borderId="1" xfId="0" applyNumberFormat="1" applyFont="1" applyFill="1" applyBorder="1" applyAlignment="1">
      <alignment horizontal="center" vertical="center" wrapText="1"/>
    </xf>
    <xf numFmtId="2" fontId="9" fillId="0" borderId="1" xfId="0" applyNumberFormat="1" applyFont="1" applyFill="1" applyBorder="1" applyAlignment="1">
      <alignment horizontal="center" vertical="center" wrapText="1"/>
    </xf>
    <xf numFmtId="0" fontId="8" fillId="0" borderId="1" xfId="0" applyFont="1" applyFill="1" applyBorder="1" applyAlignment="1">
      <alignment horizontal="center" vertical="center" wrapText="1"/>
    </xf>
    <xf numFmtId="0" fontId="12" fillId="0" borderId="1" xfId="0" applyFont="1" applyFill="1" applyBorder="1" applyAlignment="1">
      <alignment horizontal="center" vertical="center" wrapText="1"/>
    </xf>
    <xf numFmtId="2" fontId="12" fillId="0" borderId="1" xfId="0" applyNumberFormat="1" applyFont="1" applyFill="1" applyBorder="1" applyAlignment="1">
      <alignment horizontal="center" vertical="center" wrapText="1"/>
    </xf>
    <xf numFmtId="0" fontId="8" fillId="0" borderId="5" xfId="0" applyFont="1" applyFill="1" applyBorder="1" applyAlignment="1">
      <alignment horizontal="center" vertical="center" wrapText="1"/>
    </xf>
    <xf numFmtId="0" fontId="12" fillId="0" borderId="5" xfId="0" applyFont="1" applyFill="1" applyBorder="1" applyAlignment="1">
      <alignment horizontal="center" vertical="center" wrapText="1"/>
    </xf>
    <xf numFmtId="2" fontId="12" fillId="0" borderId="5" xfId="0" applyNumberFormat="1" applyFont="1" applyFill="1" applyBorder="1" applyAlignment="1">
      <alignment horizontal="center" vertical="center" wrapText="1"/>
    </xf>
    <xf numFmtId="0" fontId="8" fillId="0" borderId="6" xfId="0" applyFont="1" applyFill="1" applyBorder="1" applyAlignment="1">
      <alignment horizontal="center" vertical="center" wrapText="1"/>
    </xf>
    <xf numFmtId="0" fontId="12" fillId="0" borderId="6" xfId="0" applyFont="1" applyFill="1" applyBorder="1" applyAlignment="1">
      <alignment horizontal="center" vertical="center" wrapText="1"/>
    </xf>
    <xf numFmtId="2" fontId="12" fillId="0" borderId="6" xfId="0" applyNumberFormat="1" applyFont="1" applyFill="1" applyBorder="1" applyAlignment="1">
      <alignment horizontal="center" vertical="center" wrapText="1"/>
    </xf>
    <xf numFmtId="0" fontId="13" fillId="0" borderId="0" xfId="0" applyFont="1" applyBorder="1" applyAlignment="1">
      <alignment horizontal="center" vertical="center"/>
    </xf>
    <xf numFmtId="0" fontId="0" fillId="0" borderId="0" xfId="0" applyAlignment="1">
      <alignment horizontal="center" vertical="center"/>
    </xf>
    <xf numFmtId="9" fontId="0" fillId="0" borderId="2" xfId="0" applyNumberFormat="1" applyBorder="1" applyAlignment="1">
      <alignment horizontal="center" vertical="center"/>
    </xf>
    <xf numFmtId="0" fontId="0" fillId="0" borderId="6" xfId="0" applyBorder="1" applyAlignment="1">
      <alignment horizontal="center" vertical="center"/>
    </xf>
    <xf numFmtId="179" fontId="0" fillId="0" borderId="2" xfId="0" applyNumberFormat="1" applyBorder="1" applyAlignment="1">
      <alignment horizontal="center" vertical="center"/>
    </xf>
    <xf numFmtId="179" fontId="0" fillId="0" borderId="6" xfId="0" applyNumberFormat="1" applyBorder="1" applyAlignment="1">
      <alignment horizontal="center" vertical="center"/>
    </xf>
    <xf numFmtId="2" fontId="14" fillId="3" borderId="2" xfId="0" applyNumberFormat="1" applyFont="1" applyFill="1" applyBorder="1" applyAlignment="1">
      <alignment horizontal="center" vertical="center" wrapText="1"/>
    </xf>
    <xf numFmtId="2" fontId="14" fillId="3" borderId="6" xfId="0" applyNumberFormat="1" applyFont="1" applyFill="1" applyBorder="1" applyAlignment="1">
      <alignment horizontal="center" vertical="center" wrapText="1"/>
    </xf>
    <xf numFmtId="2" fontId="12" fillId="3" borderId="2" xfId="0" applyNumberFormat="1" applyFont="1" applyFill="1" applyBorder="1" applyAlignment="1">
      <alignment horizontal="center" vertical="center" wrapText="1"/>
    </xf>
    <xf numFmtId="2" fontId="12" fillId="3" borderId="6" xfId="0" applyNumberFormat="1" applyFont="1" applyFill="1" applyBorder="1" applyAlignment="1">
      <alignment horizontal="center" vertical="center" wrapText="1"/>
    </xf>
    <xf numFmtId="0" fontId="0" fillId="0" borderId="0" xfId="0" applyAlignment="1">
      <alignment vertical="center"/>
    </xf>
    <xf numFmtId="0" fontId="0" fillId="0" borderId="0" xfId="0" applyBorder="1" applyAlignment="1">
      <alignment horizontal="center" vertical="center"/>
    </xf>
    <xf numFmtId="2" fontId="15" fillId="0" borderId="1" xfId="0" applyNumberFormat="1" applyFont="1" applyBorder="1" applyAlignment="1">
      <alignment horizontal="center" vertical="center"/>
    </xf>
    <xf numFmtId="0" fontId="15" fillId="0" borderId="0" xfId="0" applyFont="1" applyBorder="1" applyAlignment="1">
      <alignment horizontal="center" vertical="center"/>
    </xf>
    <xf numFmtId="178" fontId="15" fillId="0" borderId="0" xfId="0" applyNumberFormat="1" applyFont="1" applyBorder="1" applyAlignment="1">
      <alignment horizontal="center" vertical="center"/>
    </xf>
    <xf numFmtId="178" fontId="15" fillId="0" borderId="0" xfId="0" applyNumberFormat="1" applyFont="1" applyFill="1" applyBorder="1" applyAlignment="1">
      <alignment horizontal="center" vertical="center"/>
    </xf>
    <xf numFmtId="178" fontId="15" fillId="0" borderId="4" xfId="0" applyNumberFormat="1" applyFont="1" applyFill="1" applyBorder="1" applyAlignment="1">
      <alignment horizontal="center" vertical="center"/>
    </xf>
    <xf numFmtId="0" fontId="0" fillId="0" borderId="3" xfId="0" applyBorder="1" applyAlignment="1">
      <alignment horizontal="center" vertical="center"/>
    </xf>
    <xf numFmtId="179" fontId="0" fillId="0" borderId="3" xfId="0" applyNumberFormat="1" applyBorder="1" applyAlignment="1">
      <alignment horizontal="center" vertical="center"/>
    </xf>
    <xf numFmtId="2" fontId="14" fillId="3" borderId="3" xfId="0" applyNumberFormat="1" applyFont="1" applyFill="1" applyBorder="1" applyAlignment="1">
      <alignment horizontal="center" vertical="center" wrapText="1"/>
    </xf>
    <xf numFmtId="2" fontId="12" fillId="3" borderId="3" xfId="0" applyNumberFormat="1" applyFont="1" applyFill="1" applyBorder="1" applyAlignment="1">
      <alignment horizontal="center" vertical="center" wrapText="1"/>
    </xf>
    <xf numFmtId="0" fontId="16" fillId="0" borderId="0" xfId="0" applyFont="1"/>
    <xf numFmtId="10" fontId="16" fillId="0" borderId="0" xfId="3" applyNumberFormat="1" applyFont="1" applyAlignment="1"/>
    <xf numFmtId="0" fontId="16" fillId="0" borderId="0" xfId="0" applyFont="1" applyAlignment="1">
      <alignment vertical="center"/>
    </xf>
    <xf numFmtId="10" fontId="16" fillId="2" borderId="0" xfId="3" applyNumberFormat="1" applyFont="1" applyFill="1">
      <alignment vertical="center"/>
    </xf>
    <xf numFmtId="0" fontId="17" fillId="0" borderId="1" xfId="0" applyFont="1" applyFill="1" applyBorder="1" applyAlignment="1">
      <alignment horizontal="justify" vertical="center" wrapText="1"/>
    </xf>
    <xf numFmtId="0" fontId="17" fillId="2" borderId="1" xfId="0" applyFont="1" applyFill="1" applyBorder="1" applyAlignment="1">
      <alignment horizontal="justify" vertical="center" wrapText="1"/>
    </xf>
    <xf numFmtId="179" fontId="18" fillId="0" borderId="1" xfId="0" applyNumberFormat="1" applyFont="1" applyFill="1" applyBorder="1" applyAlignment="1">
      <alignment horizontal="center" vertical="center" wrapText="1"/>
    </xf>
    <xf numFmtId="179" fontId="18" fillId="2" borderId="1" xfId="0" applyNumberFormat="1" applyFont="1" applyFill="1" applyBorder="1" applyAlignment="1">
      <alignment horizontal="center" vertical="center" wrapText="1"/>
    </xf>
    <xf numFmtId="0" fontId="18" fillId="0" borderId="1" xfId="0" applyFont="1" applyFill="1" applyBorder="1" applyAlignment="1">
      <alignment horizontal="justify" vertical="center" wrapText="1"/>
    </xf>
    <xf numFmtId="0" fontId="17" fillId="0" borderId="1" xfId="0" applyFont="1" applyFill="1" applyBorder="1" applyAlignment="1">
      <alignment horizontal="left" vertical="center" wrapText="1"/>
    </xf>
    <xf numFmtId="0" fontId="17" fillId="0" borderId="1" xfId="0" applyFont="1" applyFill="1" applyBorder="1" applyAlignment="1">
      <alignment horizontal="center" vertical="center" wrapText="1"/>
    </xf>
    <xf numFmtId="0" fontId="19" fillId="0" borderId="0" xfId="0" applyFont="1" applyFill="1" applyAlignment="1">
      <alignment horizontal="center" vertical="center"/>
    </xf>
    <xf numFmtId="10" fontId="16" fillId="0" borderId="0" xfId="3" applyNumberFormat="1" applyFont="1" applyFill="1" applyAlignment="1">
      <alignment vertical="center"/>
    </xf>
    <xf numFmtId="0" fontId="16" fillId="0"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vertical="center" wrapText="1"/>
    </xf>
    <xf numFmtId="0" fontId="3" fillId="0" borderId="4" xfId="0" applyFont="1" applyFill="1" applyBorder="1" applyAlignment="1">
      <alignment horizontal="center" vertical="center"/>
    </xf>
    <xf numFmtId="0" fontId="4" fillId="0" borderId="2" xfId="0" applyFont="1" applyFill="1" applyBorder="1" applyAlignment="1">
      <alignment horizontal="center" vertical="center"/>
    </xf>
    <xf numFmtId="0" fontId="4" fillId="0" borderId="6" xfId="0" applyFont="1" applyFill="1" applyBorder="1" applyAlignment="1">
      <alignment horizontal="center" vertical="center"/>
    </xf>
    <xf numFmtId="0" fontId="4" fillId="0" borderId="3" xfId="0" applyFont="1" applyFill="1" applyBorder="1" applyAlignment="1">
      <alignment horizontal="center" vertical="center"/>
    </xf>
    <xf numFmtId="0" fontId="4" fillId="0" borderId="1" xfId="0" applyFont="1" applyFill="1" applyBorder="1" applyAlignment="1">
      <alignment horizontal="center" vertical="center"/>
    </xf>
    <xf numFmtId="0" fontId="16" fillId="0" borderId="1" xfId="0" applyFont="1" applyFill="1" applyBorder="1" applyAlignment="1">
      <alignment horizontal="center" vertical="center" wrapText="1"/>
    </xf>
    <xf numFmtId="179" fontId="5" fillId="0" borderId="1" xfId="0" applyNumberFormat="1" applyFont="1" applyFill="1" applyBorder="1" applyAlignment="1">
      <alignment horizontal="center" vertical="center" wrapText="1"/>
    </xf>
    <xf numFmtId="179" fontId="5" fillId="2"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16" fillId="2" borderId="2" xfId="0" applyFont="1" applyFill="1" applyBorder="1" applyAlignment="1">
      <alignment horizontal="center" vertical="center"/>
    </xf>
    <xf numFmtId="0" fontId="16" fillId="2" borderId="6" xfId="0" applyFont="1" applyFill="1" applyBorder="1" applyAlignment="1">
      <alignment horizontal="center" vertical="center"/>
    </xf>
    <xf numFmtId="0" fontId="16" fillId="2" borderId="3" xfId="0" applyFont="1" applyFill="1" applyBorder="1" applyAlignment="1">
      <alignment horizontal="center" vertical="center"/>
    </xf>
    <xf numFmtId="0" fontId="16" fillId="0" borderId="2" xfId="0" applyFont="1" applyFill="1" applyBorder="1" applyAlignment="1">
      <alignment horizontal="center" vertical="center"/>
    </xf>
    <xf numFmtId="0" fontId="16" fillId="0" borderId="6" xfId="0" applyFont="1" applyFill="1" applyBorder="1" applyAlignment="1">
      <alignment horizontal="center" vertical="center"/>
    </xf>
    <xf numFmtId="0" fontId="16" fillId="0" borderId="3" xfId="0" applyFont="1" applyFill="1" applyBorder="1" applyAlignment="1">
      <alignment horizontal="center" vertical="center"/>
    </xf>
    <xf numFmtId="179" fontId="16" fillId="0" borderId="1" xfId="0" applyNumberFormat="1" applyFont="1" applyFill="1" applyBorder="1" applyAlignment="1">
      <alignment vertical="center"/>
    </xf>
    <xf numFmtId="179" fontId="16" fillId="2" borderId="1" xfId="0" applyNumberFormat="1" applyFont="1" applyFill="1" applyBorder="1" applyAlignment="1">
      <alignment vertical="center"/>
    </xf>
    <xf numFmtId="0" fontId="16" fillId="0" borderId="1" xfId="0" applyFont="1" applyFill="1" applyBorder="1" applyAlignment="1">
      <alignment horizontal="center" vertical="center"/>
    </xf>
    <xf numFmtId="179" fontId="18" fillId="0" borderId="1" xfId="0" applyNumberFormat="1"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Q94"/>
  <sheetViews>
    <sheetView topLeftCell="A4" workbookViewId="0">
      <selection activeCell="B25" sqref="B11:P11 B16:P16 B22:P23 B25:P25"/>
    </sheetView>
  </sheetViews>
  <sheetFormatPr defaultColWidth="9" defaultRowHeight="13.8"/>
  <cols>
    <col min="1" max="1" width="11.1296296296296" customWidth="1"/>
    <col min="2" max="2" width="15.1296296296296" customWidth="1"/>
    <col min="3" max="3" width="10.6296296296296" customWidth="1"/>
    <col min="4" max="4" width="10.75" customWidth="1"/>
    <col min="5" max="6" width="10.6296296296296" customWidth="1"/>
    <col min="7" max="14" width="10.5" customWidth="1"/>
    <col min="15" max="17" width="11.6296296296296" customWidth="1"/>
  </cols>
  <sheetData>
    <row r="4" spans="1:17">
      <c r="A4" s="72"/>
      <c r="B4" s="72"/>
      <c r="C4" s="72"/>
      <c r="D4" s="72"/>
      <c r="E4" s="72"/>
      <c r="F4" s="72"/>
      <c r="G4" s="72"/>
      <c r="H4" s="72"/>
      <c r="I4" s="72"/>
      <c r="J4" s="72"/>
      <c r="K4" s="72"/>
      <c r="L4" s="72"/>
      <c r="M4" s="72"/>
      <c r="N4" s="72"/>
      <c r="O4" s="72"/>
      <c r="P4" s="72"/>
      <c r="Q4" s="72"/>
    </row>
    <row r="5" spans="1:17">
      <c r="A5" s="72"/>
      <c r="B5" s="72"/>
      <c r="C5" s="72"/>
      <c r="D5" s="72"/>
      <c r="E5" s="72"/>
      <c r="F5" s="72"/>
      <c r="G5" s="72"/>
      <c r="H5" s="72"/>
      <c r="I5" s="72"/>
      <c r="J5" s="72"/>
      <c r="K5" s="72"/>
      <c r="L5" s="72"/>
      <c r="M5" s="72"/>
      <c r="N5" s="72"/>
      <c r="O5" s="72"/>
      <c r="P5" s="72"/>
      <c r="Q5" s="72"/>
    </row>
    <row r="6" spans="1:17">
      <c r="A6" s="72"/>
      <c r="B6" s="72"/>
      <c r="C6" s="72"/>
      <c r="D6" s="72"/>
      <c r="E6" s="72"/>
      <c r="F6" s="73">
        <f>(F12-E12)/E12</f>
        <v>0.240781061892233</v>
      </c>
      <c r="G6" s="72">
        <f>(G12-F12)/F12</f>
        <v>0.2517</v>
      </c>
      <c r="H6" s="72"/>
      <c r="I6" s="72"/>
      <c r="J6" s="72"/>
      <c r="K6" s="72"/>
      <c r="L6" s="72"/>
      <c r="M6" s="72"/>
      <c r="N6" s="72"/>
      <c r="O6" s="72"/>
      <c r="P6" s="72"/>
      <c r="Q6" s="72"/>
    </row>
    <row r="7" spans="1:17">
      <c r="A7" s="74"/>
      <c r="B7" s="74"/>
      <c r="C7" s="74"/>
      <c r="D7" s="74"/>
      <c r="E7" s="74"/>
      <c r="F7" s="74"/>
      <c r="G7" s="74" t="s">
        <v>0</v>
      </c>
      <c r="H7" s="74"/>
      <c r="I7" s="74"/>
      <c r="J7" s="74"/>
      <c r="K7" s="74"/>
      <c r="L7" s="74"/>
      <c r="M7" s="74"/>
      <c r="N7" s="74"/>
      <c r="O7" s="74"/>
      <c r="P7" s="74"/>
      <c r="Q7" s="72"/>
    </row>
    <row r="8" spans="1:17">
      <c r="A8" s="74"/>
      <c r="B8" s="74" t="s">
        <v>1</v>
      </c>
      <c r="C8" s="74"/>
      <c r="D8" s="74"/>
      <c r="E8" s="74"/>
      <c r="F8" s="74"/>
      <c r="G8" s="75">
        <f>ROUND((F12/C12)^(1/3)-1,4)</f>
        <v>0.2517</v>
      </c>
      <c r="H8" s="74"/>
      <c r="I8" s="74"/>
      <c r="J8" s="74"/>
      <c r="K8" s="74"/>
      <c r="L8" s="74"/>
      <c r="M8" s="74"/>
      <c r="N8" s="74"/>
      <c r="O8" s="74"/>
      <c r="P8" s="74"/>
      <c r="Q8" s="72"/>
    </row>
    <row r="9" spans="1:17">
      <c r="A9" s="76" t="s">
        <v>2</v>
      </c>
      <c r="B9" s="76" t="s">
        <v>3</v>
      </c>
      <c r="C9" s="76">
        <v>2021</v>
      </c>
      <c r="D9" s="76">
        <v>2022</v>
      </c>
      <c r="E9" s="76">
        <v>2023</v>
      </c>
      <c r="F9" s="76">
        <v>2024</v>
      </c>
      <c r="G9" s="77">
        <v>2025</v>
      </c>
      <c r="H9" s="76">
        <v>2026</v>
      </c>
      <c r="I9" s="76">
        <v>2027</v>
      </c>
      <c r="J9" s="76">
        <v>2028</v>
      </c>
      <c r="K9" s="76">
        <v>2029</v>
      </c>
      <c r="L9" s="76">
        <v>2030</v>
      </c>
      <c r="M9" s="76">
        <v>2031</v>
      </c>
      <c r="N9" s="76">
        <v>2032</v>
      </c>
      <c r="O9" s="76">
        <v>2033</v>
      </c>
      <c r="P9" s="76">
        <v>2034</v>
      </c>
      <c r="Q9" s="72"/>
    </row>
    <row r="10" spans="1:17">
      <c r="A10" s="76" t="s">
        <v>4</v>
      </c>
      <c r="B10" s="76" t="s">
        <v>5</v>
      </c>
      <c r="C10" s="78">
        <f>C11</f>
        <v>14193.78</v>
      </c>
      <c r="D10" s="78">
        <f>D11</f>
        <v>17918.63</v>
      </c>
      <c r="E10" s="78">
        <f>E11</f>
        <v>22435.61</v>
      </c>
      <c r="F10" s="78">
        <f>F11</f>
        <v>27837.68</v>
      </c>
      <c r="G10" s="79">
        <f>G11</f>
        <v>42626.424056</v>
      </c>
      <c r="H10" s="78">
        <f t="shared" ref="H10:P10" si="0">H11</f>
        <v>51396.7655908952</v>
      </c>
      <c r="I10" s="78">
        <f t="shared" si="0"/>
        <v>62374.6020901235</v>
      </c>
      <c r="J10" s="78">
        <f t="shared" si="0"/>
        <v>76115.5600362076</v>
      </c>
      <c r="K10" s="78">
        <f t="shared" si="0"/>
        <v>92568.1170973211</v>
      </c>
      <c r="L10" s="78">
        <f t="shared" si="0"/>
        <v>114096.802670717</v>
      </c>
      <c r="M10" s="78">
        <f t="shared" si="0"/>
        <v>141044.258402936</v>
      </c>
      <c r="N10" s="78">
        <f t="shared" si="0"/>
        <v>174774.388742955</v>
      </c>
      <c r="O10" s="78">
        <f t="shared" si="0"/>
        <v>216994.392889557</v>
      </c>
      <c r="P10" s="78">
        <f t="shared" si="0"/>
        <v>269841.172079859</v>
      </c>
      <c r="Q10" s="72"/>
    </row>
    <row r="11" spans="1:17">
      <c r="A11" s="76">
        <v>1.1</v>
      </c>
      <c r="B11" s="77" t="s">
        <v>6</v>
      </c>
      <c r="C11" s="78">
        <f t="shared" ref="C11:H11" si="1">SUM(C12:C14)</f>
        <v>14193.78</v>
      </c>
      <c r="D11" s="78">
        <f t="shared" si="1"/>
        <v>17918.63</v>
      </c>
      <c r="E11" s="78">
        <f t="shared" si="1"/>
        <v>22435.61</v>
      </c>
      <c r="F11" s="78">
        <f t="shared" si="1"/>
        <v>27837.68</v>
      </c>
      <c r="G11" s="79">
        <f t="shared" si="1"/>
        <v>42626.424056</v>
      </c>
      <c r="H11" s="78">
        <f t="shared" si="1"/>
        <v>51396.7655908952</v>
      </c>
      <c r="I11" s="78">
        <f t="shared" ref="I11:P11" si="2">SUM(I12:I14)</f>
        <v>62374.6020901235</v>
      </c>
      <c r="J11" s="78">
        <f t="shared" si="2"/>
        <v>76115.5600362076</v>
      </c>
      <c r="K11" s="78">
        <f t="shared" si="2"/>
        <v>92568.1170973211</v>
      </c>
      <c r="L11" s="78">
        <f t="shared" si="2"/>
        <v>114096.802670717</v>
      </c>
      <c r="M11" s="78">
        <f t="shared" si="2"/>
        <v>141044.258402936</v>
      </c>
      <c r="N11" s="78">
        <f t="shared" si="2"/>
        <v>174774.388742955</v>
      </c>
      <c r="O11" s="78">
        <f t="shared" si="2"/>
        <v>216994.392889557</v>
      </c>
      <c r="P11" s="78">
        <f t="shared" si="2"/>
        <v>269841.172079859</v>
      </c>
      <c r="Q11" s="72"/>
    </row>
    <row r="12" ht="27.6" spans="1:17">
      <c r="A12" s="76"/>
      <c r="B12" s="76" t="s">
        <v>7</v>
      </c>
      <c r="C12" s="78">
        <v>14193.78</v>
      </c>
      <c r="D12" s="78">
        <v>17918.63</v>
      </c>
      <c r="E12" s="78">
        <v>22435.61</v>
      </c>
      <c r="F12" s="78">
        <v>27837.68</v>
      </c>
      <c r="G12" s="79">
        <f>F12*(1+$G$8)</f>
        <v>34844.424056</v>
      </c>
      <c r="H12" s="78">
        <f t="shared" ref="H12:P12" si="3">G12*(1+$G$8)</f>
        <v>43614.7655908952</v>
      </c>
      <c r="I12" s="78">
        <f t="shared" si="3"/>
        <v>54592.6020901235</v>
      </c>
      <c r="J12" s="78">
        <f t="shared" si="3"/>
        <v>68333.5600362076</v>
      </c>
      <c r="K12" s="78">
        <f t="shared" si="3"/>
        <v>85533.1170973211</v>
      </c>
      <c r="L12" s="78">
        <f t="shared" si="3"/>
        <v>107061.802670717</v>
      </c>
      <c r="M12" s="78">
        <f t="shared" si="3"/>
        <v>134009.258402936</v>
      </c>
      <c r="N12" s="78">
        <f t="shared" si="3"/>
        <v>167739.388742955</v>
      </c>
      <c r="O12" s="78">
        <f t="shared" si="3"/>
        <v>209959.392889557</v>
      </c>
      <c r="P12" s="78">
        <f t="shared" si="3"/>
        <v>262806.172079859</v>
      </c>
      <c r="Q12" s="72"/>
    </row>
    <row r="13" spans="1:17">
      <c r="A13" s="76"/>
      <c r="B13" s="76" t="s">
        <v>8</v>
      </c>
      <c r="C13" s="78"/>
      <c r="D13" s="78"/>
      <c r="E13" s="78"/>
      <c r="F13" s="78"/>
      <c r="G13" s="79">
        <v>6000</v>
      </c>
      <c r="H13" s="78">
        <f t="shared" ref="H13:P14" si="4">G13</f>
        <v>6000</v>
      </c>
      <c r="I13" s="78">
        <f t="shared" si="4"/>
        <v>6000</v>
      </c>
      <c r="J13" s="78">
        <f t="shared" si="4"/>
        <v>6000</v>
      </c>
      <c r="K13" s="78">
        <f t="shared" si="4"/>
        <v>6000</v>
      </c>
      <c r="L13" s="78">
        <f t="shared" si="4"/>
        <v>6000</v>
      </c>
      <c r="M13" s="78">
        <f t="shared" si="4"/>
        <v>6000</v>
      </c>
      <c r="N13" s="78">
        <f t="shared" si="4"/>
        <v>6000</v>
      </c>
      <c r="O13" s="78">
        <f t="shared" si="4"/>
        <v>6000</v>
      </c>
      <c r="P13" s="78">
        <f t="shared" si="4"/>
        <v>6000</v>
      </c>
      <c r="Q13" s="72"/>
    </row>
    <row r="14" spans="1:17">
      <c r="A14" s="76"/>
      <c r="B14" s="76" t="s">
        <v>9</v>
      </c>
      <c r="C14" s="78"/>
      <c r="D14" s="78"/>
      <c r="E14" s="78"/>
      <c r="F14" s="78"/>
      <c r="G14" s="79">
        <v>1782</v>
      </c>
      <c r="H14" s="78">
        <f t="shared" si="4"/>
        <v>1782</v>
      </c>
      <c r="I14" s="78">
        <f t="shared" si="4"/>
        <v>1782</v>
      </c>
      <c r="J14" s="78">
        <f t="shared" si="4"/>
        <v>1782</v>
      </c>
      <c r="K14" s="106">
        <v>1035</v>
      </c>
      <c r="L14" s="106">
        <f>K14</f>
        <v>1035</v>
      </c>
      <c r="M14" s="106">
        <f>L14</f>
        <v>1035</v>
      </c>
      <c r="N14" s="106">
        <f>M14</f>
        <v>1035</v>
      </c>
      <c r="O14" s="106">
        <f>N14</f>
        <v>1035</v>
      </c>
      <c r="P14" s="106">
        <f>O14</f>
        <v>1035</v>
      </c>
      <c r="Q14" s="72"/>
    </row>
    <row r="15" spans="1:17">
      <c r="A15" s="76" t="s">
        <v>10</v>
      </c>
      <c r="B15" s="76" t="s">
        <v>11</v>
      </c>
      <c r="C15" s="78">
        <f t="shared" ref="C15:P15" si="5">C16+C17+C20+C21</f>
        <v>13744.56617425</v>
      </c>
      <c r="D15" s="78">
        <f t="shared" si="5"/>
        <v>16016.3656648175</v>
      </c>
      <c r="E15" s="78">
        <f t="shared" si="5"/>
        <v>19070.0197129852</v>
      </c>
      <c r="F15" s="78">
        <f t="shared" si="5"/>
        <v>22317.863950625</v>
      </c>
      <c r="G15" s="79">
        <f t="shared" si="5"/>
        <v>28585.9923420757</v>
      </c>
      <c r="H15" s="78">
        <f t="shared" si="5"/>
        <v>34329.6849946479</v>
      </c>
      <c r="I15" s="78">
        <f t="shared" si="5"/>
        <v>41600.8881002191</v>
      </c>
      <c r="J15" s="78">
        <f t="shared" si="5"/>
        <v>50816.6572696041</v>
      </c>
      <c r="K15" s="78">
        <f t="shared" si="5"/>
        <v>61984.2506863165</v>
      </c>
      <c r="L15" s="78">
        <f t="shared" si="5"/>
        <v>76829.2132446366</v>
      </c>
      <c r="M15" s="78">
        <f t="shared" si="5"/>
        <v>95690.391108609</v>
      </c>
      <c r="N15" s="78">
        <f t="shared" si="5"/>
        <v>119667.647352789</v>
      </c>
      <c r="O15" s="78">
        <f t="shared" si="5"/>
        <v>150162.755568449</v>
      </c>
      <c r="P15" s="78">
        <f t="shared" si="5"/>
        <v>188962.348597695</v>
      </c>
      <c r="Q15" s="72"/>
    </row>
    <row r="16" spans="1:17">
      <c r="A16" s="76">
        <v>2.1</v>
      </c>
      <c r="B16" s="76" t="s">
        <v>12</v>
      </c>
      <c r="C16" s="78">
        <f>D46</f>
        <v>11013.75617425</v>
      </c>
      <c r="D16" s="78">
        <f>E46</f>
        <v>13186.9056648175</v>
      </c>
      <c r="E16" s="78">
        <f t="shared" ref="E16:P16" si="6">F46</f>
        <v>16299.4497129852</v>
      </c>
      <c r="F16" s="78">
        <f t="shared" si="6"/>
        <v>19660.4685121128</v>
      </c>
      <c r="G16" s="78">
        <f t="shared" si="6"/>
        <v>26160.2254669528</v>
      </c>
      <c r="H16" s="78">
        <f t="shared" si="6"/>
        <v>31848.6398168721</v>
      </c>
      <c r="I16" s="78">
        <f t="shared" si="6"/>
        <v>39059.6249826073</v>
      </c>
      <c r="J16" s="78">
        <f t="shared" si="6"/>
        <v>48209.228613699</v>
      </c>
      <c r="K16" s="78">
        <f t="shared" si="6"/>
        <v>59304.7157751712</v>
      </c>
      <c r="L16" s="78">
        <f t="shared" si="6"/>
        <v>74067.5069144304</v>
      </c>
      <c r="M16" s="78">
        <f t="shared" si="6"/>
        <v>92835.7277761901</v>
      </c>
      <c r="N16" s="78">
        <f t="shared" si="6"/>
        <v>116706.739328091</v>
      </c>
      <c r="O16" s="78">
        <f t="shared" si="6"/>
        <v>147079.167269764</v>
      </c>
      <c r="P16" s="78">
        <f t="shared" si="6"/>
        <v>185735.68154339</v>
      </c>
      <c r="Q16" s="72"/>
    </row>
    <row r="17" spans="1:17">
      <c r="A17" s="76">
        <v>2.2</v>
      </c>
      <c r="B17" s="76" t="s">
        <v>13</v>
      </c>
      <c r="C17" s="78">
        <f>C18+C19</f>
        <v>1158.97</v>
      </c>
      <c r="D17" s="78">
        <f>D18+D19</f>
        <v>1205.74</v>
      </c>
      <c r="E17" s="78">
        <f t="shared" ref="E17:G17" si="7">E18+E19</f>
        <v>1253.91</v>
      </c>
      <c r="F17" s="78">
        <f t="shared" si="7"/>
        <v>1303.52</v>
      </c>
      <c r="G17" s="79">
        <f t="shared" si="7"/>
        <v>1342.6256</v>
      </c>
      <c r="H17" s="78">
        <f t="shared" ref="H17:P17" si="8">H18+H19</f>
        <v>1382.904368</v>
      </c>
      <c r="I17" s="78">
        <f t="shared" si="8"/>
        <v>1424.39149904</v>
      </c>
      <c r="J17" s="78">
        <f t="shared" si="8"/>
        <v>1467.1232440112</v>
      </c>
      <c r="K17" s="78">
        <f t="shared" si="8"/>
        <v>1511.13694133154</v>
      </c>
      <c r="L17" s="78">
        <f t="shared" si="8"/>
        <v>1556.47104957148</v>
      </c>
      <c r="M17" s="78">
        <f t="shared" si="8"/>
        <v>1603.16518105863</v>
      </c>
      <c r="N17" s="78">
        <f t="shared" si="8"/>
        <v>1651.26013649039</v>
      </c>
      <c r="O17" s="78">
        <f t="shared" si="8"/>
        <v>1700.7979405851</v>
      </c>
      <c r="P17" s="78">
        <f t="shared" si="8"/>
        <v>1751.82187880265</v>
      </c>
      <c r="Q17" s="72"/>
    </row>
    <row r="18" ht="27.6" spans="1:17">
      <c r="A18" s="80" t="s">
        <v>14</v>
      </c>
      <c r="B18" s="80" t="s">
        <v>15</v>
      </c>
      <c r="C18" s="78">
        <f>529.45</f>
        <v>529.45</v>
      </c>
      <c r="D18" s="78">
        <f>545.33</f>
        <v>545.33</v>
      </c>
      <c r="E18" s="78">
        <f>561.69</f>
        <v>561.69</v>
      </c>
      <c r="F18" s="78">
        <f>578.54</f>
        <v>578.54</v>
      </c>
      <c r="G18" s="79">
        <f>F18*1.03</f>
        <v>595.8962</v>
      </c>
      <c r="H18" s="78">
        <f>G18*1.03</f>
        <v>613.773086</v>
      </c>
      <c r="I18" s="78">
        <f t="shared" ref="H18:P19" si="9">H18*1.03</f>
        <v>632.18627858</v>
      </c>
      <c r="J18" s="106">
        <f t="shared" si="9"/>
        <v>651.1518669374</v>
      </c>
      <c r="K18" s="106">
        <f t="shared" si="9"/>
        <v>670.686422945522</v>
      </c>
      <c r="L18" s="106">
        <f t="shared" si="9"/>
        <v>690.807015633888</v>
      </c>
      <c r="M18" s="106">
        <f t="shared" si="9"/>
        <v>711.531226102904</v>
      </c>
      <c r="N18" s="106">
        <f t="shared" si="9"/>
        <v>732.877162885992</v>
      </c>
      <c r="O18" s="106">
        <f t="shared" si="9"/>
        <v>754.863477772571</v>
      </c>
      <c r="P18" s="106">
        <f t="shared" si="9"/>
        <v>777.509382105749</v>
      </c>
      <c r="Q18" s="72"/>
    </row>
    <row r="19" ht="27.6" spans="1:17">
      <c r="A19" s="80" t="s">
        <v>14</v>
      </c>
      <c r="B19" s="80" t="s">
        <v>16</v>
      </c>
      <c r="C19" s="78">
        <v>629.52</v>
      </c>
      <c r="D19" s="78">
        <v>660.41</v>
      </c>
      <c r="E19" s="78">
        <v>692.22</v>
      </c>
      <c r="F19" s="78">
        <v>724.98</v>
      </c>
      <c r="G19" s="79">
        <f>F19*1.03</f>
        <v>746.7294</v>
      </c>
      <c r="H19" s="78">
        <f t="shared" si="9"/>
        <v>769.131282</v>
      </c>
      <c r="I19" s="78">
        <f t="shared" si="9"/>
        <v>792.20522046</v>
      </c>
      <c r="J19" s="106">
        <f>I19*1.03</f>
        <v>815.9713770738</v>
      </c>
      <c r="K19" s="106">
        <f t="shared" si="9"/>
        <v>840.450518386014</v>
      </c>
      <c r="L19" s="106">
        <f t="shared" si="9"/>
        <v>865.664033937595</v>
      </c>
      <c r="M19" s="106">
        <f t="shared" si="9"/>
        <v>891.633954955722</v>
      </c>
      <c r="N19" s="106">
        <f t="shared" si="9"/>
        <v>918.382973604394</v>
      </c>
      <c r="O19" s="106">
        <f t="shared" si="9"/>
        <v>945.934462812526</v>
      </c>
      <c r="P19" s="106">
        <f t="shared" si="9"/>
        <v>974.312496696902</v>
      </c>
      <c r="Q19" s="72"/>
    </row>
    <row r="20" ht="27.6" spans="1:17">
      <c r="A20" s="76">
        <v>2.3</v>
      </c>
      <c r="B20" s="76" t="s">
        <v>17</v>
      </c>
      <c r="C20" s="78">
        <f>3003.86/2</f>
        <v>1501.93</v>
      </c>
      <c r="D20" s="78">
        <f>3091.94/2</f>
        <v>1545.97</v>
      </c>
      <c r="E20" s="78">
        <f>2854.5/2</f>
        <v>1427.25</v>
      </c>
      <c r="F20" s="78">
        <f>2607.54/2</f>
        <v>1303.77</v>
      </c>
      <c r="G20" s="79">
        <f>G32/2</f>
        <v>1012</v>
      </c>
      <c r="H20" s="78">
        <f>H32/2</f>
        <v>1012.5</v>
      </c>
      <c r="I20" s="78">
        <f t="shared" ref="I20:P20" si="10">I32/2</f>
        <v>1013</v>
      </c>
      <c r="J20" s="78">
        <f t="shared" si="10"/>
        <v>1013.5</v>
      </c>
      <c r="K20" s="78">
        <f t="shared" si="10"/>
        <v>1014</v>
      </c>
      <c r="L20" s="78">
        <f t="shared" si="10"/>
        <v>1014.5</v>
      </c>
      <c r="M20" s="78">
        <f t="shared" si="10"/>
        <v>1015</v>
      </c>
      <c r="N20" s="78">
        <f t="shared" si="10"/>
        <v>1015.5</v>
      </c>
      <c r="O20" s="78">
        <f t="shared" si="10"/>
        <v>1016</v>
      </c>
      <c r="P20" s="78">
        <f t="shared" si="10"/>
        <v>1016.5</v>
      </c>
      <c r="Q20" s="72"/>
    </row>
    <row r="21" ht="27.6" spans="1:17">
      <c r="A21" s="81">
        <v>2.4</v>
      </c>
      <c r="B21" s="82" t="s">
        <v>18</v>
      </c>
      <c r="C21" s="78">
        <v>69.91</v>
      </c>
      <c r="D21" s="78">
        <v>77.75</v>
      </c>
      <c r="E21" s="78">
        <v>89.41</v>
      </c>
      <c r="F21" s="78">
        <f t="shared" ref="F21:P21" si="11">(F11+F16+F17+F20)*0.001</f>
        <v>50.1054385121128</v>
      </c>
      <c r="G21" s="79">
        <f t="shared" si="11"/>
        <v>71.1412751229528</v>
      </c>
      <c r="H21" s="78">
        <f t="shared" si="11"/>
        <v>85.6408097757673</v>
      </c>
      <c r="I21" s="78">
        <f t="shared" si="11"/>
        <v>103.871618571771</v>
      </c>
      <c r="J21" s="78">
        <f t="shared" si="11"/>
        <v>126.805411893918</v>
      </c>
      <c r="K21" s="78">
        <f t="shared" si="11"/>
        <v>154.397969813824</v>
      </c>
      <c r="L21" s="78">
        <f t="shared" si="11"/>
        <v>190.735280634719</v>
      </c>
      <c r="M21" s="78">
        <f t="shared" si="11"/>
        <v>236.498151360185</v>
      </c>
      <c r="N21" s="78">
        <f t="shared" si="11"/>
        <v>294.147888207537</v>
      </c>
      <c r="O21" s="78">
        <f t="shared" si="11"/>
        <v>366.790358099906</v>
      </c>
      <c r="P21" s="78">
        <f t="shared" si="11"/>
        <v>458.345175502052</v>
      </c>
      <c r="Q21" s="72"/>
    </row>
    <row r="22" spans="1:17">
      <c r="A22" s="76" t="s">
        <v>19</v>
      </c>
      <c r="B22" s="76" t="s">
        <v>20</v>
      </c>
      <c r="C22" s="78">
        <f t="shared" ref="C22:P22" si="12">C10-C15</f>
        <v>449.213825750001</v>
      </c>
      <c r="D22" s="78">
        <f t="shared" si="12"/>
        <v>1902.2643351825</v>
      </c>
      <c r="E22" s="78">
        <f t="shared" si="12"/>
        <v>3365.59028701477</v>
      </c>
      <c r="F22" s="78">
        <f t="shared" si="12"/>
        <v>5519.81604937504</v>
      </c>
      <c r="G22" s="79">
        <f t="shared" si="12"/>
        <v>14040.4317139243</v>
      </c>
      <c r="H22" s="78">
        <f t="shared" si="12"/>
        <v>17067.0805962473</v>
      </c>
      <c r="I22" s="78">
        <f t="shared" si="12"/>
        <v>20773.7139899044</v>
      </c>
      <c r="J22" s="106">
        <f t="shared" si="12"/>
        <v>25298.9027666035</v>
      </c>
      <c r="K22" s="106">
        <f t="shared" si="12"/>
        <v>30583.8664110045</v>
      </c>
      <c r="L22" s="106">
        <f t="shared" si="12"/>
        <v>37267.5894260802</v>
      </c>
      <c r="M22" s="106">
        <f t="shared" si="12"/>
        <v>45353.8672943273</v>
      </c>
      <c r="N22" s="106">
        <f t="shared" si="12"/>
        <v>55106.7413901662</v>
      </c>
      <c r="O22" s="106">
        <f t="shared" si="12"/>
        <v>66831.6373211084</v>
      </c>
      <c r="P22" s="106">
        <f t="shared" si="12"/>
        <v>80878.8234821636</v>
      </c>
      <c r="Q22" s="72"/>
    </row>
    <row r="23" spans="1:17">
      <c r="A23" s="76" t="s">
        <v>21</v>
      </c>
      <c r="B23" s="76" t="s">
        <v>22</v>
      </c>
      <c r="C23" s="78">
        <f>C22</f>
        <v>449.213825750001</v>
      </c>
      <c r="D23" s="78">
        <f t="shared" ref="D23:P23" si="13">D22</f>
        <v>1902.2643351825</v>
      </c>
      <c r="E23" s="78">
        <f t="shared" si="13"/>
        <v>3365.59028701477</v>
      </c>
      <c r="F23" s="78">
        <f t="shared" si="13"/>
        <v>5519.81604937504</v>
      </c>
      <c r="G23" s="79">
        <f t="shared" si="13"/>
        <v>14040.4317139243</v>
      </c>
      <c r="H23" s="78">
        <f t="shared" si="13"/>
        <v>17067.0805962473</v>
      </c>
      <c r="I23" s="78">
        <f t="shared" si="13"/>
        <v>20773.7139899044</v>
      </c>
      <c r="J23" s="106">
        <f t="shared" si="13"/>
        <v>25298.9027666035</v>
      </c>
      <c r="K23" s="106">
        <f t="shared" si="13"/>
        <v>30583.8664110045</v>
      </c>
      <c r="L23" s="106">
        <f t="shared" si="13"/>
        <v>37267.5894260802</v>
      </c>
      <c r="M23" s="106">
        <f t="shared" si="13"/>
        <v>45353.8672943273</v>
      </c>
      <c r="N23" s="106">
        <f t="shared" si="13"/>
        <v>55106.7413901662</v>
      </c>
      <c r="O23" s="106">
        <f t="shared" si="13"/>
        <v>66831.6373211084</v>
      </c>
      <c r="P23" s="106">
        <f t="shared" si="13"/>
        <v>80878.8234821636</v>
      </c>
      <c r="Q23" s="72"/>
    </row>
    <row r="24" ht="41.4" spans="1:17">
      <c r="A24" s="76" t="s">
        <v>23</v>
      </c>
      <c r="B24" s="76" t="s">
        <v>24</v>
      </c>
      <c r="C24" s="78">
        <f>C23*0.25</f>
        <v>112.3034564375</v>
      </c>
      <c r="D24" s="78">
        <f t="shared" ref="D24:J24" si="14">D23*0.25</f>
        <v>475.566083795626</v>
      </c>
      <c r="E24" s="78">
        <f t="shared" si="14"/>
        <v>841.397571753693</v>
      </c>
      <c r="F24" s="78">
        <f t="shared" si="14"/>
        <v>1379.95401234376</v>
      </c>
      <c r="G24" s="79">
        <f t="shared" si="14"/>
        <v>3510.10792848107</v>
      </c>
      <c r="H24" s="78">
        <f t="shared" si="14"/>
        <v>4266.77014906183</v>
      </c>
      <c r="I24" s="78">
        <f t="shared" si="14"/>
        <v>5193.42849747611</v>
      </c>
      <c r="J24" s="106">
        <f t="shared" si="14"/>
        <v>6324.72569165088</v>
      </c>
      <c r="K24" s="106">
        <f t="shared" ref="K24:P24" si="15">K23*0.25</f>
        <v>7645.96660275114</v>
      </c>
      <c r="L24" s="106">
        <f t="shared" si="15"/>
        <v>9316.89735652006</v>
      </c>
      <c r="M24" s="106">
        <f t="shared" si="15"/>
        <v>11338.4668235818</v>
      </c>
      <c r="N24" s="106">
        <f t="shared" si="15"/>
        <v>13776.6853475416</v>
      </c>
      <c r="O24" s="106">
        <f t="shared" si="15"/>
        <v>16707.9093302771</v>
      </c>
      <c r="P24" s="106">
        <f t="shared" si="15"/>
        <v>20219.7058705409</v>
      </c>
      <c r="Q24" s="72"/>
    </row>
    <row r="25" spans="1:17">
      <c r="A25" s="76" t="s">
        <v>25</v>
      </c>
      <c r="B25" s="76" t="s">
        <v>26</v>
      </c>
      <c r="C25" s="78">
        <f>C23-C24</f>
        <v>336.910369312501</v>
      </c>
      <c r="D25" s="78">
        <f t="shared" ref="D25:J25" si="16">D23-D24</f>
        <v>1426.69825138688</v>
      </c>
      <c r="E25" s="78">
        <f t="shared" si="16"/>
        <v>2524.19271526108</v>
      </c>
      <c r="F25" s="78">
        <f t="shared" si="16"/>
        <v>4139.86203703128</v>
      </c>
      <c r="G25" s="79">
        <f t="shared" si="16"/>
        <v>10530.3237854432</v>
      </c>
      <c r="H25" s="78">
        <f t="shared" si="16"/>
        <v>12800.3104471855</v>
      </c>
      <c r="I25" s="78">
        <f t="shared" si="16"/>
        <v>15580.2854924283</v>
      </c>
      <c r="J25" s="106">
        <f t="shared" si="16"/>
        <v>18974.1770749526</v>
      </c>
      <c r="K25" s="106">
        <f t="shared" ref="K25:P25" si="17">K23-K24</f>
        <v>22937.8998082534</v>
      </c>
      <c r="L25" s="106">
        <f t="shared" si="17"/>
        <v>27950.6920695602</v>
      </c>
      <c r="M25" s="106">
        <f t="shared" si="17"/>
        <v>34015.4004707455</v>
      </c>
      <c r="N25" s="106">
        <f t="shared" si="17"/>
        <v>41330.0560426247</v>
      </c>
      <c r="O25" s="106">
        <f t="shared" si="17"/>
        <v>50123.7279908313</v>
      </c>
      <c r="P25" s="106">
        <f t="shared" si="17"/>
        <v>60659.1176116227</v>
      </c>
      <c r="Q25" s="72"/>
    </row>
    <row r="26" spans="1:17">
      <c r="A26" s="72"/>
      <c r="B26" s="72"/>
      <c r="C26" s="73">
        <f>C25/C11</f>
        <v>0.0237364795926456</v>
      </c>
      <c r="D26" s="73">
        <f t="shared" ref="D26:P26" si="18">D25/D11</f>
        <v>0.079620944870611</v>
      </c>
      <c r="E26" s="73">
        <f t="shared" si="18"/>
        <v>0.112508316701043</v>
      </c>
      <c r="F26" s="73">
        <f t="shared" si="18"/>
        <v>0.148714333846473</v>
      </c>
      <c r="G26" s="73">
        <f t="shared" si="18"/>
        <v>0.247037466047096</v>
      </c>
      <c r="H26" s="73">
        <f t="shared" si="18"/>
        <v>0.249048948898314</v>
      </c>
      <c r="I26" s="73">
        <f t="shared" si="18"/>
        <v>0.249785729613421</v>
      </c>
      <c r="J26" s="73">
        <f t="shared" si="18"/>
        <v>0.249281185948402</v>
      </c>
      <c r="K26" s="73">
        <f t="shared" si="18"/>
        <v>0.247794818859044</v>
      </c>
      <c r="L26" s="73">
        <f t="shared" si="18"/>
        <v>0.244973491064652</v>
      </c>
      <c r="M26" s="73">
        <f t="shared" si="18"/>
        <v>0.241168274808961</v>
      </c>
      <c r="N26" s="73">
        <f t="shared" si="18"/>
        <v>0.236476616167199</v>
      </c>
      <c r="O26" s="73">
        <f t="shared" si="18"/>
        <v>0.230990890240849</v>
      </c>
      <c r="P26" s="73">
        <f t="shared" si="18"/>
        <v>0.224795634943621</v>
      </c>
      <c r="Q26" s="72"/>
    </row>
    <row r="30" ht="25.8" spans="1:17">
      <c r="A30" s="83" t="s">
        <v>12</v>
      </c>
      <c r="B30" s="83"/>
      <c r="C30" s="83"/>
      <c r="D30" s="83"/>
      <c r="E30" s="83"/>
      <c r="F30" s="83"/>
      <c r="G30" s="83"/>
      <c r="H30" s="84">
        <f>(G33/D33)^(1/3)-1</f>
        <v>0.03</v>
      </c>
      <c r="I30" s="85"/>
      <c r="J30" s="74"/>
      <c r="K30" s="74"/>
      <c r="L30" s="61"/>
      <c r="M30" s="61"/>
      <c r="N30" s="61"/>
      <c r="O30" s="61"/>
      <c r="P30" s="61"/>
      <c r="Q30" s="61"/>
    </row>
    <row r="31" ht="14.4" spans="1:17">
      <c r="A31" s="85"/>
      <c r="B31" s="86"/>
      <c r="C31" s="86"/>
      <c r="D31" s="86"/>
      <c r="E31" s="87"/>
      <c r="F31" s="88" t="s">
        <v>27</v>
      </c>
      <c r="G31" s="88"/>
      <c r="H31" s="85"/>
      <c r="I31" s="85"/>
      <c r="J31" s="74"/>
      <c r="K31" s="74"/>
      <c r="L31" s="61"/>
      <c r="M31" s="61"/>
      <c r="N31" s="61"/>
      <c r="O31" s="61"/>
      <c r="P31" s="61"/>
      <c r="Q31" s="61"/>
    </row>
    <row r="32" ht="14.4" spans="1:17">
      <c r="A32" s="89" t="s">
        <v>28</v>
      </c>
      <c r="B32" s="90"/>
      <c r="C32" s="91"/>
      <c r="D32" s="92">
        <f t="shared" ref="D32:Q32" si="19">C9</f>
        <v>2021</v>
      </c>
      <c r="E32" s="92">
        <f t="shared" si="19"/>
        <v>2022</v>
      </c>
      <c r="F32" s="92">
        <f t="shared" si="19"/>
        <v>2023</v>
      </c>
      <c r="G32" s="92">
        <f t="shared" si="19"/>
        <v>2024</v>
      </c>
      <c r="H32" s="16">
        <f t="shared" si="19"/>
        <v>2025</v>
      </c>
      <c r="I32" s="92">
        <f t="shared" si="19"/>
        <v>2026</v>
      </c>
      <c r="J32" s="92">
        <f t="shared" si="19"/>
        <v>2027</v>
      </c>
      <c r="K32" s="92">
        <f t="shared" si="19"/>
        <v>2028</v>
      </c>
      <c r="L32" s="92">
        <f t="shared" si="19"/>
        <v>2029</v>
      </c>
      <c r="M32" s="92">
        <f t="shared" si="19"/>
        <v>2030</v>
      </c>
      <c r="N32" s="92">
        <f t="shared" si="19"/>
        <v>2031</v>
      </c>
      <c r="O32" s="92">
        <f t="shared" si="19"/>
        <v>2032</v>
      </c>
      <c r="P32" s="92">
        <f t="shared" si="19"/>
        <v>2033</v>
      </c>
      <c r="Q32" s="92">
        <f t="shared" si="19"/>
        <v>2034</v>
      </c>
    </row>
    <row r="33" ht="14.4" spans="1:17">
      <c r="A33" s="93" t="s">
        <v>29</v>
      </c>
      <c r="B33" s="19" t="s">
        <v>30</v>
      </c>
      <c r="C33" s="19"/>
      <c r="D33" s="94">
        <v>1833.76582125</v>
      </c>
      <c r="E33" s="94">
        <f>D33*1.03</f>
        <v>1888.7787958875</v>
      </c>
      <c r="F33" s="94">
        <f>E33*1.03</f>
        <v>1945.44215976413</v>
      </c>
      <c r="G33" s="94">
        <f>F33*1.03</f>
        <v>2003.80542455705</v>
      </c>
      <c r="H33" s="95">
        <f>G33*1.03</f>
        <v>2063.91958729376</v>
      </c>
      <c r="I33" s="94">
        <f>H33*1.03</f>
        <v>2125.83717491257</v>
      </c>
      <c r="J33" s="94">
        <f t="shared" ref="J33:Q33" si="20">I33*1.03</f>
        <v>2189.61229015995</v>
      </c>
      <c r="K33" s="94">
        <f t="shared" si="20"/>
        <v>2255.30065886475</v>
      </c>
      <c r="L33" s="94">
        <f t="shared" si="20"/>
        <v>2322.95967863069</v>
      </c>
      <c r="M33" s="94">
        <f t="shared" si="20"/>
        <v>2392.64846898961</v>
      </c>
      <c r="N33" s="94">
        <f t="shared" si="20"/>
        <v>2464.4279230593</v>
      </c>
      <c r="O33" s="94">
        <f t="shared" si="20"/>
        <v>2538.36076075108</v>
      </c>
      <c r="P33" s="94">
        <f t="shared" si="20"/>
        <v>2614.51158357361</v>
      </c>
      <c r="Q33" s="94">
        <f t="shared" si="20"/>
        <v>2692.94693108082</v>
      </c>
    </row>
    <row r="34" ht="28.8" spans="1:17">
      <c r="A34" s="93"/>
      <c r="B34" s="96" t="s">
        <v>31</v>
      </c>
      <c r="C34" s="19" t="s">
        <v>32</v>
      </c>
      <c r="D34" s="94">
        <v>0.9854559</v>
      </c>
      <c r="E34" s="94">
        <v>1.22668227</v>
      </c>
      <c r="F34" s="94">
        <v>1.58210811</v>
      </c>
      <c r="G34" s="94">
        <v>1.94623803</v>
      </c>
      <c r="H34" s="95">
        <f>G34*(1+$G$8)</f>
        <v>2.436106142151</v>
      </c>
      <c r="I34" s="95">
        <f>H34*(1+$G$8)</f>
        <v>3.04927405813041</v>
      </c>
      <c r="J34" s="95">
        <f t="shared" ref="J34:Q34" si="21">I34*(1+$G$8)</f>
        <v>3.81677633856183</v>
      </c>
      <c r="K34" s="95">
        <f t="shared" si="21"/>
        <v>4.77745894297784</v>
      </c>
      <c r="L34" s="95">
        <f t="shared" si="21"/>
        <v>5.97994535892537</v>
      </c>
      <c r="M34" s="95">
        <f t="shared" si="21"/>
        <v>7.48509760576688</v>
      </c>
      <c r="N34" s="95">
        <f t="shared" si="21"/>
        <v>9.3690966731384</v>
      </c>
      <c r="O34" s="95">
        <f t="shared" si="21"/>
        <v>11.7272983057673</v>
      </c>
      <c r="P34" s="95">
        <f t="shared" si="21"/>
        <v>14.679059289329</v>
      </c>
      <c r="Q34" s="95">
        <f t="shared" si="21"/>
        <v>18.3737785124531</v>
      </c>
    </row>
    <row r="35" ht="28.8" spans="1:17">
      <c r="A35" s="93"/>
      <c r="B35" s="96"/>
      <c r="C35" s="96" t="s">
        <v>33</v>
      </c>
      <c r="D35" s="94">
        <v>3900</v>
      </c>
      <c r="E35" s="94">
        <f>D35*1.02</f>
        <v>3978</v>
      </c>
      <c r="F35" s="94">
        <f t="shared" ref="F35:Q35" si="22">E35*1.02</f>
        <v>4057.56</v>
      </c>
      <c r="G35" s="94">
        <f t="shared" si="22"/>
        <v>4138.7112</v>
      </c>
      <c r="H35" s="94">
        <f t="shared" si="22"/>
        <v>4221.485424</v>
      </c>
      <c r="I35" s="94">
        <f t="shared" si="22"/>
        <v>4305.91513248</v>
      </c>
      <c r="J35" s="94">
        <f t="shared" si="22"/>
        <v>4392.0334351296</v>
      </c>
      <c r="K35" s="94">
        <f t="shared" si="22"/>
        <v>4479.87410383219</v>
      </c>
      <c r="L35" s="94">
        <f t="shared" si="22"/>
        <v>4569.47158590884</v>
      </c>
      <c r="M35" s="94">
        <f t="shared" si="22"/>
        <v>4660.86101762701</v>
      </c>
      <c r="N35" s="94">
        <f t="shared" si="22"/>
        <v>4754.07823797955</v>
      </c>
      <c r="O35" s="94">
        <f t="shared" si="22"/>
        <v>4849.15980273914</v>
      </c>
      <c r="P35" s="94">
        <f t="shared" si="22"/>
        <v>4946.14299879393</v>
      </c>
      <c r="Q35" s="94">
        <f t="shared" si="22"/>
        <v>5045.06585876981</v>
      </c>
    </row>
    <row r="36" ht="14.4" spans="1:17">
      <c r="A36" s="93"/>
      <c r="B36" s="96"/>
      <c r="C36" s="96" t="s">
        <v>34</v>
      </c>
      <c r="D36" s="94">
        <f t="shared" ref="D36:I36" si="23">D34*D35</f>
        <v>3843.27801</v>
      </c>
      <c r="E36" s="94">
        <f t="shared" si="23"/>
        <v>4879.74207006</v>
      </c>
      <c r="F36" s="94">
        <f t="shared" si="23"/>
        <v>6419.4985828116</v>
      </c>
      <c r="G36" s="94">
        <f t="shared" si="23"/>
        <v>8054.91713262694</v>
      </c>
      <c r="H36" s="95">
        <f t="shared" si="23"/>
        <v>10283.9865704073</v>
      </c>
      <c r="I36" s="94">
        <f t="shared" si="23"/>
        <v>13129.9153099824</v>
      </c>
      <c r="J36" s="94">
        <f t="shared" ref="J36:Q36" si="24">J34*J35</f>
        <v>16763.4092933751</v>
      </c>
      <c r="K36" s="94">
        <f t="shared" si="24"/>
        <v>21402.414600768</v>
      </c>
      <c r="L36" s="94">
        <f t="shared" si="24"/>
        <v>27325.1904028969</v>
      </c>
      <c r="M36" s="94">
        <f t="shared" si="24"/>
        <v>34886.9996438521</v>
      </c>
      <c r="N36" s="94">
        <f t="shared" si="24"/>
        <v>44541.4186032939</v>
      </c>
      <c r="O36" s="94">
        <f t="shared" si="24"/>
        <v>56867.5435390579</v>
      </c>
      <c r="P36" s="94">
        <f t="shared" si="24"/>
        <v>72604.7263327955</v>
      </c>
      <c r="Q36" s="94">
        <f t="shared" si="24"/>
        <v>92696.9226697753</v>
      </c>
    </row>
    <row r="37" ht="28.8" spans="1:17">
      <c r="A37" s="93"/>
      <c r="B37" s="96"/>
      <c r="C37" s="19" t="s">
        <v>35</v>
      </c>
      <c r="D37" s="94">
        <v>2.9673696</v>
      </c>
      <c r="E37" s="94">
        <v>3.69374182736842</v>
      </c>
      <c r="F37" s="94">
        <v>4.76398741894737</v>
      </c>
      <c r="G37" s="94">
        <v>5.86044242526316</v>
      </c>
      <c r="H37" s="95">
        <f>G37*(1+$G$8)</f>
        <v>7.3355157837019</v>
      </c>
      <c r="I37" s="95">
        <f t="shared" ref="I37:Q37" si="25">H37*(1+$G$8)</f>
        <v>9.18186510645966</v>
      </c>
      <c r="J37" s="95">
        <f t="shared" si="25"/>
        <v>11.4929405537556</v>
      </c>
      <c r="K37" s="95">
        <f t="shared" si="25"/>
        <v>14.3857136911358</v>
      </c>
      <c r="L37" s="95">
        <f t="shared" si="25"/>
        <v>18.0065978271947</v>
      </c>
      <c r="M37" s="95">
        <f t="shared" si="25"/>
        <v>22.5388585002996</v>
      </c>
      <c r="N37" s="95">
        <f t="shared" si="25"/>
        <v>28.2118891848251</v>
      </c>
      <c r="O37" s="95">
        <f t="shared" si="25"/>
        <v>35.3128216926455</v>
      </c>
      <c r="P37" s="95">
        <f t="shared" si="25"/>
        <v>44.2010589126844</v>
      </c>
      <c r="Q37" s="95">
        <f t="shared" si="25"/>
        <v>55.3264654410071</v>
      </c>
    </row>
    <row r="38" ht="28.8" spans="1:17">
      <c r="A38" s="93"/>
      <c r="B38" s="96"/>
      <c r="C38" s="96" t="s">
        <v>33</v>
      </c>
      <c r="D38" s="94">
        <v>950</v>
      </c>
      <c r="E38" s="94">
        <f>D38*1.02</f>
        <v>969</v>
      </c>
      <c r="F38" s="94">
        <f t="shared" ref="F38:Q38" si="26">E38*1.02</f>
        <v>988.38</v>
      </c>
      <c r="G38" s="94">
        <f t="shared" si="26"/>
        <v>1008.1476</v>
      </c>
      <c r="H38" s="94">
        <f t="shared" si="26"/>
        <v>1028.310552</v>
      </c>
      <c r="I38" s="94">
        <f t="shared" si="26"/>
        <v>1048.87676304</v>
      </c>
      <c r="J38" s="94">
        <f t="shared" si="26"/>
        <v>1069.8542983008</v>
      </c>
      <c r="K38" s="94">
        <f t="shared" si="26"/>
        <v>1091.25138426682</v>
      </c>
      <c r="L38" s="94">
        <f t="shared" si="26"/>
        <v>1113.07641195215</v>
      </c>
      <c r="M38" s="94">
        <f t="shared" si="26"/>
        <v>1135.3379401912</v>
      </c>
      <c r="N38" s="94">
        <f t="shared" si="26"/>
        <v>1158.04469899502</v>
      </c>
      <c r="O38" s="94">
        <f t="shared" si="26"/>
        <v>1181.20559297492</v>
      </c>
      <c r="P38" s="94">
        <f t="shared" si="26"/>
        <v>1204.82970483442</v>
      </c>
      <c r="Q38" s="94">
        <f t="shared" si="26"/>
        <v>1228.92629893111</v>
      </c>
    </row>
    <row r="39" ht="14.4" spans="1:17">
      <c r="A39" s="93"/>
      <c r="B39" s="96"/>
      <c r="C39" s="96" t="s">
        <v>34</v>
      </c>
      <c r="D39" s="94">
        <f>D37*D38</f>
        <v>2819.00112</v>
      </c>
      <c r="E39" s="94">
        <f t="shared" ref="E39:Q39" si="27">E37*E38</f>
        <v>3579.23583072</v>
      </c>
      <c r="F39" s="94">
        <f t="shared" si="27"/>
        <v>4708.6298851392</v>
      </c>
      <c r="G39" s="94">
        <f t="shared" si="27"/>
        <v>5908.19096596723</v>
      </c>
      <c r="H39" s="95">
        <f t="shared" si="27"/>
        <v>7543.18828474321</v>
      </c>
      <c r="I39" s="94">
        <f t="shared" si="27"/>
        <v>9630.64495153334</v>
      </c>
      <c r="J39" s="94">
        <f t="shared" si="27"/>
        <v>12295.771851551</v>
      </c>
      <c r="K39" s="94">
        <f t="shared" si="27"/>
        <v>15698.4299791181</v>
      </c>
      <c r="L39" s="94">
        <f t="shared" si="27"/>
        <v>20042.7193009593</v>
      </c>
      <c r="M39" s="94">
        <f t="shared" si="27"/>
        <v>25589.221183991</v>
      </c>
      <c r="N39" s="94">
        <f t="shared" si="27"/>
        <v>32670.6287191216</v>
      </c>
      <c r="O39" s="94">
        <f t="shared" si="27"/>
        <v>41711.702487079</v>
      </c>
      <c r="P39" s="94">
        <f t="shared" si="27"/>
        <v>53254.7487631383</v>
      </c>
      <c r="Q39" s="94">
        <f t="shared" si="27"/>
        <v>67992.1484073566</v>
      </c>
    </row>
    <row r="40" ht="14.4" spans="1:17">
      <c r="A40" s="93"/>
      <c r="B40" s="96" t="s">
        <v>36</v>
      </c>
      <c r="C40" s="96"/>
      <c r="D40" s="94">
        <f>D39+D36</f>
        <v>6662.27913</v>
      </c>
      <c r="E40" s="94">
        <f t="shared" ref="E40:Q40" si="28">E39+E36</f>
        <v>8458.97790078</v>
      </c>
      <c r="F40" s="94">
        <f t="shared" si="28"/>
        <v>11128.1284679508</v>
      </c>
      <c r="G40" s="94">
        <f t="shared" si="28"/>
        <v>13963.1080985942</v>
      </c>
      <c r="H40" s="95">
        <f t="shared" si="28"/>
        <v>17827.1748551505</v>
      </c>
      <c r="I40" s="94">
        <f t="shared" si="28"/>
        <v>22760.5602615158</v>
      </c>
      <c r="J40" s="94">
        <f t="shared" si="28"/>
        <v>29059.1811449261</v>
      </c>
      <c r="K40" s="94">
        <f t="shared" si="28"/>
        <v>37100.844579886</v>
      </c>
      <c r="L40" s="94">
        <f t="shared" si="28"/>
        <v>47367.9097038562</v>
      </c>
      <c r="M40" s="94">
        <f t="shared" si="28"/>
        <v>60476.2208278431</v>
      </c>
      <c r="N40" s="94">
        <f t="shared" si="28"/>
        <v>77212.0473224155</v>
      </c>
      <c r="O40" s="94">
        <f t="shared" si="28"/>
        <v>98579.2460261368</v>
      </c>
      <c r="P40" s="94">
        <f t="shared" si="28"/>
        <v>125859.475095934</v>
      </c>
      <c r="Q40" s="94">
        <f t="shared" si="28"/>
        <v>160689.071077132</v>
      </c>
    </row>
    <row r="41" ht="14.4" spans="1:17">
      <c r="A41" s="93"/>
      <c r="B41" s="19" t="s">
        <v>37</v>
      </c>
      <c r="C41" s="19"/>
      <c r="D41" s="94">
        <v>1548.191223</v>
      </c>
      <c r="E41" s="94">
        <f t="shared" ref="E41:J41" si="29">D41*1.05</f>
        <v>1625.60078415</v>
      </c>
      <c r="F41" s="94">
        <f t="shared" si="29"/>
        <v>1706.8808233575</v>
      </c>
      <c r="G41" s="94">
        <f t="shared" si="29"/>
        <v>1792.22486452538</v>
      </c>
      <c r="H41" s="95">
        <f t="shared" si="29"/>
        <v>1881.83610775164</v>
      </c>
      <c r="I41" s="94">
        <f t="shared" si="29"/>
        <v>1975.92791313923</v>
      </c>
      <c r="J41" s="94">
        <f t="shared" si="29"/>
        <v>2074.72430879619</v>
      </c>
      <c r="K41" s="94">
        <f t="shared" ref="K41:Q41" si="30">J41*1.05</f>
        <v>2178.460524236</v>
      </c>
      <c r="L41" s="94">
        <f t="shared" si="30"/>
        <v>2287.3835504478</v>
      </c>
      <c r="M41" s="94">
        <f t="shared" si="30"/>
        <v>2401.75272797019</v>
      </c>
      <c r="N41" s="94">
        <f t="shared" si="30"/>
        <v>2521.8403643687</v>
      </c>
      <c r="O41" s="94">
        <f t="shared" si="30"/>
        <v>2647.93238258713</v>
      </c>
      <c r="P41" s="94">
        <f t="shared" si="30"/>
        <v>2780.32900171649</v>
      </c>
      <c r="Q41" s="94">
        <f t="shared" si="30"/>
        <v>2919.34545180231</v>
      </c>
    </row>
    <row r="42" ht="14.4" spans="1:17">
      <c r="A42" s="93"/>
      <c r="B42" s="96" t="s">
        <v>38</v>
      </c>
      <c r="C42" s="96"/>
      <c r="D42" s="94">
        <v>969.52</v>
      </c>
      <c r="E42" s="94">
        <f>D42*1.2517</f>
        <v>1213.548184</v>
      </c>
      <c r="F42" s="94">
        <f t="shared" ref="F42:Q42" si="31">E42*1.2517</f>
        <v>1518.9982619128</v>
      </c>
      <c r="G42" s="94">
        <f t="shared" si="31"/>
        <v>1901.33012443625</v>
      </c>
      <c r="H42" s="94">
        <f t="shared" si="31"/>
        <v>2379.89491675686</v>
      </c>
      <c r="I42" s="94">
        <f t="shared" si="31"/>
        <v>2978.91446730456</v>
      </c>
      <c r="J42" s="94">
        <f t="shared" si="31"/>
        <v>3728.70723872511</v>
      </c>
      <c r="K42" s="94">
        <f t="shared" si="31"/>
        <v>4667.22285071223</v>
      </c>
      <c r="L42" s="94">
        <f t="shared" si="31"/>
        <v>5841.96284223649</v>
      </c>
      <c r="M42" s="94">
        <f t="shared" si="31"/>
        <v>7312.38488962742</v>
      </c>
      <c r="N42" s="94">
        <f t="shared" si="31"/>
        <v>9152.91216634664</v>
      </c>
      <c r="O42" s="94">
        <f t="shared" si="31"/>
        <v>11456.7001586161</v>
      </c>
      <c r="P42" s="94">
        <f t="shared" si="31"/>
        <v>14340.3515885398</v>
      </c>
      <c r="Q42" s="94">
        <f t="shared" si="31"/>
        <v>17949.8180833752</v>
      </c>
    </row>
    <row r="43" ht="14.4" spans="1:17">
      <c r="A43" s="93"/>
      <c r="B43" s="96" t="s">
        <v>39</v>
      </c>
      <c r="C43" s="96"/>
      <c r="D43" s="94">
        <f>D42+D41+D40+D33</f>
        <v>11013.75617425</v>
      </c>
      <c r="E43" s="94">
        <f t="shared" ref="E43:Q43" si="32">E42+E41+E40+E33</f>
        <v>13186.9056648175</v>
      </c>
      <c r="F43" s="94">
        <f t="shared" si="32"/>
        <v>16299.4497129852</v>
      </c>
      <c r="G43" s="94">
        <f t="shared" si="32"/>
        <v>19660.4685121128</v>
      </c>
      <c r="H43" s="95">
        <f t="shared" si="32"/>
        <v>24152.8254669528</v>
      </c>
      <c r="I43" s="94">
        <f t="shared" si="32"/>
        <v>29841.2398168721</v>
      </c>
      <c r="J43" s="94">
        <f t="shared" si="32"/>
        <v>37052.2249826073</v>
      </c>
      <c r="K43" s="94">
        <f t="shared" si="32"/>
        <v>46201.828613699</v>
      </c>
      <c r="L43" s="94">
        <f t="shared" si="32"/>
        <v>57820.2157751712</v>
      </c>
      <c r="M43" s="94">
        <f t="shared" si="32"/>
        <v>72583.0069144304</v>
      </c>
      <c r="N43" s="94">
        <f t="shared" si="32"/>
        <v>91351.2277761901</v>
      </c>
      <c r="O43" s="94">
        <f t="shared" si="32"/>
        <v>115222.239328091</v>
      </c>
      <c r="P43" s="94">
        <f t="shared" si="32"/>
        <v>145594.667269764</v>
      </c>
      <c r="Q43" s="94">
        <f t="shared" si="32"/>
        <v>184251.18154339</v>
      </c>
    </row>
    <row r="44" ht="14.4" spans="1:17">
      <c r="A44" s="97" t="s">
        <v>40</v>
      </c>
      <c r="B44" s="98"/>
      <c r="C44" s="99"/>
      <c r="D44" s="94"/>
      <c r="E44" s="94"/>
      <c r="F44" s="94"/>
      <c r="G44" s="94"/>
      <c r="H44" s="95">
        <f>H48*0.95/25</f>
        <v>760</v>
      </c>
      <c r="I44" s="94">
        <f>H44</f>
        <v>760</v>
      </c>
      <c r="J44" s="94">
        <f t="shared" ref="J44:Q44" si="33">I44</f>
        <v>760</v>
      </c>
      <c r="K44" s="94">
        <f t="shared" si="33"/>
        <v>760</v>
      </c>
      <c r="L44" s="94">
        <f t="shared" si="33"/>
        <v>760</v>
      </c>
      <c r="M44" s="94">
        <f t="shared" si="33"/>
        <v>760</v>
      </c>
      <c r="N44" s="94">
        <f t="shared" si="33"/>
        <v>760</v>
      </c>
      <c r="O44" s="94">
        <f t="shared" si="33"/>
        <v>760</v>
      </c>
      <c r="P44" s="94">
        <f t="shared" si="33"/>
        <v>760</v>
      </c>
      <c r="Q44" s="94">
        <f t="shared" si="33"/>
        <v>760</v>
      </c>
    </row>
    <row r="45" spans="1:17">
      <c r="A45" s="100" t="s">
        <v>41</v>
      </c>
      <c r="B45" s="101"/>
      <c r="C45" s="102"/>
      <c r="D45" s="103"/>
      <c r="E45" s="103"/>
      <c r="F45" s="103"/>
      <c r="G45" s="103"/>
      <c r="H45" s="104">
        <f t="shared" ref="H45:Q45" si="34">G14*0.7</f>
        <v>1247.4</v>
      </c>
      <c r="I45" s="103">
        <f t="shared" si="34"/>
        <v>1247.4</v>
      </c>
      <c r="J45" s="103">
        <f t="shared" si="34"/>
        <v>1247.4</v>
      </c>
      <c r="K45" s="103">
        <f t="shared" si="34"/>
        <v>1247.4</v>
      </c>
      <c r="L45" s="103">
        <f t="shared" si="34"/>
        <v>724.5</v>
      </c>
      <c r="M45" s="103">
        <f t="shared" si="34"/>
        <v>724.5</v>
      </c>
      <c r="N45" s="103">
        <f t="shared" si="34"/>
        <v>724.5</v>
      </c>
      <c r="O45" s="103">
        <f t="shared" si="34"/>
        <v>724.5</v>
      </c>
      <c r="P45" s="103">
        <f t="shared" si="34"/>
        <v>724.5</v>
      </c>
      <c r="Q45" s="103">
        <f t="shared" si="34"/>
        <v>724.5</v>
      </c>
    </row>
    <row r="46" spans="1:17">
      <c r="A46" s="105" t="s">
        <v>42</v>
      </c>
      <c r="B46" s="105"/>
      <c r="C46" s="105"/>
      <c r="D46" s="103">
        <f>D45+D44+D43</f>
        <v>11013.75617425</v>
      </c>
      <c r="E46" s="103">
        <f t="shared" ref="E46:Q46" si="35">E45+E44+E43</f>
        <v>13186.9056648175</v>
      </c>
      <c r="F46" s="103">
        <f t="shared" si="35"/>
        <v>16299.4497129852</v>
      </c>
      <c r="G46" s="103">
        <f t="shared" si="35"/>
        <v>19660.4685121128</v>
      </c>
      <c r="H46" s="104">
        <f t="shared" si="35"/>
        <v>26160.2254669528</v>
      </c>
      <c r="I46" s="103">
        <f t="shared" si="35"/>
        <v>31848.6398168721</v>
      </c>
      <c r="J46" s="103">
        <f t="shared" si="35"/>
        <v>39059.6249826073</v>
      </c>
      <c r="K46" s="103">
        <f t="shared" si="35"/>
        <v>48209.228613699</v>
      </c>
      <c r="L46" s="103">
        <f t="shared" si="35"/>
        <v>59304.7157751712</v>
      </c>
      <c r="M46" s="103">
        <f t="shared" si="35"/>
        <v>74067.5069144304</v>
      </c>
      <c r="N46" s="103">
        <f t="shared" si="35"/>
        <v>92835.7277761901</v>
      </c>
      <c r="O46" s="103">
        <f t="shared" si="35"/>
        <v>116706.739328091</v>
      </c>
      <c r="P46" s="103">
        <f t="shared" si="35"/>
        <v>147079.167269764</v>
      </c>
      <c r="Q46" s="103">
        <f t="shared" si="35"/>
        <v>185735.68154339</v>
      </c>
    </row>
    <row r="48" spans="7:8">
      <c r="G48" t="s">
        <v>43</v>
      </c>
      <c r="H48">
        <v>20000</v>
      </c>
    </row>
    <row r="49" spans="4:4">
      <c r="D49" s="84">
        <v>0.145525175556552</v>
      </c>
    </row>
    <row r="52" spans="4:4">
      <c r="D52">
        <v>969.529339999999</v>
      </c>
    </row>
    <row r="55" spans="3:3">
      <c r="C55" t="s">
        <v>44</v>
      </c>
    </row>
    <row r="78" ht="14.25" customHeight="1"/>
    <row r="94" ht="15" customHeight="1"/>
  </sheetData>
  <mergeCells count="13">
    <mergeCell ref="A30:G30"/>
    <mergeCell ref="F31:G31"/>
    <mergeCell ref="A32:C32"/>
    <mergeCell ref="B33:C33"/>
    <mergeCell ref="B40:C40"/>
    <mergeCell ref="B41:C41"/>
    <mergeCell ref="B42:C42"/>
    <mergeCell ref="B43:C43"/>
    <mergeCell ref="A44:C44"/>
    <mergeCell ref="A45:C45"/>
    <mergeCell ref="A46:C46"/>
    <mergeCell ref="A33:A43"/>
    <mergeCell ref="B34:B39"/>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8"/>
  <sheetViews>
    <sheetView workbookViewId="0">
      <selection activeCell="C24" sqref="C24"/>
    </sheetView>
  </sheetViews>
  <sheetFormatPr defaultColWidth="9" defaultRowHeight="13.8"/>
  <cols>
    <col min="3" max="3" width="17.25" customWidth="1"/>
    <col min="4" max="6" width="11.6296296296296" customWidth="1"/>
    <col min="7" max="13" width="10.5" customWidth="1"/>
  </cols>
  <sheetData>
    <row r="1" spans="1:14">
      <c r="A1" s="35" t="s">
        <v>45</v>
      </c>
      <c r="B1" s="35"/>
      <c r="C1" s="35"/>
      <c r="D1" s="35"/>
      <c r="E1" s="35"/>
      <c r="F1" s="35"/>
      <c r="G1" s="36"/>
      <c r="H1" s="36"/>
      <c r="I1" s="35" t="s">
        <v>46</v>
      </c>
      <c r="J1" s="35"/>
      <c r="K1" s="61"/>
      <c r="L1" s="61"/>
      <c r="M1" s="61"/>
      <c r="N1" s="61"/>
    </row>
    <row r="2" spans="1:14">
      <c r="A2" s="35"/>
      <c r="B2" s="35"/>
      <c r="C2" s="35">
        <v>0</v>
      </c>
      <c r="D2" s="35">
        <v>1</v>
      </c>
      <c r="E2" s="35">
        <v>2</v>
      </c>
      <c r="F2" s="35">
        <v>3</v>
      </c>
      <c r="G2" s="35">
        <v>4</v>
      </c>
      <c r="H2" s="35">
        <v>5</v>
      </c>
      <c r="I2" s="35">
        <v>6</v>
      </c>
      <c r="J2" s="35">
        <v>7</v>
      </c>
      <c r="K2" s="35">
        <v>8</v>
      </c>
      <c r="L2" s="35">
        <v>9</v>
      </c>
      <c r="M2" s="35">
        <v>10</v>
      </c>
      <c r="N2" s="61"/>
    </row>
    <row r="3" ht="24" spans="1:14">
      <c r="A3" s="37"/>
      <c r="B3" s="38" t="s">
        <v>3</v>
      </c>
      <c r="C3" s="37">
        <v>2024</v>
      </c>
      <c r="D3" s="37">
        <v>2025</v>
      </c>
      <c r="E3" s="37">
        <v>2026</v>
      </c>
      <c r="F3" s="37">
        <v>2027</v>
      </c>
      <c r="G3" s="37">
        <v>2028</v>
      </c>
      <c r="H3" s="37">
        <v>2029</v>
      </c>
      <c r="I3" s="37">
        <v>2030</v>
      </c>
      <c r="J3" s="37">
        <v>2031</v>
      </c>
      <c r="K3" s="37">
        <v>2032</v>
      </c>
      <c r="L3" s="37">
        <v>2033</v>
      </c>
      <c r="M3" s="37">
        <v>2034</v>
      </c>
      <c r="N3" s="62"/>
    </row>
    <row r="4" ht="24" spans="1:14">
      <c r="A4" s="37"/>
      <c r="B4" s="38" t="s">
        <v>47</v>
      </c>
      <c r="C4" s="39">
        <v>-150000</v>
      </c>
      <c r="D4" s="40"/>
      <c r="E4" s="41"/>
      <c r="F4" s="41"/>
      <c r="G4" s="41"/>
      <c r="H4" s="41"/>
      <c r="I4" s="41"/>
      <c r="J4" s="41"/>
      <c r="K4" s="63"/>
      <c r="L4" s="63"/>
      <c r="M4" s="63"/>
      <c r="N4" s="64"/>
    </row>
    <row r="5" spans="1:14">
      <c r="A5" s="42">
        <v>1</v>
      </c>
      <c r="B5" s="43" t="s">
        <v>26</v>
      </c>
      <c r="C5" s="44"/>
      <c r="D5" s="44">
        <f>+Sheet1!G25</f>
        <v>10530.3237854432</v>
      </c>
      <c r="E5" s="44">
        <f>+Sheet1!H25</f>
        <v>12800.3104471855</v>
      </c>
      <c r="F5" s="44">
        <f>+Sheet1!I25</f>
        <v>15580.2854924283</v>
      </c>
      <c r="G5" s="44">
        <f>+Sheet1!J25</f>
        <v>18974.1770749526</v>
      </c>
      <c r="H5" s="44">
        <f>+Sheet1!K25</f>
        <v>22937.8998082534</v>
      </c>
      <c r="I5" s="44">
        <f>+Sheet1!L25</f>
        <v>27950.6920695602</v>
      </c>
      <c r="J5" s="44">
        <f>+Sheet1!M25</f>
        <v>34015.4004707455</v>
      </c>
      <c r="K5" s="44">
        <f>+Sheet1!N25</f>
        <v>41330.0560426247</v>
      </c>
      <c r="L5" s="44">
        <f>+Sheet1!O25</f>
        <v>50123.7279908313</v>
      </c>
      <c r="M5" s="44">
        <f>+Sheet1!P25</f>
        <v>60659.1176116227</v>
      </c>
      <c r="N5" s="65"/>
    </row>
    <row r="6" spans="1:14">
      <c r="A6" s="42">
        <v>2</v>
      </c>
      <c r="B6" s="43" t="s">
        <v>48</v>
      </c>
      <c r="C6" s="44"/>
      <c r="D6" s="44">
        <f>+Sheet1!H44</f>
        <v>760</v>
      </c>
      <c r="E6" s="44">
        <f>+Sheet1!I44</f>
        <v>760</v>
      </c>
      <c r="F6" s="44">
        <f>+Sheet1!J44</f>
        <v>760</v>
      </c>
      <c r="G6" s="44">
        <f>+Sheet1!K44</f>
        <v>760</v>
      </c>
      <c r="H6" s="44">
        <f>+Sheet1!L44</f>
        <v>760</v>
      </c>
      <c r="I6" s="44">
        <f>+Sheet1!M44</f>
        <v>760</v>
      </c>
      <c r="J6" s="44">
        <f>+Sheet1!N44</f>
        <v>760</v>
      </c>
      <c r="K6" s="44">
        <f>+Sheet1!O44</f>
        <v>760</v>
      </c>
      <c r="L6" s="44">
        <f>+Sheet1!P44</f>
        <v>760</v>
      </c>
      <c r="M6" s="44">
        <f>+Sheet1!Q44</f>
        <v>760</v>
      </c>
      <c r="N6" s="65"/>
    </row>
    <row r="7" ht="24" spans="1:14">
      <c r="A7" s="42">
        <v>3</v>
      </c>
      <c r="B7" s="43" t="s">
        <v>49</v>
      </c>
      <c r="C7" s="44">
        <f>+C4</f>
        <v>-150000</v>
      </c>
      <c r="D7" s="44">
        <f>+D6+D5</f>
        <v>11290.3237854432</v>
      </c>
      <c r="E7" s="44">
        <f t="shared" ref="E7:M7" si="0">+E6+E5</f>
        <v>13560.3104471855</v>
      </c>
      <c r="F7" s="44">
        <f t="shared" si="0"/>
        <v>16340.2854924283</v>
      </c>
      <c r="G7" s="44">
        <f t="shared" si="0"/>
        <v>19734.1770749526</v>
      </c>
      <c r="H7" s="44">
        <f t="shared" si="0"/>
        <v>23697.8998082534</v>
      </c>
      <c r="I7" s="44">
        <f t="shared" si="0"/>
        <v>28710.6920695602</v>
      </c>
      <c r="J7" s="44">
        <f t="shared" si="0"/>
        <v>34775.4004707455</v>
      </c>
      <c r="K7" s="44">
        <f t="shared" si="0"/>
        <v>42090.0560426247</v>
      </c>
      <c r="L7" s="44">
        <f t="shared" si="0"/>
        <v>50883.7279908313</v>
      </c>
      <c r="M7" s="44">
        <f t="shared" si="0"/>
        <v>61419.1176116227</v>
      </c>
      <c r="N7" s="65"/>
    </row>
    <row r="8" ht="36" spans="1:14">
      <c r="A8" s="42">
        <v>4</v>
      </c>
      <c r="B8" s="43" t="s">
        <v>50</v>
      </c>
      <c r="C8" s="44">
        <f>+C7</f>
        <v>-150000</v>
      </c>
      <c r="D8" s="44">
        <f>+SUM($C$7:C7)+D7</f>
        <v>-138709.676214557</v>
      </c>
      <c r="E8" s="44">
        <f>+SUM($C$7:D7)+E7</f>
        <v>-125149.365767371</v>
      </c>
      <c r="F8" s="44">
        <f>+SUM($C$7:E7)+F7</f>
        <v>-108809.080274943</v>
      </c>
      <c r="G8" s="44">
        <f>+SUM($C$7:F7)+G7</f>
        <v>-89074.9031999903</v>
      </c>
      <c r="H8" s="44">
        <f>+SUM($C$7:G7)+H7</f>
        <v>-65377.0033917369</v>
      </c>
      <c r="I8" s="44">
        <f>+SUM($C$7:H7)+I7</f>
        <v>-36666.3113221768</v>
      </c>
      <c r="J8" s="44">
        <f>+SUM($C$7:I7)+J7</f>
        <v>-1890.9108514313</v>
      </c>
      <c r="K8" s="44">
        <f>+SUM($C$7:J7)+K7</f>
        <v>40199.1451911934</v>
      </c>
      <c r="L8" s="44">
        <f>+SUM($C$7:K7)+L7</f>
        <v>91082.8731820247</v>
      </c>
      <c r="M8" s="44">
        <f>+SUM($C$7:L7)+M7</f>
        <v>152501.990793647</v>
      </c>
      <c r="N8" s="65"/>
    </row>
    <row r="9" ht="24" spans="1:14">
      <c r="A9" s="45"/>
      <c r="B9" s="46" t="s">
        <v>51</v>
      </c>
      <c r="C9" s="47">
        <f t="shared" ref="C9:M9" si="1">+ROUND(PV(7.06%,C2,,-1),4)</f>
        <v>1</v>
      </c>
      <c r="D9" s="47">
        <f t="shared" si="1"/>
        <v>0.9341</v>
      </c>
      <c r="E9" s="47">
        <f t="shared" si="1"/>
        <v>0.8725</v>
      </c>
      <c r="F9" s="47">
        <f t="shared" si="1"/>
        <v>0.8149</v>
      </c>
      <c r="G9" s="47">
        <f t="shared" si="1"/>
        <v>0.7612</v>
      </c>
      <c r="H9" s="47">
        <f t="shared" si="1"/>
        <v>0.711</v>
      </c>
      <c r="I9" s="47">
        <f t="shared" si="1"/>
        <v>0.6641</v>
      </c>
      <c r="J9" s="47">
        <f t="shared" si="1"/>
        <v>0.6203</v>
      </c>
      <c r="K9" s="47">
        <f t="shared" si="1"/>
        <v>0.5794</v>
      </c>
      <c r="L9" s="47">
        <f t="shared" si="1"/>
        <v>0.5412</v>
      </c>
      <c r="M9" s="47">
        <f t="shared" si="1"/>
        <v>0.5055</v>
      </c>
      <c r="N9" s="66"/>
    </row>
    <row r="10" ht="36" spans="1:14">
      <c r="A10" s="45"/>
      <c r="B10" s="46" t="s">
        <v>52</v>
      </c>
      <c r="C10" s="47">
        <f t="shared" ref="C10:M10" si="2">+C9*C7</f>
        <v>-150000</v>
      </c>
      <c r="D10" s="47">
        <f t="shared" si="2"/>
        <v>10546.2914479825</v>
      </c>
      <c r="E10" s="47">
        <f t="shared" si="2"/>
        <v>11831.3708651693</v>
      </c>
      <c r="F10" s="47">
        <f t="shared" si="2"/>
        <v>13315.6986477799</v>
      </c>
      <c r="G10" s="47">
        <f t="shared" si="2"/>
        <v>15021.6555894539</v>
      </c>
      <c r="H10" s="47">
        <f t="shared" si="2"/>
        <v>16849.2067636682</v>
      </c>
      <c r="I10" s="47">
        <f t="shared" si="2"/>
        <v>19066.7706033949</v>
      </c>
      <c r="J10" s="47">
        <f t="shared" si="2"/>
        <v>21571.1809120034</v>
      </c>
      <c r="K10" s="47">
        <f t="shared" si="2"/>
        <v>24386.9784710967</v>
      </c>
      <c r="L10" s="47">
        <f t="shared" si="2"/>
        <v>27538.2735886379</v>
      </c>
      <c r="M10" s="47">
        <f t="shared" si="2"/>
        <v>31047.3639526753</v>
      </c>
      <c r="N10" s="66"/>
    </row>
    <row r="11" ht="36" spans="1:14">
      <c r="A11" s="45"/>
      <c r="B11" s="46" t="s">
        <v>53</v>
      </c>
      <c r="C11" s="47">
        <f>+C10</f>
        <v>-150000</v>
      </c>
      <c r="D11" s="47">
        <f>+SUM($C$10:C10)+D10</f>
        <v>-139453.708552018</v>
      </c>
      <c r="E11" s="47">
        <f>+SUM($C$10:D10)+E10</f>
        <v>-127622.337686848</v>
      </c>
      <c r="F11" s="47">
        <f>+SUM($C$10:E10)+F10</f>
        <v>-114306.639039068</v>
      </c>
      <c r="G11" s="47">
        <f>+SUM($C$10:F10)+G10</f>
        <v>-99284.9834496144</v>
      </c>
      <c r="H11" s="47">
        <f>+SUM($C$10:G10)+H10</f>
        <v>-82435.7766859462</v>
      </c>
      <c r="I11" s="47">
        <f>+SUM($C$10:H10)+I10</f>
        <v>-63369.0060825513</v>
      </c>
      <c r="J11" s="47">
        <f>+SUM($C$10:I10)+J10</f>
        <v>-41797.8251705479</v>
      </c>
      <c r="K11" s="47">
        <f>+SUM($C$10:J10)+K10</f>
        <v>-17410.8466994512</v>
      </c>
      <c r="L11" s="47">
        <f>+SUM($C$10:K10)+L10</f>
        <v>10127.4268891868</v>
      </c>
      <c r="M11" s="47">
        <f>+SUM($C$10:L10)+M10</f>
        <v>41174.790841862</v>
      </c>
      <c r="N11" s="66"/>
    </row>
    <row r="12" s="33" customFormat="1" spans="1:14">
      <c r="A12" s="45"/>
      <c r="B12" s="46"/>
      <c r="C12" s="47"/>
      <c r="D12" s="47"/>
      <c r="E12" s="47"/>
      <c r="F12" s="47"/>
      <c r="G12" s="47"/>
      <c r="H12" s="47"/>
      <c r="I12" s="47"/>
      <c r="J12" s="47"/>
      <c r="K12" s="47"/>
      <c r="L12" s="47"/>
      <c r="M12" s="47"/>
      <c r="N12" s="66"/>
    </row>
    <row r="13" s="34" customFormat="1" spans="1:14">
      <c r="A13" s="48"/>
      <c r="B13" s="49"/>
      <c r="C13" s="50"/>
      <c r="D13" s="50"/>
      <c r="E13" s="50"/>
      <c r="F13" s="50"/>
      <c r="G13" s="50"/>
      <c r="H13" s="50"/>
      <c r="I13" s="50"/>
      <c r="J13" s="50"/>
      <c r="K13" s="50"/>
      <c r="L13" s="50"/>
      <c r="M13" s="50"/>
      <c r="N13" s="67"/>
    </row>
    <row r="14" ht="15.6" spans="1:14">
      <c r="A14" s="51" t="s">
        <v>54</v>
      </c>
      <c r="B14" s="51"/>
      <c r="C14" s="51"/>
      <c r="D14" s="51"/>
      <c r="E14" s="51"/>
      <c r="F14" s="51"/>
      <c r="G14" s="51"/>
      <c r="H14" s="51"/>
      <c r="I14" s="51"/>
      <c r="J14" s="51"/>
      <c r="K14" s="51"/>
      <c r="L14" s="51"/>
      <c r="M14" s="51"/>
      <c r="N14" s="52"/>
    </row>
    <row r="15" ht="24" spans="1:14">
      <c r="A15" s="52"/>
      <c r="B15" s="43" t="s">
        <v>55</v>
      </c>
      <c r="C15" s="53">
        <f>+IRR(C7:M7)</f>
        <v>0.112469943750977</v>
      </c>
      <c r="D15" s="54"/>
      <c r="E15" s="54"/>
      <c r="F15" s="54"/>
      <c r="G15" s="54"/>
      <c r="H15" s="54"/>
      <c r="I15" s="54"/>
      <c r="J15" s="54"/>
      <c r="K15" s="54"/>
      <c r="L15" s="54"/>
      <c r="M15" s="68"/>
      <c r="N15" s="52"/>
    </row>
    <row r="16" ht="48" spans="1:14">
      <c r="A16" s="52"/>
      <c r="B16" s="43" t="s">
        <v>56</v>
      </c>
      <c r="C16" s="55">
        <f>7+(-J8)/K7</f>
        <v>7.0449253583677</v>
      </c>
      <c r="D16" s="56"/>
      <c r="E16" s="56"/>
      <c r="F16" s="56"/>
      <c r="G16" s="56"/>
      <c r="H16" s="56"/>
      <c r="I16" s="56"/>
      <c r="J16" s="56"/>
      <c r="K16" s="56"/>
      <c r="L16" s="56"/>
      <c r="M16" s="69"/>
      <c r="N16" s="52"/>
    </row>
    <row r="17" ht="48" spans="1:14">
      <c r="A17" s="52"/>
      <c r="B17" s="43" t="s">
        <v>57</v>
      </c>
      <c r="C17" s="57">
        <f>8+(-K11)/L10</f>
        <v>8.63224176502607</v>
      </c>
      <c r="D17" s="58"/>
      <c r="E17" s="58"/>
      <c r="F17" s="58"/>
      <c r="G17" s="58"/>
      <c r="H17" s="58"/>
      <c r="I17" s="58"/>
      <c r="J17" s="58"/>
      <c r="K17" s="58"/>
      <c r="L17" s="58"/>
      <c r="M17" s="70"/>
      <c r="N17" s="52"/>
    </row>
    <row r="18" spans="1:14">
      <c r="A18" s="52"/>
      <c r="B18" s="43" t="s">
        <v>58</v>
      </c>
      <c r="C18" s="59">
        <f>+SUM(C10:M10)</f>
        <v>41174.790841862</v>
      </c>
      <c r="D18" s="60"/>
      <c r="E18" s="60"/>
      <c r="F18" s="60"/>
      <c r="G18" s="60"/>
      <c r="H18" s="60"/>
      <c r="I18" s="60"/>
      <c r="J18" s="60"/>
      <c r="K18" s="60"/>
      <c r="L18" s="60"/>
      <c r="M18" s="71"/>
      <c r="N18" s="52"/>
    </row>
  </sheetData>
  <mergeCells count="7">
    <mergeCell ref="A1:F1"/>
    <mergeCell ref="I1:J1"/>
    <mergeCell ref="A14:M14"/>
    <mergeCell ref="C15:M15"/>
    <mergeCell ref="C16:M16"/>
    <mergeCell ref="C17:M17"/>
    <mergeCell ref="C18:M18"/>
  </mergeCell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Z25"/>
  <sheetViews>
    <sheetView workbookViewId="0">
      <selection activeCell="D26" sqref="D26"/>
    </sheetView>
  </sheetViews>
  <sheetFormatPr defaultColWidth="9" defaultRowHeight="13.8"/>
  <cols>
    <col min="2" max="2" width="15" customWidth="1"/>
    <col min="3" max="5" width="17.25" customWidth="1"/>
    <col min="6" max="6" width="18.75" customWidth="1"/>
    <col min="10" max="10" width="19.25" customWidth="1"/>
    <col min="12" max="12" width="13.8796296296296" customWidth="1"/>
  </cols>
  <sheetData>
    <row r="3" ht="17.4" spans="1:6">
      <c r="A3" s="13" t="s">
        <v>59</v>
      </c>
      <c r="B3" s="13"/>
      <c r="C3" s="13"/>
      <c r="D3" s="13"/>
      <c r="E3" s="13"/>
      <c r="F3" s="13"/>
    </row>
    <row r="4" ht="14.4" spans="1:6">
      <c r="A4" s="14"/>
      <c r="B4" s="14"/>
      <c r="C4" s="14"/>
      <c r="D4" s="15"/>
      <c r="E4" s="15"/>
      <c r="F4" s="14" t="s">
        <v>60</v>
      </c>
    </row>
    <row r="5" ht="14.4" spans="1:26">
      <c r="A5" s="16" t="s">
        <v>28</v>
      </c>
      <c r="B5" s="16"/>
      <c r="C5" s="16" t="s">
        <v>61</v>
      </c>
      <c r="D5" s="17" t="s">
        <v>62</v>
      </c>
      <c r="E5" s="17" t="s">
        <v>63</v>
      </c>
      <c r="F5" s="18" t="s">
        <v>64</v>
      </c>
      <c r="J5" t="s">
        <v>28</v>
      </c>
      <c r="M5">
        <v>2021</v>
      </c>
      <c r="N5">
        <v>2022</v>
      </c>
      <c r="O5">
        <v>2023</v>
      </c>
      <c r="P5" s="1">
        <v>2024</v>
      </c>
      <c r="Q5">
        <v>2025</v>
      </c>
      <c r="R5">
        <v>2026</v>
      </c>
      <c r="S5">
        <v>2027</v>
      </c>
      <c r="T5">
        <v>2028</v>
      </c>
      <c r="U5">
        <v>2029</v>
      </c>
      <c r="V5">
        <v>2030</v>
      </c>
      <c r="W5">
        <v>2031</v>
      </c>
      <c r="X5">
        <v>2032</v>
      </c>
      <c r="Y5">
        <v>2033</v>
      </c>
      <c r="Z5">
        <v>2034</v>
      </c>
    </row>
    <row r="6" ht="14.25" customHeight="1" spans="1:26">
      <c r="A6" s="19" t="s">
        <v>30</v>
      </c>
      <c r="B6" s="19"/>
      <c r="C6" s="20">
        <f t="shared" ref="C6:C15" si="0">P6</f>
        <v>2003.80542455705</v>
      </c>
      <c r="D6" s="21">
        <f>C6</f>
        <v>2003.80542455705</v>
      </c>
      <c r="E6" s="21">
        <f>D6</f>
        <v>2003.80542455705</v>
      </c>
      <c r="F6" s="22">
        <f>C6*1.1</f>
        <v>2204.18596701275</v>
      </c>
      <c r="J6" t="s">
        <v>29</v>
      </c>
      <c r="K6" t="s">
        <v>30</v>
      </c>
      <c r="M6">
        <v>1833.76582125</v>
      </c>
      <c r="N6">
        <v>1888.7787958875</v>
      </c>
      <c r="O6">
        <v>1945.44215976413</v>
      </c>
      <c r="P6" s="1">
        <v>2003.80542455705</v>
      </c>
      <c r="Q6">
        <v>2063.91958729376</v>
      </c>
      <c r="R6">
        <v>2125.83717491257</v>
      </c>
      <c r="S6">
        <v>2189.61229015995</v>
      </c>
      <c r="T6">
        <v>2255.30065886475</v>
      </c>
      <c r="U6">
        <v>2322.95967863069</v>
      </c>
      <c r="V6">
        <v>2392.64846898961</v>
      </c>
      <c r="W6">
        <v>2464.4279230593</v>
      </c>
      <c r="X6">
        <v>2538.36076075108</v>
      </c>
      <c r="Y6">
        <v>2614.51158357361</v>
      </c>
      <c r="Z6">
        <v>2692.94693108082</v>
      </c>
    </row>
    <row r="7" ht="14.4" spans="1:26">
      <c r="A7" s="19" t="s">
        <v>31</v>
      </c>
      <c r="B7" s="19" t="s">
        <v>32</v>
      </c>
      <c r="C7" s="20">
        <f t="shared" si="0"/>
        <v>1.94623803</v>
      </c>
      <c r="D7" s="21">
        <f>C7</f>
        <v>1.94623803</v>
      </c>
      <c r="E7" s="21">
        <f>C7</f>
        <v>1.94623803</v>
      </c>
      <c r="F7" s="22">
        <f>C7</f>
        <v>1.94623803</v>
      </c>
      <c r="K7" t="s">
        <v>31</v>
      </c>
      <c r="L7" t="s">
        <v>32</v>
      </c>
      <c r="M7">
        <v>0.9854559</v>
      </c>
      <c r="N7">
        <v>1.22668227</v>
      </c>
      <c r="O7">
        <v>1.58210811</v>
      </c>
      <c r="P7" s="1">
        <v>1.94623803</v>
      </c>
      <c r="Q7">
        <v>2.436106142151</v>
      </c>
      <c r="R7">
        <v>3.04927405813041</v>
      </c>
      <c r="S7">
        <v>3.81677633856183</v>
      </c>
      <c r="T7">
        <v>4.77745894297784</v>
      </c>
      <c r="U7">
        <v>5.97994535892537</v>
      </c>
      <c r="V7">
        <v>7.48509760576688</v>
      </c>
      <c r="W7">
        <v>9.3690966731384</v>
      </c>
      <c r="X7">
        <v>11.7272983057673</v>
      </c>
      <c r="Y7">
        <v>14.679059289329</v>
      </c>
      <c r="Z7">
        <v>18.3737785124531</v>
      </c>
    </row>
    <row r="8" ht="14.4" spans="1:26">
      <c r="A8" s="19"/>
      <c r="B8" s="19" t="s">
        <v>33</v>
      </c>
      <c r="C8" s="20">
        <f t="shared" si="0"/>
        <v>4138.7112</v>
      </c>
      <c r="D8" s="23">
        <f>C8*1.1</f>
        <v>4552.58232</v>
      </c>
      <c r="E8" s="21">
        <f>C8</f>
        <v>4138.7112</v>
      </c>
      <c r="F8" s="22">
        <f>C8</f>
        <v>4138.7112</v>
      </c>
      <c r="L8" t="s">
        <v>33</v>
      </c>
      <c r="M8">
        <v>3900</v>
      </c>
      <c r="N8">
        <v>3978</v>
      </c>
      <c r="O8">
        <v>4057.56</v>
      </c>
      <c r="P8" s="1">
        <v>4138.7112</v>
      </c>
      <c r="Q8">
        <v>4221.485424</v>
      </c>
      <c r="R8">
        <v>4305.91513248</v>
      </c>
      <c r="S8">
        <v>4392.0334351296</v>
      </c>
      <c r="T8">
        <v>4479.87410383219</v>
      </c>
      <c r="U8">
        <v>4569.47158590884</v>
      </c>
      <c r="V8">
        <v>4660.86101762701</v>
      </c>
      <c r="W8">
        <v>4754.07823797955</v>
      </c>
      <c r="X8">
        <v>4849.15980273914</v>
      </c>
      <c r="Y8">
        <v>4946.14299879393</v>
      </c>
      <c r="Z8">
        <v>5045.06585876981</v>
      </c>
    </row>
    <row r="9" ht="14.4" spans="1:26">
      <c r="A9" s="19"/>
      <c r="B9" s="19" t="s">
        <v>34</v>
      </c>
      <c r="C9" s="20">
        <f t="shared" si="0"/>
        <v>8054.91713262694</v>
      </c>
      <c r="D9" s="23">
        <f>D7*D8</f>
        <v>8860.40884588963</v>
      </c>
      <c r="E9" s="21">
        <f>C9</f>
        <v>8054.91713262694</v>
      </c>
      <c r="F9" s="22">
        <f>C9</f>
        <v>8054.91713262694</v>
      </c>
      <c r="L9" t="s">
        <v>34</v>
      </c>
      <c r="M9">
        <v>3843.27801</v>
      </c>
      <c r="N9">
        <v>4879.74207006</v>
      </c>
      <c r="O9">
        <v>6419.4985828116</v>
      </c>
      <c r="P9" s="1">
        <v>8054.91713262694</v>
      </c>
      <c r="Q9">
        <v>10283.9865704073</v>
      </c>
      <c r="R9">
        <v>13129.9153099824</v>
      </c>
      <c r="S9">
        <v>16763.4092933751</v>
      </c>
      <c r="T9">
        <v>21402.414600768</v>
      </c>
      <c r="U9">
        <v>27325.1904028969</v>
      </c>
      <c r="V9">
        <v>34886.9996438521</v>
      </c>
      <c r="W9">
        <v>44541.4186032939</v>
      </c>
      <c r="X9">
        <v>56867.5435390579</v>
      </c>
      <c r="Y9">
        <v>72604.7263327955</v>
      </c>
      <c r="Z9">
        <v>92696.9226697753</v>
      </c>
    </row>
    <row r="10" ht="14.4" spans="1:26">
      <c r="A10" s="19"/>
      <c r="B10" s="19" t="s">
        <v>35</v>
      </c>
      <c r="C10" s="20">
        <f t="shared" si="0"/>
        <v>5.86044242526316</v>
      </c>
      <c r="D10" s="21">
        <f>C10</f>
        <v>5.86044242526316</v>
      </c>
      <c r="E10" s="24">
        <f>C10</f>
        <v>5.86044242526316</v>
      </c>
      <c r="F10" s="22">
        <f>C10</f>
        <v>5.86044242526316</v>
      </c>
      <c r="L10" t="s">
        <v>35</v>
      </c>
      <c r="M10">
        <v>2.9673696</v>
      </c>
      <c r="N10">
        <v>3.69374182736842</v>
      </c>
      <c r="O10">
        <v>4.76398741894737</v>
      </c>
      <c r="P10" s="1">
        <v>5.86044242526316</v>
      </c>
      <c r="Q10">
        <v>7.3355157837019</v>
      </c>
      <c r="R10">
        <v>9.18186510645966</v>
      </c>
      <c r="S10">
        <v>11.4929405537556</v>
      </c>
      <c r="T10">
        <v>14.3857136911358</v>
      </c>
      <c r="U10">
        <v>18.0065978271947</v>
      </c>
      <c r="V10">
        <v>22.5388585002996</v>
      </c>
      <c r="W10">
        <v>28.2118891848251</v>
      </c>
      <c r="X10">
        <v>35.3128216926455</v>
      </c>
      <c r="Y10">
        <v>44.2010589126844</v>
      </c>
      <c r="Z10">
        <v>55.3264654410071</v>
      </c>
    </row>
    <row r="11" ht="14.4" spans="1:26">
      <c r="A11" s="19"/>
      <c r="B11" s="19" t="s">
        <v>33</v>
      </c>
      <c r="C11" s="20">
        <f t="shared" si="0"/>
        <v>1008.1476</v>
      </c>
      <c r="D11" s="21">
        <f>C11</f>
        <v>1008.1476</v>
      </c>
      <c r="E11" s="24">
        <f>C11*1.1</f>
        <v>1108.96236</v>
      </c>
      <c r="F11" s="22">
        <f>C11</f>
        <v>1008.1476</v>
      </c>
      <c r="L11" t="s">
        <v>33</v>
      </c>
      <c r="M11">
        <v>950</v>
      </c>
      <c r="N11">
        <v>969</v>
      </c>
      <c r="O11">
        <v>988.38</v>
      </c>
      <c r="P11" s="1">
        <v>1008.1476</v>
      </c>
      <c r="Q11">
        <v>1028.310552</v>
      </c>
      <c r="R11">
        <v>1048.87676304</v>
      </c>
      <c r="S11">
        <v>1069.8542983008</v>
      </c>
      <c r="T11">
        <v>1091.25138426682</v>
      </c>
      <c r="U11">
        <v>1113.07641195215</v>
      </c>
      <c r="V11">
        <v>1135.3379401912</v>
      </c>
      <c r="W11">
        <v>1158.04469899502</v>
      </c>
      <c r="X11">
        <v>1181.20559297492</v>
      </c>
      <c r="Y11">
        <v>1204.82970483442</v>
      </c>
      <c r="Z11">
        <v>1228.92629893111</v>
      </c>
    </row>
    <row r="12" ht="14.4" spans="1:26">
      <c r="A12" s="19"/>
      <c r="B12" s="19" t="s">
        <v>34</v>
      </c>
      <c r="C12" s="20">
        <f t="shared" si="0"/>
        <v>5908.19096596723</v>
      </c>
      <c r="D12" s="21">
        <f>D10*D11</f>
        <v>5908.19096596723</v>
      </c>
      <c r="E12" s="21">
        <f>E10*E11</f>
        <v>6499.01006256396</v>
      </c>
      <c r="F12" s="21">
        <f>F10*F11</f>
        <v>5908.19096596723</v>
      </c>
      <c r="L12" t="s">
        <v>34</v>
      </c>
      <c r="M12">
        <v>2819.00112</v>
      </c>
      <c r="N12">
        <v>3579.23583072</v>
      </c>
      <c r="O12">
        <v>4708.6298851392</v>
      </c>
      <c r="P12" s="1">
        <v>5908.19096596723</v>
      </c>
      <c r="Q12">
        <v>7543.18828474321</v>
      </c>
      <c r="R12">
        <v>9630.64495153334</v>
      </c>
      <c r="S12">
        <v>12295.771851551</v>
      </c>
      <c r="T12">
        <v>15698.4299791181</v>
      </c>
      <c r="U12">
        <v>20042.7193009593</v>
      </c>
      <c r="V12">
        <v>25589.221183991</v>
      </c>
      <c r="W12">
        <v>32670.6287191216</v>
      </c>
      <c r="X12">
        <v>41711.702487079</v>
      </c>
      <c r="Y12">
        <v>53254.7487631383</v>
      </c>
      <c r="Z12">
        <v>67992.1484073566</v>
      </c>
    </row>
    <row r="13" ht="14.25" customHeight="1" spans="1:26">
      <c r="A13" s="19" t="s">
        <v>36</v>
      </c>
      <c r="B13" s="19"/>
      <c r="C13" s="20">
        <f t="shared" si="0"/>
        <v>13963.1080985942</v>
      </c>
      <c r="D13" s="21">
        <f>D12+D9</f>
        <v>14768.5998118569</v>
      </c>
      <c r="E13" s="21">
        <f>E12+E9</f>
        <v>14553.9271951909</v>
      </c>
      <c r="F13" s="21">
        <f>F12+F9</f>
        <v>13963.1080985942</v>
      </c>
      <c r="K13" t="s">
        <v>36</v>
      </c>
      <c r="M13">
        <v>6662.27913</v>
      </c>
      <c r="N13">
        <v>8458.97790078</v>
      </c>
      <c r="O13">
        <v>11128.1284679508</v>
      </c>
      <c r="P13" s="1">
        <v>13963.1080985942</v>
      </c>
      <c r="Q13">
        <v>17827.1748551505</v>
      </c>
      <c r="R13">
        <v>22760.5602615158</v>
      </c>
      <c r="S13">
        <v>29059.1811449261</v>
      </c>
      <c r="T13">
        <v>37100.844579886</v>
      </c>
      <c r="U13">
        <v>47367.9097038562</v>
      </c>
      <c r="V13">
        <v>60476.2208278431</v>
      </c>
      <c r="W13">
        <v>77212.0473224155</v>
      </c>
      <c r="X13">
        <v>98579.2460261368</v>
      </c>
      <c r="Y13">
        <v>125859.475095934</v>
      </c>
      <c r="Z13">
        <v>160689.071077132</v>
      </c>
    </row>
    <row r="14" ht="14.25" customHeight="1" spans="1:26">
      <c r="A14" s="19" t="s">
        <v>37</v>
      </c>
      <c r="B14" s="19"/>
      <c r="C14" s="20">
        <f t="shared" si="0"/>
        <v>1792.22486452538</v>
      </c>
      <c r="D14" s="21">
        <f t="shared" ref="D14:F15" si="1">C14</f>
        <v>1792.22486452538</v>
      </c>
      <c r="E14" s="21">
        <f t="shared" si="1"/>
        <v>1792.22486452538</v>
      </c>
      <c r="F14" s="21">
        <f t="shared" si="1"/>
        <v>1792.22486452538</v>
      </c>
      <c r="K14" t="s">
        <v>37</v>
      </c>
      <c r="M14">
        <v>1548.191223</v>
      </c>
      <c r="N14">
        <v>1625.60078415</v>
      </c>
      <c r="O14">
        <v>1706.8808233575</v>
      </c>
      <c r="P14" s="1">
        <v>1792.22486452538</v>
      </c>
      <c r="Q14">
        <v>1881.83610775164</v>
      </c>
      <c r="R14">
        <v>1975.92791313923</v>
      </c>
      <c r="S14">
        <v>2074.72430879619</v>
      </c>
      <c r="T14">
        <v>2178.460524236</v>
      </c>
      <c r="U14">
        <v>2287.3835504478</v>
      </c>
      <c r="V14">
        <v>2401.75272797019</v>
      </c>
      <c r="W14">
        <v>2521.8403643687</v>
      </c>
      <c r="X14">
        <v>2647.93238258713</v>
      </c>
      <c r="Y14">
        <v>2780.32900171649</v>
      </c>
      <c r="Z14">
        <v>2919.34545180231</v>
      </c>
    </row>
    <row r="15" ht="14.25" customHeight="1" spans="1:26">
      <c r="A15" s="19" t="s">
        <v>65</v>
      </c>
      <c r="B15" s="19"/>
      <c r="C15" s="20">
        <f t="shared" si="0"/>
        <v>1901.33012443625</v>
      </c>
      <c r="D15" s="21">
        <f t="shared" si="1"/>
        <v>1901.33012443625</v>
      </c>
      <c r="E15" s="21">
        <f t="shared" si="1"/>
        <v>1901.33012443625</v>
      </c>
      <c r="F15" s="21">
        <f t="shared" si="1"/>
        <v>1901.33012443625</v>
      </c>
      <c r="K15" t="s">
        <v>38</v>
      </c>
      <c r="M15">
        <v>969.52</v>
      </c>
      <c r="N15">
        <v>1213.548184</v>
      </c>
      <c r="O15">
        <v>1518.9982619128</v>
      </c>
      <c r="P15" s="1">
        <v>1901.33012443625</v>
      </c>
      <c r="Q15">
        <v>2379.89491675686</v>
      </c>
      <c r="R15">
        <v>2978.91446730456</v>
      </c>
      <c r="S15">
        <v>3728.70723872511</v>
      </c>
      <c r="T15">
        <v>4667.22285071223</v>
      </c>
      <c r="U15">
        <v>5841.96284223649</v>
      </c>
      <c r="V15">
        <v>7312.38488962742</v>
      </c>
      <c r="W15">
        <v>9152.91216634664</v>
      </c>
      <c r="X15">
        <v>11456.7001586161</v>
      </c>
      <c r="Y15">
        <v>14340.3515885398</v>
      </c>
      <c r="Z15">
        <v>17949.8180833752</v>
      </c>
    </row>
    <row r="16" ht="14.4" spans="1:26">
      <c r="A16" s="25" t="s">
        <v>66</v>
      </c>
      <c r="B16" s="26"/>
      <c r="C16" s="20">
        <f>+C15+C14+C13+C6</f>
        <v>19660.4685121128</v>
      </c>
      <c r="D16" s="20">
        <f>+D15+D14+D13+D6</f>
        <v>20465.9602253755</v>
      </c>
      <c r="E16" s="20">
        <f>+E15+E14+E13+E6</f>
        <v>20251.2876087096</v>
      </c>
      <c r="F16" s="20">
        <f>+F15+F14+F13+F6</f>
        <v>19860.8490545685</v>
      </c>
      <c r="K16" t="s">
        <v>39</v>
      </c>
      <c r="M16">
        <v>11013.75617425</v>
      </c>
      <c r="N16">
        <v>13186.9056648175</v>
      </c>
      <c r="O16">
        <v>16299.4497129852</v>
      </c>
      <c r="P16" s="1">
        <v>19660.4685121128</v>
      </c>
      <c r="Q16">
        <v>24152.8254669528</v>
      </c>
      <c r="R16">
        <v>29841.2398168721</v>
      </c>
      <c r="S16">
        <v>37052.2249826073</v>
      </c>
      <c r="T16">
        <v>46201.828613699</v>
      </c>
      <c r="U16">
        <v>57820.2157751712</v>
      </c>
      <c r="V16">
        <v>72583.0069144304</v>
      </c>
      <c r="W16">
        <v>91351.2277761901</v>
      </c>
      <c r="X16">
        <v>115222.239328091</v>
      </c>
      <c r="Y16">
        <v>145594.667269764</v>
      </c>
      <c r="Z16">
        <v>184251.18154339</v>
      </c>
    </row>
    <row r="17" ht="14.4" spans="1:26">
      <c r="A17" s="27" t="s">
        <v>6</v>
      </c>
      <c r="B17" s="28"/>
      <c r="C17" s="22">
        <v>27837.68</v>
      </c>
      <c r="D17" s="22">
        <f>C17</f>
        <v>27837.68</v>
      </c>
      <c r="E17" s="22">
        <f>D17</f>
        <v>27837.68</v>
      </c>
      <c r="F17" s="22">
        <f>E17</f>
        <v>27837.68</v>
      </c>
      <c r="J17" t="s">
        <v>40</v>
      </c>
      <c r="P17" s="1"/>
      <c r="Q17">
        <v>760</v>
      </c>
      <c r="R17">
        <v>760</v>
      </c>
      <c r="S17">
        <v>760</v>
      </c>
      <c r="T17">
        <v>760</v>
      </c>
      <c r="U17">
        <v>760</v>
      </c>
      <c r="V17">
        <v>760</v>
      </c>
      <c r="W17">
        <v>760</v>
      </c>
      <c r="X17">
        <v>760</v>
      </c>
      <c r="Y17">
        <v>760</v>
      </c>
      <c r="Z17">
        <v>760</v>
      </c>
    </row>
    <row r="18" ht="14.4" spans="1:26">
      <c r="A18" s="27" t="s">
        <v>67</v>
      </c>
      <c r="B18" s="28"/>
      <c r="C18" s="22">
        <f>+C17-C16</f>
        <v>8177.21148788715</v>
      </c>
      <c r="D18" s="24">
        <f>D17-D16</f>
        <v>7371.71977462446</v>
      </c>
      <c r="E18" s="24">
        <f>E17-E16</f>
        <v>7586.39239129043</v>
      </c>
      <c r="F18" s="24">
        <f>F17-F16</f>
        <v>7976.83094543145</v>
      </c>
      <c r="J18" t="s">
        <v>41</v>
      </c>
      <c r="P18" s="1"/>
      <c r="Q18">
        <v>1247.4</v>
      </c>
      <c r="R18">
        <v>1247.4</v>
      </c>
      <c r="S18">
        <v>1247.4</v>
      </c>
      <c r="T18">
        <v>1247.4</v>
      </c>
      <c r="U18">
        <v>724.5</v>
      </c>
      <c r="V18">
        <v>724.5</v>
      </c>
      <c r="W18">
        <v>724.5</v>
      </c>
      <c r="X18">
        <v>724.5</v>
      </c>
      <c r="Y18">
        <v>724.5</v>
      </c>
      <c r="Z18">
        <v>724.5</v>
      </c>
    </row>
    <row r="19" ht="14.4" spans="1:26">
      <c r="A19" s="27" t="s">
        <v>68</v>
      </c>
      <c r="B19" s="28"/>
      <c r="C19" s="29" t="s">
        <v>69</v>
      </c>
      <c r="D19" s="24">
        <f>((D18-C18)/C18)/0.1</f>
        <v>-0.985044491579878</v>
      </c>
      <c r="E19" s="24">
        <f>(E18-$C$18)/$C$18/0.1</f>
        <v>-0.722519036558977</v>
      </c>
      <c r="F19" s="24">
        <f>(F18-$C$18)/$C$18/0.1</f>
        <v>-0.245047523538465</v>
      </c>
      <c r="J19" t="s">
        <v>42</v>
      </c>
      <c r="M19">
        <v>11013.75617425</v>
      </c>
      <c r="N19">
        <v>13186.9056648175</v>
      </c>
      <c r="O19">
        <v>16299.4497129852</v>
      </c>
      <c r="P19" s="1">
        <v>19660.4685121128</v>
      </c>
      <c r="Q19">
        <v>26160.2254669528</v>
      </c>
      <c r="R19">
        <v>31848.6398168721</v>
      </c>
      <c r="S19">
        <v>39059.6249826073</v>
      </c>
      <c r="T19">
        <v>48209.228613699</v>
      </c>
      <c r="U19">
        <v>59304.7157751712</v>
      </c>
      <c r="V19">
        <v>74067.5069144304</v>
      </c>
      <c r="W19">
        <v>92835.7277761901</v>
      </c>
      <c r="X19">
        <v>116706.739328091</v>
      </c>
      <c r="Y19">
        <v>147079.167269764</v>
      </c>
      <c r="Z19">
        <v>185735.68154339</v>
      </c>
    </row>
    <row r="20" ht="14.4" spans="1:6">
      <c r="A20" s="27" t="s">
        <v>70</v>
      </c>
      <c r="B20" s="28"/>
      <c r="C20" s="29" t="s">
        <v>69</v>
      </c>
      <c r="D20" s="30">
        <v>1</v>
      </c>
      <c r="E20" s="30">
        <v>2</v>
      </c>
      <c r="F20" s="30">
        <v>3</v>
      </c>
    </row>
    <row r="23" spans="4:6">
      <c r="D23" s="31"/>
      <c r="E23" s="31"/>
      <c r="F23" s="31"/>
    </row>
    <row r="25" spans="4:6">
      <c r="D25" s="32"/>
      <c r="E25" s="32"/>
      <c r="F25" s="32"/>
    </row>
  </sheetData>
  <mergeCells count="10">
    <mergeCell ref="A3:F3"/>
    <mergeCell ref="A5:B5"/>
    <mergeCell ref="A6:B6"/>
    <mergeCell ref="A13:B13"/>
    <mergeCell ref="A14:B14"/>
    <mergeCell ref="A15:B15"/>
    <mergeCell ref="A16:B16"/>
    <mergeCell ref="A17:B17"/>
    <mergeCell ref="A20:B20"/>
    <mergeCell ref="A7:A12"/>
  </mergeCell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T61"/>
  <sheetViews>
    <sheetView workbookViewId="0">
      <selection activeCell="D13" sqref="D13"/>
    </sheetView>
  </sheetViews>
  <sheetFormatPr defaultColWidth="9" defaultRowHeight="13.8"/>
  <cols>
    <col min="1" max="1" width="15.1296296296296" customWidth="1"/>
    <col min="2" max="5" width="12.1296296296296" customWidth="1"/>
    <col min="6" max="15" width="13.1296296296296" customWidth="1"/>
    <col min="16" max="16" width="9.87962962962963" customWidth="1"/>
    <col min="18" max="18" width="15.3796296296296" customWidth="1"/>
    <col min="19" max="19" width="14.25" customWidth="1"/>
    <col min="20" max="20" width="16.5" customWidth="1"/>
  </cols>
  <sheetData>
    <row r="1" spans="2:15">
      <c r="B1">
        <f>Sheet1!C9</f>
        <v>2021</v>
      </c>
      <c r="C1">
        <f>Sheet1!D9</f>
        <v>2022</v>
      </c>
      <c r="D1">
        <f>Sheet1!E9</f>
        <v>2023</v>
      </c>
      <c r="E1">
        <f>Sheet1!F9</f>
        <v>2024</v>
      </c>
      <c r="F1">
        <f>Sheet1!G9</f>
        <v>2025</v>
      </c>
      <c r="G1">
        <f>Sheet1!H9</f>
        <v>2026</v>
      </c>
      <c r="H1">
        <f>Sheet1!I9</f>
        <v>2027</v>
      </c>
      <c r="I1">
        <f>Sheet1!J9</f>
        <v>2028</v>
      </c>
      <c r="J1">
        <f>Sheet1!K9</f>
        <v>2029</v>
      </c>
      <c r="K1">
        <f>Sheet1!L9</f>
        <v>2030</v>
      </c>
      <c r="L1">
        <f>Sheet1!M9</f>
        <v>2031</v>
      </c>
      <c r="M1">
        <f>Sheet1!N9</f>
        <v>2032</v>
      </c>
      <c r="N1">
        <f>Sheet1!O9</f>
        <v>2033</v>
      </c>
      <c r="O1">
        <f>Sheet1!P9</f>
        <v>2034</v>
      </c>
    </row>
    <row r="2" spans="1:15">
      <c r="A2" t="s">
        <v>6</v>
      </c>
      <c r="B2" s="7">
        <f>Sheet1!C11</f>
        <v>14193.78</v>
      </c>
      <c r="C2" s="7">
        <f>Sheet1!D11</f>
        <v>17918.63</v>
      </c>
      <c r="D2" s="7">
        <f>Sheet1!E11</f>
        <v>22435.61</v>
      </c>
      <c r="E2" s="7">
        <f>Sheet1!F11</f>
        <v>27837.68</v>
      </c>
      <c r="F2" s="7">
        <f>Sheet1!G11</f>
        <v>42626.424056</v>
      </c>
      <c r="G2" s="7">
        <f>Sheet1!H11</f>
        <v>51396.7655908952</v>
      </c>
      <c r="H2" s="7">
        <f>Sheet1!I11</f>
        <v>62374.6020901235</v>
      </c>
      <c r="I2" s="7">
        <f>Sheet1!J11</f>
        <v>76115.5600362076</v>
      </c>
      <c r="J2" s="7">
        <f>Sheet1!K11</f>
        <v>92568.1170973211</v>
      </c>
      <c r="K2" s="7">
        <f>Sheet1!L11</f>
        <v>114096.802670717</v>
      </c>
      <c r="L2" s="7">
        <f>Sheet1!M11</f>
        <v>141044.258402936</v>
      </c>
      <c r="M2" s="7">
        <f>Sheet1!N11</f>
        <v>174774.388742955</v>
      </c>
      <c r="N2" s="7">
        <f>Sheet1!O11</f>
        <v>216994.392889557</v>
      </c>
      <c r="O2" s="7">
        <f>Sheet1!P11</f>
        <v>269841.172079859</v>
      </c>
    </row>
    <row r="3" spans="1:19">
      <c r="A3" t="s">
        <v>12</v>
      </c>
      <c r="B3" s="7">
        <f>Sheet1!C16</f>
        <v>11013.75617425</v>
      </c>
      <c r="C3" s="7">
        <f>Sheet1!D16</f>
        <v>13186.9056648175</v>
      </c>
      <c r="D3" s="7">
        <f>Sheet1!E16</f>
        <v>16299.4497129852</v>
      </c>
      <c r="E3" s="7">
        <f>Sheet1!F16</f>
        <v>19660.4685121128</v>
      </c>
      <c r="F3" s="7">
        <f>Sheet1!G16</f>
        <v>26160.2254669528</v>
      </c>
      <c r="G3" s="7">
        <f>Sheet1!H16</f>
        <v>31848.6398168721</v>
      </c>
      <c r="H3" s="7">
        <f>Sheet1!I16</f>
        <v>39059.6249826073</v>
      </c>
      <c r="I3" s="7">
        <f>Sheet1!J16</f>
        <v>48209.228613699</v>
      </c>
      <c r="J3" s="7">
        <f>Sheet1!K16</f>
        <v>59304.7157751712</v>
      </c>
      <c r="K3" s="7">
        <f>Sheet1!L16</f>
        <v>74067.5069144304</v>
      </c>
      <c r="L3" s="7">
        <f>Sheet1!M16</f>
        <v>92835.7277761901</v>
      </c>
      <c r="M3" s="7">
        <f>Sheet1!N16</f>
        <v>116706.739328091</v>
      </c>
      <c r="N3" s="7">
        <f>Sheet1!O16</f>
        <v>147079.167269764</v>
      </c>
      <c r="O3" s="7">
        <f>Sheet1!P16</f>
        <v>185735.68154339</v>
      </c>
      <c r="R3" t="s">
        <v>71</v>
      </c>
      <c r="S3">
        <v>94100915.34</v>
      </c>
    </row>
    <row r="4" spans="1:20">
      <c r="A4" t="s">
        <v>72</v>
      </c>
      <c r="B4" s="7">
        <f t="shared" ref="B4:O4" si="0">B2-B3</f>
        <v>3180.02382575</v>
      </c>
      <c r="C4" s="7">
        <f t="shared" si="0"/>
        <v>4731.7243351825</v>
      </c>
      <c r="D4" s="7">
        <f t="shared" si="0"/>
        <v>6136.16028701477</v>
      </c>
      <c r="E4" s="7">
        <f t="shared" si="0"/>
        <v>8177.21148788715</v>
      </c>
      <c r="F4" s="7">
        <f t="shared" si="0"/>
        <v>16466.1985890472</v>
      </c>
      <c r="G4" s="7">
        <f t="shared" si="0"/>
        <v>19548.1257740231</v>
      </c>
      <c r="H4" s="7">
        <f t="shared" si="0"/>
        <v>23314.9771075162</v>
      </c>
      <c r="I4" s="7">
        <f t="shared" si="0"/>
        <v>27906.3314225086</v>
      </c>
      <c r="J4" s="7">
        <f t="shared" si="0"/>
        <v>33263.4013221499</v>
      </c>
      <c r="K4" s="7">
        <f t="shared" si="0"/>
        <v>40029.2957562864</v>
      </c>
      <c r="L4" s="7">
        <f t="shared" si="0"/>
        <v>48208.5306267461</v>
      </c>
      <c r="M4" s="7">
        <f t="shared" si="0"/>
        <v>58067.6494148641</v>
      </c>
      <c r="N4" s="7">
        <f t="shared" si="0"/>
        <v>69915.2256197934</v>
      </c>
      <c r="O4" s="7">
        <f t="shared" si="0"/>
        <v>84105.4905364683</v>
      </c>
      <c r="R4" t="s">
        <v>73</v>
      </c>
      <c r="S4" s="7">
        <v>7337099.2</v>
      </c>
      <c r="T4" s="7"/>
    </row>
    <row r="5" spans="1:19">
      <c r="A5" t="s">
        <v>20</v>
      </c>
      <c r="B5" s="7">
        <f>Sheet1!C22</f>
        <v>449.213825750001</v>
      </c>
      <c r="C5" s="7">
        <f>Sheet1!D22</f>
        <v>1902.2643351825</v>
      </c>
      <c r="D5" s="7">
        <f>Sheet1!E22</f>
        <v>3365.59028701477</v>
      </c>
      <c r="E5" s="7">
        <f>Sheet1!F22</f>
        <v>5519.81604937504</v>
      </c>
      <c r="F5" s="7">
        <f>Sheet1!G22</f>
        <v>14040.4317139243</v>
      </c>
      <c r="G5" s="7">
        <f>Sheet1!H22</f>
        <v>17067.0805962473</v>
      </c>
      <c r="H5" s="7">
        <f>Sheet1!I22</f>
        <v>20773.7139899044</v>
      </c>
      <c r="I5" s="7">
        <f>Sheet1!J22</f>
        <v>25298.9027666035</v>
      </c>
      <c r="J5" s="7">
        <f>Sheet1!K22</f>
        <v>30583.8664110045</v>
      </c>
      <c r="K5" s="7">
        <f>Sheet1!L22</f>
        <v>37267.5894260802</v>
      </c>
      <c r="L5" s="7">
        <f>Sheet1!M22</f>
        <v>45353.8672943273</v>
      </c>
      <c r="M5" s="7">
        <f>Sheet1!N22</f>
        <v>55106.7413901662</v>
      </c>
      <c r="N5" s="7">
        <f>Sheet1!O22</f>
        <v>66831.6373211084</v>
      </c>
      <c r="O5" s="7">
        <f>Sheet1!P22</f>
        <v>80878.8234821636</v>
      </c>
      <c r="R5" t="s">
        <v>74</v>
      </c>
      <c r="S5" s="10">
        <f>S4/S3</f>
        <v>0.0779705401747689</v>
      </c>
    </row>
    <row r="6" spans="1:19">
      <c r="A6" t="s">
        <v>22</v>
      </c>
      <c r="B6" s="7">
        <f>Sheet1!C23</f>
        <v>449.213825750001</v>
      </c>
      <c r="C6" s="7">
        <f>Sheet1!D23</f>
        <v>1902.2643351825</v>
      </c>
      <c r="D6" s="7">
        <f>Sheet1!E23</f>
        <v>3365.59028701477</v>
      </c>
      <c r="E6" s="7">
        <f>Sheet1!F23</f>
        <v>5519.81604937504</v>
      </c>
      <c r="F6" s="7">
        <f>Sheet1!G23</f>
        <v>14040.4317139243</v>
      </c>
      <c r="G6" s="7">
        <f>Sheet1!H23</f>
        <v>17067.0805962473</v>
      </c>
      <c r="H6" s="7">
        <f>Sheet1!I23</f>
        <v>20773.7139899044</v>
      </c>
      <c r="I6" s="7">
        <f>Sheet1!J23</f>
        <v>25298.9027666035</v>
      </c>
      <c r="J6" s="7">
        <f>Sheet1!K23</f>
        <v>30583.8664110045</v>
      </c>
      <c r="K6" s="7">
        <f>Sheet1!L23</f>
        <v>37267.5894260802</v>
      </c>
      <c r="L6" s="7">
        <f>Sheet1!M23</f>
        <v>45353.8672943273</v>
      </c>
      <c r="M6" s="7">
        <f>Sheet1!N23</f>
        <v>55106.7413901662</v>
      </c>
      <c r="N6" s="7">
        <f>Sheet1!O23</f>
        <v>66831.6373211084</v>
      </c>
      <c r="O6" s="7">
        <f>Sheet1!P23</f>
        <v>80878.8234821636</v>
      </c>
      <c r="R6" t="s">
        <v>75</v>
      </c>
      <c r="S6" s="7">
        <v>1900895518.23</v>
      </c>
    </row>
    <row r="7" spans="1:19">
      <c r="A7" t="s">
        <v>26</v>
      </c>
      <c r="B7" s="7">
        <f>Sheet1!C25</f>
        <v>336.910369312501</v>
      </c>
      <c r="C7" s="7">
        <f>Sheet1!D25</f>
        <v>1426.69825138688</v>
      </c>
      <c r="D7" s="7">
        <f>Sheet1!E25</f>
        <v>2524.19271526108</v>
      </c>
      <c r="E7" s="7">
        <f>Sheet1!F25</f>
        <v>4139.86203703128</v>
      </c>
      <c r="F7" s="7">
        <f>Sheet1!G25</f>
        <v>10530.3237854432</v>
      </c>
      <c r="G7" s="7">
        <f>Sheet1!H25</f>
        <v>12800.3104471855</v>
      </c>
      <c r="H7" s="7">
        <f>Sheet1!I25</f>
        <v>15580.2854924283</v>
      </c>
      <c r="I7" s="7">
        <f>Sheet1!J25</f>
        <v>18974.1770749526</v>
      </c>
      <c r="J7" s="7">
        <f>Sheet1!K25</f>
        <v>22937.8998082534</v>
      </c>
      <c r="K7" s="7">
        <f>Sheet1!L25</f>
        <v>27950.6920695602</v>
      </c>
      <c r="L7" s="7">
        <f>Sheet1!M25</f>
        <v>34015.4004707455</v>
      </c>
      <c r="M7" s="7">
        <f>Sheet1!N25</f>
        <v>41330.0560426247</v>
      </c>
      <c r="N7" s="7">
        <f>Sheet1!O25</f>
        <v>50123.7279908313</v>
      </c>
      <c r="O7" s="7">
        <f>Sheet1!P25</f>
        <v>60659.1176116227</v>
      </c>
      <c r="S7" s="12">
        <f>S6/S4</f>
        <v>259.079980577338</v>
      </c>
    </row>
    <row r="8" spans="2:19">
      <c r="B8" s="7"/>
      <c r="C8" s="7"/>
      <c r="D8" s="7"/>
      <c r="E8" s="7"/>
      <c r="F8" s="7"/>
      <c r="G8" s="7"/>
      <c r="H8" s="7"/>
      <c r="I8" s="7"/>
      <c r="J8" s="7"/>
      <c r="K8" s="7"/>
      <c r="L8" s="7"/>
      <c r="M8" s="7"/>
      <c r="N8" s="7"/>
      <c r="O8" s="7"/>
      <c r="R8" t="s">
        <v>76</v>
      </c>
      <c r="S8">
        <v>84603227.9</v>
      </c>
    </row>
    <row r="9" spans="1:20">
      <c r="A9" t="s">
        <v>77</v>
      </c>
      <c r="B9" s="7">
        <f>B11*$S$14</f>
        <v>4517.03556440963</v>
      </c>
      <c r="C9" s="7">
        <f t="shared" ref="C9:O9" si="1">C11*$S$14</f>
        <v>5702.43366992424</v>
      </c>
      <c r="D9" s="7">
        <f t="shared" si="1"/>
        <v>7139.91961825703</v>
      </c>
      <c r="E9" s="7">
        <f t="shared" si="1"/>
        <v>8859.07704576615</v>
      </c>
      <c r="F9" s="7">
        <f t="shared" si="1"/>
        <v>13565.4542654993</v>
      </c>
      <c r="G9" s="7">
        <f t="shared" si="1"/>
        <v>16356.5320915006</v>
      </c>
      <c r="H9" s="7">
        <f t="shared" si="1"/>
        <v>19850.1242063064</v>
      </c>
      <c r="I9" s="7">
        <f t="shared" si="1"/>
        <v>24223.0534564088</v>
      </c>
      <c r="J9" s="7">
        <f t="shared" si="1"/>
        <v>29458.9233494555</v>
      </c>
      <c r="K9" s="7">
        <f t="shared" si="1"/>
        <v>36310.222889819</v>
      </c>
      <c r="L9" s="7">
        <f t="shared" si="1"/>
        <v>44885.994524492</v>
      </c>
      <c r="M9" s="7">
        <f t="shared" si="1"/>
        <v>55620.2878796122</v>
      </c>
      <c r="N9" s="7">
        <f t="shared" si="1"/>
        <v>69056.4028722162</v>
      </c>
      <c r="O9" s="7">
        <f t="shared" si="1"/>
        <v>85874.3880084586</v>
      </c>
      <c r="R9" t="s">
        <v>78</v>
      </c>
      <c r="S9">
        <v>1846009.59</v>
      </c>
      <c r="T9" s="10">
        <f>S9/S10</f>
        <v>0.237143461523375</v>
      </c>
    </row>
    <row r="10" spans="1:20">
      <c r="A10" t="s">
        <v>79</v>
      </c>
      <c r="B10" s="7">
        <f t="shared" ref="B10:O10" si="2">B2*$S$5</f>
        <v>1106.69669372183</v>
      </c>
      <c r="C10" s="7">
        <f t="shared" si="2"/>
        <v>1397.12526029182</v>
      </c>
      <c r="D10" s="7">
        <f t="shared" si="2"/>
        <v>1749.31663085045</v>
      </c>
      <c r="E10" s="7">
        <f t="shared" si="2"/>
        <v>2170.51894681236</v>
      </c>
      <c r="F10" s="7">
        <f t="shared" si="2"/>
        <v>3323.60530936508</v>
      </c>
      <c r="G10" s="7">
        <f t="shared" si="2"/>
        <v>4007.43357635808</v>
      </c>
      <c r="H10" s="7">
        <f t="shared" si="2"/>
        <v>4863.3814181532</v>
      </c>
      <c r="I10" s="7">
        <f t="shared" si="2"/>
        <v>5934.77133172816</v>
      </c>
      <c r="J10" s="7">
        <f t="shared" si="2"/>
        <v>7217.58609303939</v>
      </c>
      <c r="K10" s="7">
        <f t="shared" si="2"/>
        <v>8896.18933644981</v>
      </c>
      <c r="L10" s="7">
        <f t="shared" si="2"/>
        <v>10997.2970162266</v>
      </c>
      <c r="M10" s="7">
        <f t="shared" si="2"/>
        <v>13627.2534990033</v>
      </c>
      <c r="N10" s="7">
        <f t="shared" si="2"/>
        <v>16919.1700284948</v>
      </c>
      <c r="O10" s="7">
        <f t="shared" si="2"/>
        <v>21039.6619484594</v>
      </c>
      <c r="R10" t="s">
        <v>80</v>
      </c>
      <c r="S10">
        <v>7784357.95</v>
      </c>
      <c r="T10" s="10">
        <f>S10/S11</f>
        <v>0.402966905265476</v>
      </c>
    </row>
    <row r="11" spans="1:20">
      <c r="A11" t="s">
        <v>75</v>
      </c>
      <c r="B11" s="7">
        <f t="shared" ref="B11:O11" si="3">B10*$S$7</f>
        <v>286722.957914456</v>
      </c>
      <c r="C11" s="7">
        <f t="shared" si="3"/>
        <v>361967.185300513</v>
      </c>
      <c r="D11" s="7">
        <f t="shared" si="3"/>
        <v>453212.918744348</v>
      </c>
      <c r="E11" s="7">
        <f t="shared" si="3"/>
        <v>562338.00658289</v>
      </c>
      <c r="F11" s="7">
        <f t="shared" si="3"/>
        <v>861079.598997043</v>
      </c>
      <c r="G11" s="7">
        <f t="shared" si="3"/>
        <v>1038245.81312782</v>
      </c>
      <c r="H11" s="7">
        <f t="shared" si="3"/>
        <v>1260004.76335532</v>
      </c>
      <c r="I11" s="7">
        <f t="shared" si="3"/>
        <v>1537580.44135507</v>
      </c>
      <c r="J11" s="7">
        <f t="shared" si="3"/>
        <v>1869932.06479991</v>
      </c>
      <c r="K11" s="7">
        <f t="shared" si="3"/>
        <v>2304824.56049973</v>
      </c>
      <c r="L11" s="7">
        <f t="shared" si="3"/>
        <v>2849179.49736721</v>
      </c>
      <c r="M11" s="7">
        <f t="shared" si="3"/>
        <v>3530548.57184423</v>
      </c>
      <c r="N11" s="7">
        <f t="shared" si="3"/>
        <v>4383418.24236711</v>
      </c>
      <c r="O11" s="7">
        <f t="shared" si="3"/>
        <v>5450955.2089606</v>
      </c>
      <c r="R11" t="s">
        <v>81</v>
      </c>
      <c r="S11">
        <v>19317611.07</v>
      </c>
      <c r="T11" s="10"/>
    </row>
    <row r="12" spans="1:15">
      <c r="A12" t="s">
        <v>82</v>
      </c>
      <c r="B12" s="7"/>
      <c r="C12" s="7"/>
      <c r="D12" s="7"/>
      <c r="E12" s="7"/>
      <c r="F12" s="7">
        <f>S24-S23</f>
        <v>199240</v>
      </c>
      <c r="G12" s="7">
        <f t="shared" ref="G12:O12" si="4">F12-$S$23</f>
        <v>198480</v>
      </c>
      <c r="H12" s="7">
        <f t="shared" si="4"/>
        <v>197720</v>
      </c>
      <c r="I12" s="7">
        <f t="shared" si="4"/>
        <v>196960</v>
      </c>
      <c r="J12" s="7">
        <f t="shared" si="4"/>
        <v>196200</v>
      </c>
      <c r="K12" s="7">
        <f t="shared" si="4"/>
        <v>195440</v>
      </c>
      <c r="L12" s="7">
        <f t="shared" si="4"/>
        <v>194680</v>
      </c>
      <c r="M12" s="7">
        <f t="shared" si="4"/>
        <v>193920</v>
      </c>
      <c r="N12" s="7">
        <f t="shared" si="4"/>
        <v>193160</v>
      </c>
      <c r="O12" s="7">
        <f t="shared" si="4"/>
        <v>192400</v>
      </c>
    </row>
    <row r="13" spans="1:15">
      <c r="A13" t="s">
        <v>83</v>
      </c>
      <c r="B13" s="7">
        <f>B12</f>
        <v>0</v>
      </c>
      <c r="C13" s="7">
        <f t="shared" ref="C13:O13" si="5">C12</f>
        <v>0</v>
      </c>
      <c r="D13" s="7">
        <f t="shared" si="5"/>
        <v>0</v>
      </c>
      <c r="E13" s="7">
        <f t="shared" si="5"/>
        <v>0</v>
      </c>
      <c r="F13" s="7">
        <f t="shared" si="5"/>
        <v>199240</v>
      </c>
      <c r="G13" s="7">
        <f t="shared" si="5"/>
        <v>198480</v>
      </c>
      <c r="H13" s="7">
        <f t="shared" si="5"/>
        <v>197720</v>
      </c>
      <c r="I13" s="7">
        <f t="shared" si="5"/>
        <v>196960</v>
      </c>
      <c r="J13" s="7">
        <f t="shared" si="5"/>
        <v>196200</v>
      </c>
      <c r="K13" s="7">
        <f t="shared" si="5"/>
        <v>195440</v>
      </c>
      <c r="L13" s="7">
        <f t="shared" si="5"/>
        <v>194680</v>
      </c>
      <c r="M13" s="7">
        <f t="shared" si="5"/>
        <v>193920</v>
      </c>
      <c r="N13" s="7">
        <f t="shared" si="5"/>
        <v>193160</v>
      </c>
      <c r="O13" s="7">
        <f t="shared" si="5"/>
        <v>192400</v>
      </c>
    </row>
    <row r="14" spans="1:19">
      <c r="A14" t="s">
        <v>84</v>
      </c>
      <c r="B14" s="7">
        <f>B11+B13</f>
        <v>286722.957914456</v>
      </c>
      <c r="C14" s="7">
        <f>C13+C11</f>
        <v>361967.185300513</v>
      </c>
      <c r="D14" s="7">
        <f t="shared" ref="C14:O14" si="6">D13+D11</f>
        <v>453212.918744348</v>
      </c>
      <c r="E14" s="7">
        <f t="shared" si="6"/>
        <v>562338.00658289</v>
      </c>
      <c r="F14" s="7">
        <f t="shared" si="6"/>
        <v>1060319.59899704</v>
      </c>
      <c r="G14" s="7">
        <f t="shared" si="6"/>
        <v>1236725.81312782</v>
      </c>
      <c r="H14" s="7">
        <f t="shared" si="6"/>
        <v>1457724.76335532</v>
      </c>
      <c r="I14" s="7">
        <f t="shared" si="6"/>
        <v>1734540.44135507</v>
      </c>
      <c r="J14" s="7">
        <f t="shared" si="6"/>
        <v>2066132.06479991</v>
      </c>
      <c r="K14" s="7">
        <f t="shared" si="6"/>
        <v>2500264.56049973</v>
      </c>
      <c r="L14" s="7">
        <f t="shared" si="6"/>
        <v>3043859.49736721</v>
      </c>
      <c r="M14" s="7">
        <f t="shared" si="6"/>
        <v>3724468.57184423</v>
      </c>
      <c r="N14" s="7">
        <f t="shared" si="6"/>
        <v>4576578.24236711</v>
      </c>
      <c r="O14" s="7">
        <f t="shared" si="6"/>
        <v>5643355.2089606</v>
      </c>
      <c r="Q14" t="s">
        <v>77</v>
      </c>
      <c r="R14">
        <v>29946721.82</v>
      </c>
      <c r="S14" s="10">
        <f>R14/S6</f>
        <v>0.0157540072733112</v>
      </c>
    </row>
    <row r="16" spans="1:18">
      <c r="A16" t="s">
        <v>78</v>
      </c>
      <c r="B16" s="7">
        <f>B17*$T$9</f>
        <v>240.315884207384</v>
      </c>
      <c r="C16" s="7">
        <f t="shared" ref="C16:O16" si="7">C17*$T$9</f>
        <v>349.358335167761</v>
      </c>
      <c r="D16" s="7">
        <f t="shared" si="7"/>
        <v>563.023040823723</v>
      </c>
      <c r="E16" s="7">
        <f t="shared" si="7"/>
        <v>428.98379078574</v>
      </c>
      <c r="F16" s="7">
        <f t="shared" si="7"/>
        <v>570.805964349691</v>
      </c>
      <c r="G16" s="7">
        <f t="shared" si="7"/>
        <v>3058.57924446788</v>
      </c>
      <c r="H16" s="7">
        <f t="shared" si="7"/>
        <v>3638.29760838044</v>
      </c>
      <c r="I16" s="7">
        <f t="shared" si="7"/>
        <v>2709.45026883159</v>
      </c>
      <c r="J16" s="7">
        <f t="shared" si="7"/>
        <v>11166.0847580802</v>
      </c>
      <c r="K16" s="7">
        <f t="shared" si="7"/>
        <v>1616.12424803747</v>
      </c>
      <c r="L16" s="7">
        <f t="shared" si="7"/>
        <v>2025.63954146102</v>
      </c>
      <c r="M16" s="7">
        <f t="shared" si="7"/>
        <v>2546.49574685184</v>
      </c>
      <c r="N16" s="7">
        <f t="shared" si="7"/>
        <v>3209.21033403263</v>
      </c>
      <c r="O16" s="7">
        <f t="shared" si="7"/>
        <v>4052.68046911346</v>
      </c>
      <c r="Q16" t="s">
        <v>84</v>
      </c>
      <c r="R16" s="7">
        <v>2028120187.95</v>
      </c>
    </row>
    <row r="17" spans="1:15">
      <c r="A17" t="s">
        <v>80</v>
      </c>
      <c r="B17" s="7">
        <f>B19*$T$10</f>
        <v>1013.37765192272</v>
      </c>
      <c r="C17" s="7">
        <f t="shared" ref="C17:O17" si="8">C19*$T$10</f>
        <v>1473.19404432884</v>
      </c>
      <c r="D17" s="7">
        <f t="shared" si="8"/>
        <v>2374.18749480566</v>
      </c>
      <c r="E17" s="7">
        <f t="shared" si="8"/>
        <v>1808.96318215991</v>
      </c>
      <c r="F17" s="7">
        <f t="shared" si="8"/>
        <v>2407.00696819941</v>
      </c>
      <c r="G17" s="7">
        <f t="shared" si="8"/>
        <v>12897.5904493424</v>
      </c>
      <c r="H17" s="7">
        <f t="shared" si="8"/>
        <v>15342.1797295551</v>
      </c>
      <c r="I17" s="7">
        <f t="shared" si="8"/>
        <v>11425.3635812958</v>
      </c>
      <c r="J17" s="7">
        <f t="shared" si="8"/>
        <v>47085.7795797992</v>
      </c>
      <c r="K17" s="7">
        <f t="shared" si="8"/>
        <v>6814.96440026526</v>
      </c>
      <c r="L17" s="7">
        <f t="shared" si="8"/>
        <v>8541.83171843999</v>
      </c>
      <c r="M17" s="7">
        <f t="shared" si="8"/>
        <v>10738.20770977</v>
      </c>
      <c r="N17" s="7">
        <f t="shared" si="8"/>
        <v>13532.7801720407</v>
      </c>
      <c r="O17" s="7">
        <f t="shared" si="8"/>
        <v>17089.5728816626</v>
      </c>
    </row>
    <row r="18" spans="1:19">
      <c r="A18" t="s">
        <v>85</v>
      </c>
      <c r="B18" s="7">
        <f>B19-B17</f>
        <v>1501.41360929786</v>
      </c>
      <c r="C18" s="7">
        <f t="shared" ref="C18:O18" si="9">C19-C17</f>
        <v>2182.67452720632</v>
      </c>
      <c r="D18" s="7">
        <f t="shared" si="9"/>
        <v>3517.58044887085</v>
      </c>
      <c r="E18" s="7">
        <f t="shared" si="9"/>
        <v>2680.14785530397</v>
      </c>
      <c r="F18" s="7">
        <f t="shared" si="9"/>
        <v>3566.20556302239</v>
      </c>
      <c r="G18" s="7">
        <f t="shared" si="9"/>
        <v>19108.984484759</v>
      </c>
      <c r="H18" s="7">
        <f t="shared" si="9"/>
        <v>22730.8717520488</v>
      </c>
      <c r="I18" s="7">
        <f t="shared" si="9"/>
        <v>16927.7429195191</v>
      </c>
      <c r="J18" s="7">
        <f t="shared" si="9"/>
        <v>69761.9787957402</v>
      </c>
      <c r="K18" s="7">
        <f t="shared" si="9"/>
        <v>10097.0060648416</v>
      </c>
      <c r="L18" s="7">
        <f t="shared" si="9"/>
        <v>12655.5212324496</v>
      </c>
      <c r="M18" s="7">
        <f t="shared" si="9"/>
        <v>15909.6573368537</v>
      </c>
      <c r="N18" s="7">
        <f t="shared" si="9"/>
        <v>20050.0773659134</v>
      </c>
      <c r="O18" s="7">
        <f t="shared" si="9"/>
        <v>25319.7978591031</v>
      </c>
      <c r="Q18" t="s">
        <v>86</v>
      </c>
      <c r="R18" s="7">
        <v>2008802576.88</v>
      </c>
      <c r="S18" s="10">
        <f>R18/R16</f>
        <v>0.990475115239829</v>
      </c>
    </row>
    <row r="19" spans="1:19">
      <c r="A19" t="s">
        <v>81</v>
      </c>
      <c r="B19" s="7">
        <f>B14-B21</f>
        <v>2514.79126122058</v>
      </c>
      <c r="C19" s="7">
        <f t="shared" ref="C19:O19" si="10">C14-C21</f>
        <v>3655.86857153516</v>
      </c>
      <c r="D19" s="7">
        <f t="shared" si="10"/>
        <v>5891.7679436765</v>
      </c>
      <c r="E19" s="7">
        <f t="shared" si="10"/>
        <v>4489.11103746388</v>
      </c>
      <c r="F19" s="7">
        <f t="shared" si="10"/>
        <v>5973.2125312218</v>
      </c>
      <c r="G19" s="7">
        <f t="shared" si="10"/>
        <v>32006.5749341014</v>
      </c>
      <c r="H19" s="7">
        <f t="shared" si="10"/>
        <v>38073.0514816039</v>
      </c>
      <c r="I19" s="7">
        <f t="shared" si="10"/>
        <v>28353.1065008149</v>
      </c>
      <c r="J19" s="7">
        <f t="shared" si="10"/>
        <v>116847.758375539</v>
      </c>
      <c r="K19" s="7">
        <f t="shared" si="10"/>
        <v>16911.9704651069</v>
      </c>
      <c r="L19" s="7">
        <f t="shared" si="10"/>
        <v>21197.3529508896</v>
      </c>
      <c r="M19" s="7">
        <f t="shared" si="10"/>
        <v>26647.8650466236</v>
      </c>
      <c r="N19" s="7">
        <f t="shared" si="10"/>
        <v>33582.8575379541</v>
      </c>
      <c r="O19" s="7">
        <f t="shared" si="10"/>
        <v>42409.3707407657</v>
      </c>
      <c r="S19" s="10">
        <f>S10/S11</f>
        <v>0.402966905265476</v>
      </c>
    </row>
    <row r="20" spans="17:19">
      <c r="Q20" t="s">
        <v>85</v>
      </c>
      <c r="R20" s="7">
        <v>11533253.12</v>
      </c>
      <c r="S20" s="10">
        <f>R20/S11</f>
        <v>0.597033094734524</v>
      </c>
    </row>
    <row r="21" spans="1:15">
      <c r="A21" t="s">
        <v>86</v>
      </c>
      <c r="B21" s="7">
        <f>B37*B14</f>
        <v>284208.166653235</v>
      </c>
      <c r="C21" s="7">
        <f t="shared" ref="B21:O21" si="11">C37*C14</f>
        <v>358311.316728977</v>
      </c>
      <c r="D21" s="7">
        <f t="shared" si="11"/>
        <v>447321.150800671</v>
      </c>
      <c r="E21" s="7">
        <f t="shared" si="11"/>
        <v>557848.895545426</v>
      </c>
      <c r="F21" s="7">
        <f t="shared" si="11"/>
        <v>1054346.38646582</v>
      </c>
      <c r="G21" s="7">
        <f t="shared" si="11"/>
        <v>1204719.23819372</v>
      </c>
      <c r="H21" s="7">
        <f t="shared" si="11"/>
        <v>1419651.71187371</v>
      </c>
      <c r="I21" s="7">
        <f t="shared" si="11"/>
        <v>1706187.33485426</v>
      </c>
      <c r="J21" s="7">
        <f t="shared" si="11"/>
        <v>1949284.30642437</v>
      </c>
      <c r="K21" s="7">
        <f t="shared" si="11"/>
        <v>2483352.59003463</v>
      </c>
      <c r="L21" s="7">
        <f t="shared" si="11"/>
        <v>3022662.14441632</v>
      </c>
      <c r="M21" s="7">
        <f t="shared" si="11"/>
        <v>3697820.7067976</v>
      </c>
      <c r="N21" s="7">
        <f t="shared" si="11"/>
        <v>4542995.38482915</v>
      </c>
      <c r="O21" s="7">
        <f t="shared" si="11"/>
        <v>5600945.83821983</v>
      </c>
    </row>
    <row r="23" spans="19:19">
      <c r="S23">
        <v>760</v>
      </c>
    </row>
    <row r="24" spans="19:19">
      <c r="S24">
        <v>200000</v>
      </c>
    </row>
    <row r="25" spans="1:16">
      <c r="A25" t="s">
        <v>87</v>
      </c>
      <c r="C25" s="7">
        <f>C2/((B10+C10)/2)</f>
        <v>14.3130225144613</v>
      </c>
      <c r="D25" s="7">
        <f t="shared" ref="D25:O25" si="12">D2/((C10+D10)/2)</f>
        <v>14.2609403104884</v>
      </c>
      <c r="E25" s="7">
        <f t="shared" si="12"/>
        <v>14.2034937172534</v>
      </c>
      <c r="F25" s="7">
        <f t="shared" si="12"/>
        <v>15.5170950158515</v>
      </c>
      <c r="G25" s="7">
        <f t="shared" si="12"/>
        <v>14.0216868010311</v>
      </c>
      <c r="H25" s="7">
        <f t="shared" si="12"/>
        <v>14.0628797080577</v>
      </c>
      <c r="I25" s="7">
        <f t="shared" si="12"/>
        <v>14.0978854067505</v>
      </c>
      <c r="J25" s="7">
        <f t="shared" si="12"/>
        <v>14.0762775991783</v>
      </c>
      <c r="K25" s="7">
        <f t="shared" si="12"/>
        <v>14.1613991295811</v>
      </c>
      <c r="L25" s="7">
        <f t="shared" si="12"/>
        <v>14.179943716498</v>
      </c>
      <c r="M25" s="7">
        <f t="shared" si="12"/>
        <v>14.195133319072</v>
      </c>
      <c r="N25" s="7">
        <f t="shared" si="12"/>
        <v>14.2075155013953</v>
      </c>
      <c r="O25" s="7">
        <f t="shared" si="12"/>
        <v>14.217569826368</v>
      </c>
      <c r="P25" s="7"/>
    </row>
    <row r="26" spans="1:15">
      <c r="A26" t="s">
        <v>88</v>
      </c>
      <c r="C26" s="7">
        <f>C3/((B16+C16)/2)</f>
        <v>44.7260715545311</v>
      </c>
      <c r="D26" s="7">
        <f t="shared" ref="D26:O26" si="13">D3/((C16+D16)/2)</f>
        <v>35.7294660805031</v>
      </c>
      <c r="E26" s="7">
        <f t="shared" si="13"/>
        <v>39.6377683815243</v>
      </c>
      <c r="F26" s="7">
        <f t="shared" si="13"/>
        <v>52.3314533532285</v>
      </c>
      <c r="G26" s="7">
        <f t="shared" si="13"/>
        <v>17.5504323649615</v>
      </c>
      <c r="H26" s="7">
        <f t="shared" si="13"/>
        <v>11.6650270987123</v>
      </c>
      <c r="I26" s="7">
        <f t="shared" si="13"/>
        <v>15.1893961594684</v>
      </c>
      <c r="J26" s="7">
        <f t="shared" si="13"/>
        <v>8.54809788021129</v>
      </c>
      <c r="K26" s="7">
        <f t="shared" si="13"/>
        <v>11.589155971238</v>
      </c>
      <c r="L26" s="7">
        <f t="shared" si="13"/>
        <v>50.9839369834443</v>
      </c>
      <c r="M26" s="7">
        <f t="shared" si="13"/>
        <v>51.0513062141504</v>
      </c>
      <c r="N26" s="7">
        <f t="shared" si="13"/>
        <v>51.1072543326126</v>
      </c>
      <c r="O26" s="7">
        <f t="shared" si="13"/>
        <v>51.1535319321859</v>
      </c>
    </row>
    <row r="27" spans="1:15">
      <c r="A27" t="s">
        <v>89</v>
      </c>
      <c r="C27" s="7">
        <f>C2/((C11+B11)/2)</f>
        <v>0.0552455750636</v>
      </c>
      <c r="D27" s="7">
        <f t="shared" ref="D27:O27" si="14">D2/((D11+C11)/2)</f>
        <v>0.0550445475513356</v>
      </c>
      <c r="E27" s="7">
        <f t="shared" si="14"/>
        <v>0.0548228145053975</v>
      </c>
      <c r="F27" s="7">
        <f t="shared" si="14"/>
        <v>0.0598930684697173</v>
      </c>
      <c r="G27" s="7">
        <f t="shared" si="14"/>
        <v>0.0541210740011057</v>
      </c>
      <c r="H27" s="7">
        <f t="shared" si="14"/>
        <v>0.0542800708751013</v>
      </c>
      <c r="I27" s="7">
        <f t="shared" si="14"/>
        <v>0.0544151862885529</v>
      </c>
      <c r="J27" s="7">
        <f t="shared" si="14"/>
        <v>0.0543317842150927</v>
      </c>
      <c r="K27" s="7">
        <f t="shared" si="14"/>
        <v>0.0546603373136883</v>
      </c>
      <c r="L27" s="7">
        <f t="shared" si="14"/>
        <v>0.0547319159315173</v>
      </c>
      <c r="M27" s="7">
        <f t="shared" si="14"/>
        <v>0.0547905449407527</v>
      </c>
      <c r="N27" s="7">
        <f t="shared" si="14"/>
        <v>0.0548383378358105</v>
      </c>
      <c r="O27" s="7">
        <f t="shared" si="14"/>
        <v>0.054877145639294</v>
      </c>
    </row>
    <row r="28" spans="1:15">
      <c r="A28" t="s">
        <v>90</v>
      </c>
      <c r="C28" s="8">
        <f>C2/((B14+C14)/2)</f>
        <v>0.0552455750636</v>
      </c>
      <c r="D28" s="8">
        <f t="shared" ref="D28:O28" si="15">D2/((C14+D14)/2)</f>
        <v>0.0550445475513356</v>
      </c>
      <c r="E28" s="8">
        <f t="shared" si="15"/>
        <v>0.0548228145053975</v>
      </c>
      <c r="F28" s="8">
        <f t="shared" si="15"/>
        <v>0.0525390247571859</v>
      </c>
      <c r="G28" s="8">
        <f t="shared" si="15"/>
        <v>0.0447503260663454</v>
      </c>
      <c r="H28" s="8">
        <f t="shared" si="15"/>
        <v>0.04629856834972</v>
      </c>
      <c r="I28" s="8">
        <f t="shared" si="15"/>
        <v>0.0476874915805205</v>
      </c>
      <c r="J28" s="8">
        <f t="shared" si="15"/>
        <v>0.0487114409081088</v>
      </c>
      <c r="K28" s="8">
        <f t="shared" si="15"/>
        <v>0.0499723576522352</v>
      </c>
      <c r="L28" s="8">
        <f t="shared" si="15"/>
        <v>0.0508806285468301</v>
      </c>
      <c r="M28" s="8">
        <f t="shared" si="15"/>
        <v>0.0516447745900467</v>
      </c>
      <c r="N28" s="8">
        <f t="shared" si="15"/>
        <v>0.0522812116944249</v>
      </c>
      <c r="O28" s="8">
        <f t="shared" si="15"/>
        <v>0.0528068354583664</v>
      </c>
    </row>
    <row r="29" spans="1:15">
      <c r="A29" t="s">
        <v>91</v>
      </c>
      <c r="B29" s="7">
        <f t="shared" ref="B29:O29" si="16">B4/B2</f>
        <v>0.224043477195645</v>
      </c>
      <c r="C29" s="7">
        <f t="shared" si="16"/>
        <v>0.264067305099916</v>
      </c>
      <c r="D29" s="7">
        <f t="shared" si="16"/>
        <v>0.273500933873194</v>
      </c>
      <c r="E29" s="7">
        <f t="shared" si="16"/>
        <v>0.293746155853762</v>
      </c>
      <c r="F29" s="7">
        <f t="shared" si="16"/>
        <v>0.386290873647175</v>
      </c>
      <c r="G29" s="7">
        <f t="shared" si="16"/>
        <v>0.380337664233992</v>
      </c>
      <c r="H29" s="7">
        <f t="shared" si="16"/>
        <v>0.373789592658707</v>
      </c>
      <c r="I29" s="7">
        <f t="shared" si="16"/>
        <v>0.366631098940004</v>
      </c>
      <c r="J29" s="7">
        <f t="shared" si="16"/>
        <v>0.359339720469614</v>
      </c>
      <c r="K29" s="7">
        <f t="shared" si="16"/>
        <v>0.350836262009996</v>
      </c>
      <c r="L29" s="7">
        <f t="shared" si="16"/>
        <v>0.341797186022444</v>
      </c>
      <c r="M29" s="7">
        <f t="shared" si="16"/>
        <v>0.33224347018181</v>
      </c>
      <c r="N29" s="7">
        <f t="shared" si="16"/>
        <v>0.322198305167166</v>
      </c>
      <c r="O29" s="7">
        <f t="shared" si="16"/>
        <v>0.311685166085691</v>
      </c>
    </row>
    <row r="30" spans="1:17">
      <c r="A30" t="s">
        <v>92</v>
      </c>
      <c r="B30" s="7">
        <f t="shared" ref="B30:O30" si="17">B7/B2</f>
        <v>0.0237364795926456</v>
      </c>
      <c r="C30" s="7">
        <f t="shared" si="17"/>
        <v>0.079620944870611</v>
      </c>
      <c r="D30" s="7">
        <f t="shared" si="17"/>
        <v>0.112508316701043</v>
      </c>
      <c r="E30" s="7">
        <f t="shared" si="17"/>
        <v>0.148714333846473</v>
      </c>
      <c r="F30" s="7">
        <f t="shared" si="17"/>
        <v>0.247037466047096</v>
      </c>
      <c r="G30" s="7">
        <f t="shared" si="17"/>
        <v>0.249048948898314</v>
      </c>
      <c r="H30" s="7">
        <f t="shared" si="17"/>
        <v>0.249785729613421</v>
      </c>
      <c r="I30" s="7">
        <f t="shared" si="17"/>
        <v>0.249281185948402</v>
      </c>
      <c r="J30" s="7">
        <f t="shared" si="17"/>
        <v>0.247794818859044</v>
      </c>
      <c r="K30" s="7">
        <f t="shared" si="17"/>
        <v>0.244973491064652</v>
      </c>
      <c r="L30" s="7">
        <f t="shared" si="17"/>
        <v>0.241168274808961</v>
      </c>
      <c r="M30" s="7">
        <f t="shared" si="17"/>
        <v>0.236476616167199</v>
      </c>
      <c r="N30" s="7">
        <f t="shared" si="17"/>
        <v>0.230990890240849</v>
      </c>
      <c r="O30" s="7">
        <f t="shared" si="17"/>
        <v>0.224795634943621</v>
      </c>
      <c r="Q30" s="7"/>
    </row>
    <row r="31" spans="1:15">
      <c r="A31" t="s">
        <v>93</v>
      </c>
      <c r="B31" s="7">
        <f>B11/B17</f>
        <v>282.937912998619</v>
      </c>
      <c r="C31" s="7">
        <f t="shared" ref="B31:O31" si="18">C11/C17</f>
        <v>245.702313754206</v>
      </c>
      <c r="D31" s="7">
        <f t="shared" si="18"/>
        <v>190.891797609037</v>
      </c>
      <c r="E31" s="7">
        <f t="shared" si="18"/>
        <v>310.862051880711</v>
      </c>
      <c r="F31" s="7">
        <f t="shared" si="18"/>
        <v>357.738722975607</v>
      </c>
      <c r="G31" s="7">
        <f t="shared" si="18"/>
        <v>80.4992077555662</v>
      </c>
      <c r="H31" s="7">
        <f t="shared" si="18"/>
        <v>82.1268415287857</v>
      </c>
      <c r="I31" s="7">
        <f t="shared" si="18"/>
        <v>134.576062320871</v>
      </c>
      <c r="J31" s="7">
        <f t="shared" si="18"/>
        <v>39.7133079559789</v>
      </c>
      <c r="K31" s="7">
        <f t="shared" si="18"/>
        <v>338.200528297701</v>
      </c>
      <c r="L31" s="7">
        <f t="shared" si="18"/>
        <v>333.556032392495</v>
      </c>
      <c r="M31" s="7">
        <f t="shared" si="18"/>
        <v>328.783784712231</v>
      </c>
      <c r="N31" s="7">
        <f t="shared" si="18"/>
        <v>323.911139222037</v>
      </c>
      <c r="O31" s="7">
        <f t="shared" si="18"/>
        <v>318.963805983096</v>
      </c>
    </row>
    <row r="32" spans="1:15">
      <c r="A32" t="s">
        <v>94</v>
      </c>
      <c r="B32" s="7">
        <f t="shared" ref="B32:O32" si="19">B9/B17</f>
        <v>4.45740593927573</v>
      </c>
      <c r="C32" s="7">
        <f t="shared" si="19"/>
        <v>3.87079603795314</v>
      </c>
      <c r="D32" s="7">
        <f t="shared" si="19"/>
        <v>3.00731076794821</v>
      </c>
      <c r="E32" s="7">
        <f t="shared" si="19"/>
        <v>4.89732302632515</v>
      </c>
      <c r="F32" s="7">
        <f t="shared" si="19"/>
        <v>5.63581844370275</v>
      </c>
      <c r="G32" s="7">
        <f t="shared" si="19"/>
        <v>1.26818510447698</v>
      </c>
      <c r="H32" s="7">
        <f t="shared" si="19"/>
        <v>1.29382685877856</v>
      </c>
      <c r="I32" s="7">
        <f t="shared" si="19"/>
        <v>2.12011226461657</v>
      </c>
      <c r="J32" s="7">
        <f t="shared" si="19"/>
        <v>0.625643742385737</v>
      </c>
      <c r="K32" s="7">
        <f t="shared" si="19"/>
        <v>5.32801358263966</v>
      </c>
      <c r="L32" s="7">
        <f t="shared" si="19"/>
        <v>5.25484416036817</v>
      </c>
      <c r="M32" s="7">
        <f t="shared" si="19"/>
        <v>5.17966213570325</v>
      </c>
      <c r="N32" s="7">
        <f t="shared" si="19"/>
        <v>5.10289844321047</v>
      </c>
      <c r="O32" s="7">
        <f t="shared" si="19"/>
        <v>5.0249581193807</v>
      </c>
    </row>
    <row r="33" spans="1:15">
      <c r="A33" s="1" t="s">
        <v>95</v>
      </c>
      <c r="B33" s="9">
        <f t="shared" ref="B33:O33" si="20">B14/B21</f>
        <v>1.00884841308691</v>
      </c>
      <c r="C33" s="9">
        <f t="shared" si="20"/>
        <v>1.01020305081321</v>
      </c>
      <c r="D33" s="9">
        <f t="shared" si="20"/>
        <v>1.01317122593718</v>
      </c>
      <c r="E33" s="9">
        <f t="shared" si="20"/>
        <v>1.00804718100782</v>
      </c>
      <c r="F33" s="9">
        <f t="shared" si="20"/>
        <v>1.00566532271358</v>
      </c>
      <c r="G33" s="9">
        <f t="shared" si="20"/>
        <v>1.02656766316946</v>
      </c>
      <c r="H33" s="9">
        <f t="shared" si="20"/>
        <v>1.02681858596948</v>
      </c>
      <c r="I33" s="9">
        <f t="shared" si="20"/>
        <v>1.01661781559481</v>
      </c>
      <c r="J33" s="9">
        <f t="shared" si="20"/>
        <v>1.05994392813323</v>
      </c>
      <c r="K33" s="9">
        <f t="shared" si="20"/>
        <v>1.00681013664067</v>
      </c>
      <c r="L33" s="9">
        <f t="shared" si="20"/>
        <v>1.00701280921854</v>
      </c>
      <c r="M33" s="9">
        <f t="shared" si="20"/>
        <v>1.0072063702271</v>
      </c>
      <c r="N33" s="9">
        <f t="shared" si="20"/>
        <v>1.00739222796706</v>
      </c>
      <c r="O33" s="9">
        <f t="shared" si="20"/>
        <v>1.00757182303949</v>
      </c>
    </row>
    <row r="34" spans="1:15">
      <c r="A34" s="1" t="s">
        <v>96</v>
      </c>
      <c r="B34" s="9">
        <f t="shared" ref="B34:O34" si="21">B19/B14</f>
        <v>0.00877080537782005</v>
      </c>
      <c r="C34" s="9">
        <f t="shared" si="21"/>
        <v>0.0101</v>
      </c>
      <c r="D34" s="9">
        <f t="shared" si="21"/>
        <v>0.013</v>
      </c>
      <c r="E34" s="9">
        <f t="shared" si="21"/>
        <v>0.00798294083791787</v>
      </c>
      <c r="F34" s="9">
        <f t="shared" si="21"/>
        <v>0.00563340764131104</v>
      </c>
      <c r="G34" s="9">
        <f t="shared" si="21"/>
        <v>0.025880089664461</v>
      </c>
      <c r="H34" s="9">
        <f t="shared" si="21"/>
        <v>0.02611813453314</v>
      </c>
      <c r="I34" s="9">
        <f t="shared" si="21"/>
        <v>0.016346177826021</v>
      </c>
      <c r="J34" s="9">
        <f t="shared" si="21"/>
        <v>0.056553867183149</v>
      </c>
      <c r="K34" s="9">
        <f t="shared" si="21"/>
        <v>0.00676407238349475</v>
      </c>
      <c r="L34" s="9">
        <f t="shared" si="21"/>
        <v>0.00696397221002622</v>
      </c>
      <c r="M34" s="9">
        <f t="shared" si="21"/>
        <v>0.00715481001721235</v>
      </c>
      <c r="N34" s="9">
        <f t="shared" si="21"/>
        <v>0.00733798391712502</v>
      </c>
      <c r="O34" s="9">
        <f t="shared" si="21"/>
        <v>0.00751492138460955</v>
      </c>
    </row>
    <row r="37" spans="2:15">
      <c r="B37" s="10">
        <v>0.99122919462218</v>
      </c>
      <c r="C37" s="10">
        <v>0.9899</v>
      </c>
      <c r="D37" s="10">
        <v>0.987</v>
      </c>
      <c r="E37" s="10">
        <v>0.992017059162082</v>
      </c>
      <c r="F37" s="10">
        <v>0.994366592358689</v>
      </c>
      <c r="G37" s="10">
        <v>0.974119910335539</v>
      </c>
      <c r="H37" s="10">
        <v>0.97388186546686</v>
      </c>
      <c r="I37" s="10">
        <v>0.983653822173979</v>
      </c>
      <c r="J37" s="10">
        <v>0.943446132816851</v>
      </c>
      <c r="K37" s="10">
        <v>0.993235927616505</v>
      </c>
      <c r="L37" s="10">
        <v>0.993036027789974</v>
      </c>
      <c r="M37" s="10">
        <v>0.992845189982788</v>
      </c>
      <c r="N37" s="10">
        <v>0.992662016082875</v>
      </c>
      <c r="O37" s="10">
        <v>0.99248507861539</v>
      </c>
    </row>
    <row r="38" spans="2:15">
      <c r="B38" s="10">
        <f>1-B37</f>
        <v>0.00877080537782005</v>
      </c>
      <c r="C38" s="10">
        <f t="shared" ref="C38:O38" si="22">1-C37</f>
        <v>0.0101</v>
      </c>
      <c r="D38" s="10">
        <f t="shared" si="22"/>
        <v>0.013</v>
      </c>
      <c r="E38" s="10">
        <f t="shared" si="22"/>
        <v>0.00798294083791795</v>
      </c>
      <c r="F38" s="10">
        <f t="shared" si="22"/>
        <v>0.00563340764131104</v>
      </c>
      <c r="G38" s="10">
        <f t="shared" si="22"/>
        <v>0.025880089664461</v>
      </c>
      <c r="H38" s="10">
        <f t="shared" si="22"/>
        <v>0.02611813453314</v>
      </c>
      <c r="I38" s="10">
        <f t="shared" si="22"/>
        <v>0.016346177826021</v>
      </c>
      <c r="J38" s="10">
        <f t="shared" si="22"/>
        <v>0.056553867183149</v>
      </c>
      <c r="K38" s="10">
        <f t="shared" si="22"/>
        <v>0.00676407238349475</v>
      </c>
      <c r="L38" s="10">
        <f t="shared" si="22"/>
        <v>0.0069639722100262</v>
      </c>
      <c r="M38" s="10">
        <f t="shared" si="22"/>
        <v>0.0071548100172123</v>
      </c>
      <c r="N38" s="10">
        <f t="shared" si="22"/>
        <v>0.00733798391712503</v>
      </c>
      <c r="O38" s="10">
        <f t="shared" si="22"/>
        <v>0.00751492138460952</v>
      </c>
    </row>
    <row r="40" spans="1:15">
      <c r="A40" t="s">
        <v>97</v>
      </c>
      <c r="B40" t="e">
        <f>360/B25</f>
        <v>#DIV/0!</v>
      </c>
      <c r="C40">
        <f t="shared" ref="C40:O40" si="23">360/C25</f>
        <v>25.1519201926965</v>
      </c>
      <c r="D40">
        <f t="shared" si="23"/>
        <v>25.2437772097843</v>
      </c>
      <c r="E40">
        <f t="shared" si="23"/>
        <v>25.3458766671398</v>
      </c>
      <c r="F40">
        <f t="shared" si="23"/>
        <v>23.2002188316976</v>
      </c>
      <c r="G40">
        <f t="shared" si="23"/>
        <v>25.6745144224393</v>
      </c>
      <c r="H40">
        <f t="shared" si="23"/>
        <v>25.5993087812397</v>
      </c>
      <c r="I40">
        <f t="shared" si="23"/>
        <v>25.5357445186511</v>
      </c>
      <c r="J40">
        <f t="shared" si="23"/>
        <v>25.5749431952816</v>
      </c>
      <c r="K40">
        <f t="shared" si="23"/>
        <v>25.4212169790492</v>
      </c>
      <c r="L40">
        <f t="shared" si="23"/>
        <v>25.3879710101493</v>
      </c>
      <c r="M40">
        <f t="shared" si="23"/>
        <v>25.3608044326234</v>
      </c>
      <c r="N40">
        <f t="shared" si="23"/>
        <v>25.3387018979248</v>
      </c>
      <c r="O40">
        <f t="shared" si="23"/>
        <v>25.3207829746221</v>
      </c>
    </row>
    <row r="41" spans="1:15">
      <c r="A41" t="s">
        <v>98</v>
      </c>
      <c r="B41" t="e">
        <f t="shared" ref="B41:O43" si="24">360/B26</f>
        <v>#DIV/0!</v>
      </c>
      <c r="C41">
        <f>360/C26</f>
        <v>8.04899664753877</v>
      </c>
      <c r="D41">
        <f t="shared" si="24"/>
        <v>10.0757173137957</v>
      </c>
      <c r="E41">
        <f t="shared" si="24"/>
        <v>9.08224692507665</v>
      </c>
      <c r="F41">
        <f t="shared" si="24"/>
        <v>6.87922801551221</v>
      </c>
      <c r="G41">
        <f t="shared" si="24"/>
        <v>20.5123151677289</v>
      </c>
      <c r="H41">
        <f t="shared" si="24"/>
        <v>30.861479956591</v>
      </c>
      <c r="I41">
        <f t="shared" si="24"/>
        <v>23.7007446655865</v>
      </c>
      <c r="J41">
        <f t="shared" si="24"/>
        <v>42.114632406514</v>
      </c>
      <c r="K41">
        <f t="shared" si="24"/>
        <v>31.0635218728136</v>
      </c>
      <c r="L41">
        <f t="shared" si="24"/>
        <v>7.0610474847578</v>
      </c>
      <c r="M41">
        <f t="shared" si="24"/>
        <v>7.05172945996464</v>
      </c>
      <c r="N41">
        <f t="shared" si="24"/>
        <v>7.04400979276002</v>
      </c>
      <c r="O41">
        <f t="shared" si="24"/>
        <v>7.03763721490924</v>
      </c>
    </row>
    <row r="42" spans="1:15">
      <c r="A42" t="s">
        <v>99</v>
      </c>
      <c r="B42" t="e">
        <f t="shared" si="24"/>
        <v>#DIV/0!</v>
      </c>
      <c r="C42">
        <f>360/C27</f>
        <v>6516.35899500656</v>
      </c>
      <c r="D42">
        <f t="shared" si="24"/>
        <v>6540.15730920955</v>
      </c>
      <c r="E42">
        <f t="shared" si="24"/>
        <v>6566.60923463819</v>
      </c>
      <c r="F42">
        <f t="shared" si="24"/>
        <v>6010.71224430621</v>
      </c>
      <c r="G42">
        <f t="shared" si="24"/>
        <v>6651.75269789814</v>
      </c>
      <c r="H42">
        <f t="shared" si="24"/>
        <v>6632.26842183685</v>
      </c>
      <c r="I42">
        <f t="shared" si="24"/>
        <v>6615.80019391998</v>
      </c>
      <c r="J42">
        <f t="shared" si="24"/>
        <v>6625.95578630006</v>
      </c>
      <c r="K42">
        <f t="shared" si="24"/>
        <v>6586.12840118436</v>
      </c>
      <c r="L42">
        <f t="shared" si="24"/>
        <v>6577.51503620751</v>
      </c>
      <c r="M42">
        <f t="shared" si="24"/>
        <v>6570.47671982973</v>
      </c>
      <c r="N42">
        <f t="shared" si="24"/>
        <v>6564.7503955693</v>
      </c>
      <c r="O42">
        <f t="shared" si="24"/>
        <v>6560.10796126807</v>
      </c>
    </row>
    <row r="43" spans="1:15">
      <c r="A43" t="s">
        <v>100</v>
      </c>
      <c r="B43" t="e">
        <f t="shared" si="24"/>
        <v>#DIV/0!</v>
      </c>
      <c r="C43">
        <f>360/C28</f>
        <v>6516.35899500656</v>
      </c>
      <c r="D43">
        <f t="shared" si="24"/>
        <v>6540.15730920955</v>
      </c>
      <c r="E43">
        <f t="shared" si="24"/>
        <v>6566.60923463819</v>
      </c>
      <c r="F43">
        <f t="shared" si="24"/>
        <v>6852.049532015</v>
      </c>
      <c r="G43">
        <f t="shared" si="24"/>
        <v>8044.63412101792</v>
      </c>
      <c r="H43">
        <f t="shared" si="24"/>
        <v>7775.61840099915</v>
      </c>
      <c r="I43">
        <f t="shared" si="24"/>
        <v>7549.14943244894</v>
      </c>
      <c r="J43">
        <f t="shared" si="24"/>
        <v>7390.46091202923</v>
      </c>
      <c r="K43">
        <f t="shared" si="24"/>
        <v>7203.98269990164</v>
      </c>
      <c r="L43">
        <f t="shared" si="24"/>
        <v>7075.38429224904</v>
      </c>
      <c r="M43">
        <f t="shared" si="24"/>
        <v>6970.69554195288</v>
      </c>
      <c r="N43">
        <f t="shared" si="24"/>
        <v>6885.83887657656</v>
      </c>
      <c r="O43">
        <f t="shared" si="24"/>
        <v>6817.29925444649</v>
      </c>
    </row>
    <row r="61" ht="36" spans="3:3">
      <c r="C61" s="11"/>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R32"/>
  <sheetViews>
    <sheetView tabSelected="1" workbookViewId="0">
      <selection activeCell="H24" sqref="H24:I24"/>
    </sheetView>
  </sheetViews>
  <sheetFormatPr defaultColWidth="9" defaultRowHeight="13.8"/>
  <cols>
    <col min="2" max="3" width="11" customWidth="1"/>
    <col min="4" max="7" width="9.87962962962963" customWidth="1"/>
    <col min="9" max="9" width="9.87962962962963" customWidth="1"/>
    <col min="10" max="10" width="11" customWidth="1"/>
    <col min="11" max="11" width="12.1296296296296" customWidth="1"/>
    <col min="12" max="13" width="11" customWidth="1"/>
    <col min="14" max="14" width="12.1296296296296" customWidth="1"/>
    <col min="16" max="17" width="9.87962962962963" customWidth="1"/>
    <col min="18" max="19" width="11" customWidth="1"/>
    <col min="21" max="21" width="12.1296296296296" customWidth="1"/>
  </cols>
  <sheetData>
    <row r="1" spans="1:18">
      <c r="A1" t="s">
        <v>101</v>
      </c>
      <c r="B1" t="s">
        <v>6</v>
      </c>
      <c r="C1" t="s">
        <v>12</v>
      </c>
      <c r="D1" t="s">
        <v>72</v>
      </c>
      <c r="E1" t="s">
        <v>20</v>
      </c>
      <c r="F1" t="s">
        <v>22</v>
      </c>
      <c r="G1" t="s">
        <v>26</v>
      </c>
      <c r="H1" t="s">
        <v>77</v>
      </c>
      <c r="I1" t="s">
        <v>79</v>
      </c>
      <c r="J1" t="s">
        <v>75</v>
      </c>
      <c r="K1" t="s">
        <v>82</v>
      </c>
      <c r="L1" t="s">
        <v>83</v>
      </c>
      <c r="M1" t="s">
        <v>84</v>
      </c>
      <c r="N1" t="s">
        <v>78</v>
      </c>
      <c r="O1" t="s">
        <v>80</v>
      </c>
      <c r="P1" t="s">
        <v>85</v>
      </c>
      <c r="Q1" t="s">
        <v>81</v>
      </c>
      <c r="R1" t="s">
        <v>86</v>
      </c>
    </row>
    <row r="2" spans="1:18">
      <c r="A2">
        <v>2021</v>
      </c>
      <c r="B2" s="7">
        <v>14193.78</v>
      </c>
      <c r="C2" s="7">
        <v>11013.75617425</v>
      </c>
      <c r="D2" s="7">
        <f>B2-C2</f>
        <v>3180.02382575</v>
      </c>
      <c r="E2" s="7">
        <v>449.213825750001</v>
      </c>
      <c r="F2" s="7">
        <v>449.213825750001</v>
      </c>
      <c r="G2" s="7">
        <v>336.910369312501</v>
      </c>
      <c r="H2" s="7">
        <v>4517.03556440963</v>
      </c>
      <c r="I2" s="7">
        <v>1106.69669372183</v>
      </c>
      <c r="J2" s="7">
        <v>286722.957914456</v>
      </c>
      <c r="K2" s="7">
        <v>0</v>
      </c>
      <c r="L2" s="7">
        <v>0</v>
      </c>
      <c r="M2" s="7">
        <v>286722.957914456</v>
      </c>
      <c r="N2" s="7">
        <v>240.315884207384</v>
      </c>
      <c r="O2" s="7">
        <v>1013.37765192272</v>
      </c>
      <c r="P2" s="7">
        <v>1501.41360929786</v>
      </c>
      <c r="Q2" s="7">
        <v>2514.79126122058</v>
      </c>
      <c r="R2" s="7">
        <v>284208.166653235</v>
      </c>
    </row>
    <row r="3" spans="1:18">
      <c r="A3">
        <v>2022</v>
      </c>
      <c r="B3" s="7">
        <v>17918.63</v>
      </c>
      <c r="C3" s="7">
        <v>13186.9056648175</v>
      </c>
      <c r="D3" s="7">
        <f t="shared" ref="D3:D15" si="0">B3-C3</f>
        <v>4731.7243351825</v>
      </c>
      <c r="E3" s="7">
        <v>1902.2643351825</v>
      </c>
      <c r="F3" s="7">
        <v>1902.2643351825</v>
      </c>
      <c r="G3" s="7">
        <v>1426.69825138688</v>
      </c>
      <c r="H3" s="7">
        <v>5702.43366992424</v>
      </c>
      <c r="I3" s="7">
        <v>1397.12526029182</v>
      </c>
      <c r="J3" s="7">
        <v>361967.185300513</v>
      </c>
      <c r="K3" s="7">
        <v>0</v>
      </c>
      <c r="L3" s="7">
        <v>0</v>
      </c>
      <c r="M3" s="7">
        <v>361967.185300513</v>
      </c>
      <c r="N3" s="7">
        <v>349.358335167761</v>
      </c>
      <c r="O3" s="7">
        <v>1473.19404432884</v>
      </c>
      <c r="P3" s="7">
        <v>2182.67452720632</v>
      </c>
      <c r="Q3" s="7">
        <v>3655.86857153516</v>
      </c>
      <c r="R3" s="7">
        <v>358311.316728977</v>
      </c>
    </row>
    <row r="4" spans="1:18">
      <c r="A4">
        <v>2023</v>
      </c>
      <c r="B4" s="7">
        <v>22435.61</v>
      </c>
      <c r="C4" s="7">
        <v>16299.4497129852</v>
      </c>
      <c r="D4" s="7">
        <f t="shared" si="0"/>
        <v>6136.16028701477</v>
      </c>
      <c r="E4" s="7">
        <v>3365.59028701477</v>
      </c>
      <c r="F4" s="7">
        <v>3365.59028701477</v>
      </c>
      <c r="G4" s="7">
        <v>2524.19271526108</v>
      </c>
      <c r="H4" s="7">
        <v>7139.91961825703</v>
      </c>
      <c r="I4" s="7">
        <v>1749.31663085045</v>
      </c>
      <c r="J4" s="7">
        <v>453212.918744348</v>
      </c>
      <c r="K4" s="7">
        <v>0</v>
      </c>
      <c r="L4" s="7">
        <v>0</v>
      </c>
      <c r="M4" s="7">
        <v>453212.918744348</v>
      </c>
      <c r="N4" s="7">
        <v>563.023040823723</v>
      </c>
      <c r="O4" s="7">
        <v>2374.18749480566</v>
      </c>
      <c r="P4" s="7">
        <v>3517.58044887085</v>
      </c>
      <c r="Q4" s="7">
        <v>5891.7679436765</v>
      </c>
      <c r="R4" s="7">
        <v>447321.150800671</v>
      </c>
    </row>
    <row r="5" spans="1:18">
      <c r="A5">
        <v>2024</v>
      </c>
      <c r="B5" s="7">
        <v>27837.68</v>
      </c>
      <c r="C5" s="7">
        <v>19660.4685121128</v>
      </c>
      <c r="D5" s="7">
        <f t="shared" si="0"/>
        <v>8177.21148788715</v>
      </c>
      <c r="E5" s="7">
        <v>5519.81604937504</v>
      </c>
      <c r="F5" s="7">
        <v>5519.81604937504</v>
      </c>
      <c r="G5" s="7">
        <v>4139.86203703128</v>
      </c>
      <c r="H5" s="7">
        <v>8859.07704576615</v>
      </c>
      <c r="I5" s="7">
        <v>2170.51894681236</v>
      </c>
      <c r="J5" s="7">
        <v>562338.00658289</v>
      </c>
      <c r="K5" s="7">
        <v>0</v>
      </c>
      <c r="L5" s="7">
        <v>0</v>
      </c>
      <c r="M5" s="7">
        <v>562338.00658289</v>
      </c>
      <c r="N5" s="7">
        <v>428.98379078574</v>
      </c>
      <c r="O5" s="7">
        <v>1808.96318215991</v>
      </c>
      <c r="P5" s="7">
        <v>2680.14785530397</v>
      </c>
      <c r="Q5" s="7">
        <v>4489.11103746388</v>
      </c>
      <c r="R5" s="7">
        <v>557848.895545426</v>
      </c>
    </row>
    <row r="6" spans="1:18">
      <c r="A6">
        <v>2025</v>
      </c>
      <c r="B6" s="7">
        <v>42626.424056</v>
      </c>
      <c r="C6" s="7">
        <v>26160.2254669528</v>
      </c>
      <c r="D6" s="7">
        <f t="shared" si="0"/>
        <v>16466.1985890472</v>
      </c>
      <c r="E6" s="7">
        <v>14040.4317139243</v>
      </c>
      <c r="F6" s="7">
        <v>14040.4317139243</v>
      </c>
      <c r="G6" s="7">
        <v>10530.3237854432</v>
      </c>
      <c r="H6" s="7">
        <v>13565.4542654993</v>
      </c>
      <c r="I6" s="7">
        <v>3323.60530936508</v>
      </c>
      <c r="J6" s="7">
        <v>861079.598997043</v>
      </c>
      <c r="K6" s="7">
        <v>199240</v>
      </c>
      <c r="L6" s="7">
        <v>199240</v>
      </c>
      <c r="M6" s="7">
        <v>1060319.59899704</v>
      </c>
      <c r="N6" s="7">
        <v>570.805964349691</v>
      </c>
      <c r="O6" s="7">
        <v>2407.00696819941</v>
      </c>
      <c r="P6" s="7">
        <v>3566.20556302239</v>
      </c>
      <c r="Q6" s="7">
        <v>5973.2125312218</v>
      </c>
      <c r="R6" s="7">
        <v>1054346.38646582</v>
      </c>
    </row>
    <row r="7" spans="1:18">
      <c r="A7">
        <v>2026</v>
      </c>
      <c r="B7" s="7">
        <v>51396.7655908952</v>
      </c>
      <c r="C7" s="7">
        <v>31848.6398168721</v>
      </c>
      <c r="D7" s="7">
        <f t="shared" si="0"/>
        <v>19548.1257740231</v>
      </c>
      <c r="E7" s="7">
        <v>17067.0805962473</v>
      </c>
      <c r="F7" s="7">
        <v>17067.0805962473</v>
      </c>
      <c r="G7" s="7">
        <v>12800.3104471855</v>
      </c>
      <c r="H7" s="7">
        <v>16356.5320915006</v>
      </c>
      <c r="I7" s="7">
        <v>4007.43357635808</v>
      </c>
      <c r="J7" s="7">
        <v>1038245.81312782</v>
      </c>
      <c r="K7" s="7">
        <v>198480</v>
      </c>
      <c r="L7" s="7">
        <v>198480</v>
      </c>
      <c r="M7" s="7">
        <v>1236725.81312782</v>
      </c>
      <c r="N7" s="7">
        <v>3058.57924446788</v>
      </c>
      <c r="O7" s="7">
        <v>12897.5904493424</v>
      </c>
      <c r="P7" s="7">
        <v>19108.984484759</v>
      </c>
      <c r="Q7" s="7">
        <v>32006.5749341014</v>
      </c>
      <c r="R7" s="7">
        <v>1204719.23819372</v>
      </c>
    </row>
    <row r="8" spans="1:18">
      <c r="A8">
        <v>2027</v>
      </c>
      <c r="B8" s="7">
        <v>62374.6020901235</v>
      </c>
      <c r="C8" s="7">
        <v>39059.6249826073</v>
      </c>
      <c r="D8" s="7">
        <f t="shared" si="0"/>
        <v>23314.9771075162</v>
      </c>
      <c r="E8" s="7">
        <v>20773.7139899044</v>
      </c>
      <c r="F8" s="7">
        <v>20773.7139899044</v>
      </c>
      <c r="G8" s="7">
        <v>15580.2854924283</v>
      </c>
      <c r="H8" s="7">
        <v>19850.1242063064</v>
      </c>
      <c r="I8" s="7">
        <v>4863.3814181532</v>
      </c>
      <c r="J8" s="7">
        <v>1260004.76335532</v>
      </c>
      <c r="K8" s="7">
        <v>197720</v>
      </c>
      <c r="L8" s="7">
        <v>197720</v>
      </c>
      <c r="M8" s="7">
        <v>1457724.76335532</v>
      </c>
      <c r="N8" s="7">
        <v>3638.29760838044</v>
      </c>
      <c r="O8" s="7">
        <v>15342.1797295551</v>
      </c>
      <c r="P8" s="7">
        <v>22730.8717520488</v>
      </c>
      <c r="Q8" s="7">
        <v>38073.0514816039</v>
      </c>
      <c r="R8" s="7">
        <v>1419651.71187371</v>
      </c>
    </row>
    <row r="9" spans="1:18">
      <c r="A9">
        <v>2028</v>
      </c>
      <c r="B9" s="7">
        <v>76115.5600362076</v>
      </c>
      <c r="C9" s="7">
        <v>48209.228613699</v>
      </c>
      <c r="D9" s="7">
        <f t="shared" si="0"/>
        <v>27906.3314225086</v>
      </c>
      <c r="E9" s="7">
        <v>25298.9027666035</v>
      </c>
      <c r="F9" s="7">
        <v>25298.9027666035</v>
      </c>
      <c r="G9" s="7">
        <v>18974.1770749526</v>
      </c>
      <c r="H9" s="7">
        <v>24223.0534564088</v>
      </c>
      <c r="I9" s="7">
        <v>5934.77133172816</v>
      </c>
      <c r="J9" s="7">
        <v>1537580.44135507</v>
      </c>
      <c r="K9" s="7">
        <v>196960</v>
      </c>
      <c r="L9" s="7">
        <v>196960</v>
      </c>
      <c r="M9" s="7">
        <v>1734540.44135507</v>
      </c>
      <c r="N9" s="7">
        <v>2709.45026883159</v>
      </c>
      <c r="O9" s="7">
        <v>11425.3635812958</v>
      </c>
      <c r="P9" s="7">
        <v>16927.7429195191</v>
      </c>
      <c r="Q9" s="7">
        <v>28353.1065008149</v>
      </c>
      <c r="R9" s="7">
        <v>1706187.33485426</v>
      </c>
    </row>
    <row r="10" spans="1:18">
      <c r="A10">
        <v>2029</v>
      </c>
      <c r="B10" s="7">
        <v>92568.1170973211</v>
      </c>
      <c r="C10" s="7">
        <v>59304.7157751712</v>
      </c>
      <c r="D10" s="7">
        <f t="shared" si="0"/>
        <v>33263.4013221499</v>
      </c>
      <c r="E10" s="7">
        <v>30583.8664110045</v>
      </c>
      <c r="F10" s="7">
        <v>30583.8664110045</v>
      </c>
      <c r="G10" s="7">
        <v>22937.8998082534</v>
      </c>
      <c r="H10" s="7">
        <v>29458.9233494555</v>
      </c>
      <c r="I10" s="7">
        <v>7217.58609303939</v>
      </c>
      <c r="J10" s="7">
        <v>1869932.06479991</v>
      </c>
      <c r="K10" s="7">
        <v>196200</v>
      </c>
      <c r="L10" s="7">
        <v>196200</v>
      </c>
      <c r="M10" s="7">
        <v>2066132.06479991</v>
      </c>
      <c r="N10" s="7">
        <v>11166.0847580802</v>
      </c>
      <c r="O10" s="7">
        <v>47085.7795797992</v>
      </c>
      <c r="P10" s="7">
        <v>69761.9787957402</v>
      </c>
      <c r="Q10" s="7">
        <v>116847.758375539</v>
      </c>
      <c r="R10" s="7">
        <v>1949284.30642437</v>
      </c>
    </row>
    <row r="11" spans="1:18">
      <c r="A11">
        <v>2030</v>
      </c>
      <c r="B11" s="7">
        <v>114096.802670717</v>
      </c>
      <c r="C11" s="7">
        <v>74067.5069144304</v>
      </c>
      <c r="D11" s="7">
        <f t="shared" si="0"/>
        <v>40029.2957562864</v>
      </c>
      <c r="E11" s="7">
        <v>37267.5894260802</v>
      </c>
      <c r="F11" s="7">
        <v>37267.5894260802</v>
      </c>
      <c r="G11" s="7">
        <v>27950.6920695602</v>
      </c>
      <c r="H11" s="7">
        <v>36310.222889819</v>
      </c>
      <c r="I11" s="7">
        <v>8896.18933644981</v>
      </c>
      <c r="J11" s="7">
        <v>2304824.56049973</v>
      </c>
      <c r="K11" s="7">
        <v>195440</v>
      </c>
      <c r="L11" s="7">
        <v>195440</v>
      </c>
      <c r="M11" s="7">
        <v>2500264.56049973</v>
      </c>
      <c r="N11" s="7">
        <v>1616.12424803747</v>
      </c>
      <c r="O11" s="7">
        <v>6814.96440026526</v>
      </c>
      <c r="P11" s="7">
        <v>10097.0060648416</v>
      </c>
      <c r="Q11" s="7">
        <v>16911.9704651069</v>
      </c>
      <c r="R11" s="7">
        <v>2483352.59003463</v>
      </c>
    </row>
    <row r="12" spans="1:18">
      <c r="A12">
        <v>2031</v>
      </c>
      <c r="B12" s="7">
        <v>141044.258402936</v>
      </c>
      <c r="C12" s="7">
        <v>92835.7277761901</v>
      </c>
      <c r="D12" s="7">
        <f t="shared" si="0"/>
        <v>48208.5306267461</v>
      </c>
      <c r="E12" s="7">
        <v>45353.8672943273</v>
      </c>
      <c r="F12" s="7">
        <v>45353.8672943273</v>
      </c>
      <c r="G12" s="7">
        <v>34015.4004707455</v>
      </c>
      <c r="H12" s="7">
        <v>44885.994524492</v>
      </c>
      <c r="I12" s="7">
        <v>10997.2970162266</v>
      </c>
      <c r="J12" s="7">
        <v>2849179.49736721</v>
      </c>
      <c r="K12" s="7">
        <v>194680</v>
      </c>
      <c r="L12" s="7">
        <v>194680</v>
      </c>
      <c r="M12" s="7">
        <v>3043859.49736721</v>
      </c>
      <c r="N12" s="7">
        <v>2025.63954146102</v>
      </c>
      <c r="O12" s="7">
        <v>8541.83171843999</v>
      </c>
      <c r="P12" s="7">
        <v>12655.5212324496</v>
      </c>
      <c r="Q12" s="7">
        <v>21197.3529508896</v>
      </c>
      <c r="R12" s="7">
        <v>3022662.14441632</v>
      </c>
    </row>
    <row r="13" spans="1:18">
      <c r="A13">
        <v>2032</v>
      </c>
      <c r="B13" s="7">
        <v>174774.388742955</v>
      </c>
      <c r="C13" s="7">
        <v>116706.739328091</v>
      </c>
      <c r="D13" s="7">
        <f t="shared" si="0"/>
        <v>58067.6494148641</v>
      </c>
      <c r="E13" s="7">
        <v>55106.7413901662</v>
      </c>
      <c r="F13" s="7">
        <v>55106.7413901662</v>
      </c>
      <c r="G13" s="7">
        <v>41330.0560426247</v>
      </c>
      <c r="H13" s="7">
        <v>55620.2878796122</v>
      </c>
      <c r="I13" s="7">
        <v>13627.2534990033</v>
      </c>
      <c r="J13" s="7">
        <v>3530548.57184423</v>
      </c>
      <c r="K13" s="7">
        <v>193920</v>
      </c>
      <c r="L13" s="7">
        <v>193920</v>
      </c>
      <c r="M13" s="7">
        <v>3724468.57184423</v>
      </c>
      <c r="N13" s="7">
        <v>2546.49574685184</v>
      </c>
      <c r="O13" s="7">
        <v>10738.20770977</v>
      </c>
      <c r="P13" s="7">
        <v>15909.6573368537</v>
      </c>
      <c r="Q13" s="7">
        <v>26647.8650466236</v>
      </c>
      <c r="R13" s="7">
        <v>3697820.7067976</v>
      </c>
    </row>
    <row r="14" spans="1:18">
      <c r="A14">
        <v>2033</v>
      </c>
      <c r="B14" s="7">
        <v>216994.392889557</v>
      </c>
      <c r="C14" s="7">
        <v>147079.167269764</v>
      </c>
      <c r="D14" s="7">
        <f t="shared" si="0"/>
        <v>69915.2256197934</v>
      </c>
      <c r="E14" s="7">
        <v>66831.6373211084</v>
      </c>
      <c r="F14" s="7">
        <v>66831.6373211084</v>
      </c>
      <c r="G14" s="7">
        <v>50123.7279908313</v>
      </c>
      <c r="H14" s="7">
        <v>69056.4028722162</v>
      </c>
      <c r="I14" s="7">
        <v>16919.1700284948</v>
      </c>
      <c r="J14" s="7">
        <v>4383418.24236711</v>
      </c>
      <c r="K14" s="7">
        <v>193160</v>
      </c>
      <c r="L14" s="7">
        <v>193160</v>
      </c>
      <c r="M14" s="7">
        <v>4576578.24236711</v>
      </c>
      <c r="N14" s="7">
        <v>3209.21033403263</v>
      </c>
      <c r="O14" s="7">
        <v>13532.7801720407</v>
      </c>
      <c r="P14" s="7">
        <v>20050.0773659134</v>
      </c>
      <c r="Q14" s="7">
        <v>33582.8575379541</v>
      </c>
      <c r="R14" s="7">
        <v>4542995.38482915</v>
      </c>
    </row>
    <row r="15" spans="1:18">
      <c r="A15">
        <v>2034</v>
      </c>
      <c r="B15" s="7">
        <v>269841.172079859</v>
      </c>
      <c r="C15" s="7">
        <v>185735.68154339</v>
      </c>
      <c r="D15" s="7">
        <f t="shared" si="0"/>
        <v>84105.4905364683</v>
      </c>
      <c r="E15" s="7">
        <v>80878.8234821636</v>
      </c>
      <c r="F15" s="7">
        <v>80878.8234821636</v>
      </c>
      <c r="G15" s="7">
        <v>60659.1176116227</v>
      </c>
      <c r="H15" s="7">
        <v>85874.3880084586</v>
      </c>
      <c r="I15" s="7">
        <v>21039.6619484594</v>
      </c>
      <c r="J15" s="7">
        <v>5450955.2089606</v>
      </c>
      <c r="K15" s="7">
        <v>192400</v>
      </c>
      <c r="L15" s="7">
        <v>192400</v>
      </c>
      <c r="M15" s="7">
        <v>5643355.2089606</v>
      </c>
      <c r="N15" s="7">
        <v>4052.68046911346</v>
      </c>
      <c r="O15" s="7">
        <v>17089.5728816626</v>
      </c>
      <c r="P15" s="7">
        <v>25319.7978591031</v>
      </c>
      <c r="Q15" s="7">
        <v>42409.3707407657</v>
      </c>
      <c r="R15" s="7">
        <v>5600945.83821983</v>
      </c>
    </row>
    <row r="19" spans="11:12">
      <c r="K19" s="7"/>
      <c r="L19" s="7"/>
    </row>
    <row r="20" spans="11:12">
      <c r="K20" s="7"/>
      <c r="L20" s="7"/>
    </row>
    <row r="21" spans="11:12">
      <c r="K21" s="7"/>
      <c r="L21" s="7"/>
    </row>
    <row r="22" spans="11:12">
      <c r="K22" s="7"/>
      <c r="L22" s="7"/>
    </row>
    <row r="23" spans="11:12">
      <c r="K23" s="7"/>
      <c r="L23" s="7"/>
    </row>
    <row r="24" spans="11:12">
      <c r="K24" s="7"/>
      <c r="L24" s="7"/>
    </row>
    <row r="25" spans="11:12">
      <c r="K25" s="7"/>
      <c r="L25" s="7"/>
    </row>
    <row r="26" spans="11:12">
      <c r="K26" s="7"/>
      <c r="L26" s="7"/>
    </row>
    <row r="27" spans="11:12">
      <c r="K27" s="7"/>
      <c r="L27" s="7"/>
    </row>
    <row r="28" spans="11:12">
      <c r="K28" s="7"/>
      <c r="L28" s="7"/>
    </row>
    <row r="29" spans="11:12">
      <c r="K29" s="7"/>
      <c r="L29" s="7"/>
    </row>
    <row r="30" spans="11:12">
      <c r="K30" s="7"/>
      <c r="L30" s="7"/>
    </row>
    <row r="31" spans="11:12">
      <c r="K31" s="7"/>
      <c r="L31" s="7"/>
    </row>
    <row r="32" spans="11:12">
      <c r="K32" s="7"/>
      <c r="L32" s="7"/>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8"/>
  <sheetViews>
    <sheetView workbookViewId="0">
      <selection activeCell="F34" sqref="F34"/>
    </sheetView>
  </sheetViews>
  <sheetFormatPr defaultColWidth="9" defaultRowHeight="13.8"/>
  <cols>
    <col min="1" max="1" width="15.1296296296296" customWidth="1"/>
    <col min="9" max="13" width="12.75" customWidth="1"/>
    <col min="14" max="14" width="11.6296296296296" customWidth="1"/>
    <col min="15" max="15" width="12.75" customWidth="1"/>
  </cols>
  <sheetData>
    <row r="1" spans="2:15">
      <c r="B1" s="2">
        <v>2021</v>
      </c>
      <c r="C1" s="2">
        <v>2022</v>
      </c>
      <c r="D1" s="2">
        <v>2023</v>
      </c>
      <c r="E1" s="2">
        <v>2024</v>
      </c>
      <c r="F1" s="2">
        <v>2025</v>
      </c>
      <c r="G1" s="2">
        <v>2026</v>
      </c>
      <c r="H1" s="2">
        <v>2027</v>
      </c>
      <c r="I1" s="2">
        <v>2028</v>
      </c>
      <c r="J1" s="2">
        <v>2029</v>
      </c>
      <c r="K1" s="2">
        <v>2030</v>
      </c>
      <c r="L1" s="2">
        <v>2031</v>
      </c>
      <c r="M1" s="2">
        <v>2032</v>
      </c>
      <c r="N1" s="2">
        <v>2033</v>
      </c>
      <c r="O1" s="2">
        <v>2034</v>
      </c>
    </row>
    <row r="2" spans="1:15">
      <c r="A2" t="s">
        <v>6</v>
      </c>
      <c r="B2" s="3">
        <v>14193.78</v>
      </c>
      <c r="C2" s="3">
        <v>17918.63</v>
      </c>
      <c r="D2" s="3">
        <v>22435.61</v>
      </c>
      <c r="E2" s="3">
        <v>27837.68</v>
      </c>
      <c r="F2" s="3">
        <v>42626.424056</v>
      </c>
      <c r="G2" s="3">
        <v>51396.7655908952</v>
      </c>
      <c r="H2" s="3">
        <v>62374.6020901235</v>
      </c>
      <c r="I2" s="3">
        <v>76115.5600362076</v>
      </c>
      <c r="J2" s="3">
        <v>92568.1170973211</v>
      </c>
      <c r="K2" s="3">
        <v>114096.802670717</v>
      </c>
      <c r="L2" s="3">
        <v>141044.258402936</v>
      </c>
      <c r="M2" s="3">
        <v>174774.388742955</v>
      </c>
      <c r="N2" s="3">
        <v>216994.392889557</v>
      </c>
      <c r="O2" s="3">
        <v>269841.172079859</v>
      </c>
    </row>
    <row r="3" spans="1:15">
      <c r="A3" t="s">
        <v>12</v>
      </c>
      <c r="B3" s="3">
        <v>11013.75617425</v>
      </c>
      <c r="C3" s="3">
        <v>13186.9056648175</v>
      </c>
      <c r="D3" s="3">
        <v>16299.4497129852</v>
      </c>
      <c r="E3" s="3">
        <v>19660.4685121128</v>
      </c>
      <c r="F3" s="3">
        <v>26160.2254669528</v>
      </c>
      <c r="G3" s="3">
        <v>31848.6398168721</v>
      </c>
      <c r="H3" s="3">
        <v>39059.6249826073</v>
      </c>
      <c r="I3" s="3">
        <v>48209.228613699</v>
      </c>
      <c r="J3" s="3">
        <v>59304.7157751712</v>
      </c>
      <c r="K3" s="3">
        <v>74067.5069144304</v>
      </c>
      <c r="L3" s="3">
        <v>92835.7277761901</v>
      </c>
      <c r="M3" s="3">
        <v>116706.739328091</v>
      </c>
      <c r="N3" s="3">
        <v>147079.167269764</v>
      </c>
      <c r="O3" s="3">
        <v>185735.68154339</v>
      </c>
    </row>
    <row r="4" spans="1:15">
      <c r="A4" t="s">
        <v>72</v>
      </c>
      <c r="B4" s="3">
        <v>3180.02382575</v>
      </c>
      <c r="C4" s="3">
        <v>4731.7243351825</v>
      </c>
      <c r="D4" s="3">
        <v>6136.16028701477</v>
      </c>
      <c r="E4" s="3">
        <v>8177.21148788715</v>
      </c>
      <c r="F4" s="3">
        <v>16466.1985890472</v>
      </c>
      <c r="G4" s="3">
        <v>19548.1257740231</v>
      </c>
      <c r="H4" s="3">
        <v>23314.9771075162</v>
      </c>
      <c r="I4" s="3">
        <v>27906.3314225086</v>
      </c>
      <c r="J4" s="3">
        <v>33263.4013221499</v>
      </c>
      <c r="K4" s="3">
        <v>40029.2957562864</v>
      </c>
      <c r="L4" s="3">
        <v>48208.5306267461</v>
      </c>
      <c r="M4" s="3">
        <v>58067.6494148641</v>
      </c>
      <c r="N4" s="3">
        <v>69915.2256197934</v>
      </c>
      <c r="O4" s="3">
        <v>84105.4905364683</v>
      </c>
    </row>
    <row r="5" spans="1:15">
      <c r="A5" t="s">
        <v>20</v>
      </c>
      <c r="B5" s="3">
        <v>449.213825750001</v>
      </c>
      <c r="C5" s="3">
        <v>1902.2643351825</v>
      </c>
      <c r="D5" s="3">
        <v>3365.59028701477</v>
      </c>
      <c r="E5" s="3">
        <v>5519.81604937504</v>
      </c>
      <c r="F5" s="3">
        <v>14040.4317139243</v>
      </c>
      <c r="G5" s="3">
        <v>17067.0805962473</v>
      </c>
      <c r="H5" s="3">
        <v>20773.7139899044</v>
      </c>
      <c r="I5" s="3">
        <v>25298.9027666035</v>
      </c>
      <c r="J5" s="3">
        <v>30583.8664110045</v>
      </c>
      <c r="K5" s="3">
        <v>37267.5894260802</v>
      </c>
      <c r="L5" s="3">
        <v>45353.8672943273</v>
      </c>
      <c r="M5" s="3">
        <v>55106.7413901662</v>
      </c>
      <c r="N5" s="3">
        <v>66831.6373211084</v>
      </c>
      <c r="O5" s="3">
        <v>80878.8234821636</v>
      </c>
    </row>
    <row r="6" spans="1:15">
      <c r="A6" t="s">
        <v>22</v>
      </c>
      <c r="B6" s="3">
        <v>449.213825750001</v>
      </c>
      <c r="C6" s="3">
        <v>1902.2643351825</v>
      </c>
      <c r="D6" s="3">
        <v>3365.59028701477</v>
      </c>
      <c r="E6" s="3">
        <v>5519.81604937504</v>
      </c>
      <c r="F6" s="3">
        <v>14040.4317139243</v>
      </c>
      <c r="G6" s="3">
        <v>17067.0805962473</v>
      </c>
      <c r="H6" s="3">
        <v>20773.7139899044</v>
      </c>
      <c r="I6" s="3">
        <v>25298.9027666035</v>
      </c>
      <c r="J6" s="3">
        <v>30583.8664110045</v>
      </c>
      <c r="K6" s="3">
        <v>37267.5894260802</v>
      </c>
      <c r="L6" s="3">
        <v>45353.8672943273</v>
      </c>
      <c r="M6" s="3">
        <v>55106.7413901662</v>
      </c>
      <c r="N6" s="3">
        <v>66831.6373211084</v>
      </c>
      <c r="O6" s="3">
        <v>80878.8234821636</v>
      </c>
    </row>
    <row r="7" spans="1:15">
      <c r="A7" t="s">
        <v>26</v>
      </c>
      <c r="B7" s="3">
        <v>336.910369312501</v>
      </c>
      <c r="C7" s="3">
        <v>1426.69825138688</v>
      </c>
      <c r="D7" s="3">
        <v>2524.19271526108</v>
      </c>
      <c r="E7" s="3">
        <v>4139.86203703128</v>
      </c>
      <c r="F7" s="3">
        <v>10530.3237854432</v>
      </c>
      <c r="G7" s="3">
        <v>12800.3104471855</v>
      </c>
      <c r="H7" s="3">
        <v>15580.2854924283</v>
      </c>
      <c r="I7" s="3">
        <v>18974.1770749526</v>
      </c>
      <c r="J7" s="3">
        <v>22937.8998082534</v>
      </c>
      <c r="K7" s="3">
        <v>27950.6920695602</v>
      </c>
      <c r="L7" s="3">
        <v>34015.4004707455</v>
      </c>
      <c r="M7" s="3">
        <v>41330.0560426247</v>
      </c>
      <c r="N7" s="3">
        <v>50123.7279908313</v>
      </c>
      <c r="O7" s="3">
        <v>60659.1176116227</v>
      </c>
    </row>
    <row r="8" spans="2:15">
      <c r="B8" s="3"/>
      <c r="C8" s="3"/>
      <c r="D8" s="3"/>
      <c r="E8" s="3"/>
      <c r="F8" s="3"/>
      <c r="G8" s="3"/>
      <c r="H8" s="3"/>
      <c r="I8" s="3"/>
      <c r="J8" s="3"/>
      <c r="K8" s="3"/>
      <c r="L8" s="3"/>
      <c r="M8" s="3"/>
      <c r="N8" s="3"/>
      <c r="O8" s="3"/>
    </row>
    <row r="9" spans="1:15">
      <c r="A9" t="s">
        <v>77</v>
      </c>
      <c r="B9">
        <v>376.419630367469</v>
      </c>
      <c r="C9">
        <v>475.20280582702</v>
      </c>
      <c r="D9">
        <v>594.993301521419</v>
      </c>
      <c r="E9">
        <v>738.256420480512</v>
      </c>
      <c r="F9">
        <v>1130.45452212494</v>
      </c>
      <c r="G9">
        <v>1363.04434095838</v>
      </c>
      <c r="H9">
        <v>1654.1770171922</v>
      </c>
      <c r="I9">
        <v>2018.58778803407</v>
      </c>
      <c r="J9">
        <v>2454.91027912129</v>
      </c>
      <c r="K9">
        <v>3025.85190748492</v>
      </c>
      <c r="L9">
        <v>3740.49954370767</v>
      </c>
      <c r="M9">
        <v>4635.02398996769</v>
      </c>
      <c r="N9">
        <v>5754.70023935135</v>
      </c>
      <c r="O9">
        <v>7156.19900070489</v>
      </c>
    </row>
    <row r="10" spans="1:15">
      <c r="A10" t="s">
        <v>79</v>
      </c>
      <c r="B10">
        <v>92.2247244768193</v>
      </c>
      <c r="C10">
        <v>116.427105024318</v>
      </c>
      <c r="D10">
        <v>145.776385904204</v>
      </c>
      <c r="E10">
        <v>180.87657890103</v>
      </c>
      <c r="F10">
        <v>276.967109113757</v>
      </c>
      <c r="G10">
        <v>333.95279802984</v>
      </c>
      <c r="H10">
        <v>405.2817848461</v>
      </c>
      <c r="I10">
        <v>494.564277644014</v>
      </c>
      <c r="J10">
        <v>601.465507753282</v>
      </c>
      <c r="K10">
        <v>741.349111370817</v>
      </c>
      <c r="L10">
        <v>916.441418018886</v>
      </c>
      <c r="M10">
        <v>1135.60445825027</v>
      </c>
      <c r="N10">
        <v>1409.9308357079</v>
      </c>
      <c r="O10">
        <v>1753.30516237161</v>
      </c>
    </row>
    <row r="11" spans="1:15">
      <c r="A11" t="s">
        <v>75</v>
      </c>
      <c r="B11">
        <v>23893.5798262047</v>
      </c>
      <c r="C11">
        <v>30163.932108376</v>
      </c>
      <c r="D11">
        <v>37767.7432286957</v>
      </c>
      <c r="E11">
        <v>46861.5005485742</v>
      </c>
      <c r="F11">
        <v>71756.6332497536</v>
      </c>
      <c r="G11">
        <v>86520.4844273185</v>
      </c>
      <c r="H11">
        <v>105000.396946276</v>
      </c>
      <c r="I11">
        <v>128131.703446256</v>
      </c>
      <c r="J11">
        <v>155827.672066659</v>
      </c>
      <c r="K11">
        <v>192068.713374978</v>
      </c>
      <c r="L11">
        <v>237431.624780601</v>
      </c>
      <c r="M11">
        <v>294212.380987019</v>
      </c>
      <c r="N11">
        <v>365284.853530592</v>
      </c>
      <c r="O11">
        <v>454246.267413383</v>
      </c>
    </row>
    <row r="12" spans="1:15">
      <c r="A12" t="s">
        <v>82</v>
      </c>
      <c r="B12">
        <v>0</v>
      </c>
      <c r="C12">
        <v>0</v>
      </c>
      <c r="D12">
        <v>0</v>
      </c>
      <c r="E12">
        <v>0</v>
      </c>
      <c r="F12">
        <v>16603.3333333333</v>
      </c>
      <c r="G12">
        <v>16540</v>
      </c>
      <c r="H12">
        <v>16476.6666666667</v>
      </c>
      <c r="I12">
        <v>16413.3333333333</v>
      </c>
      <c r="J12">
        <v>16350</v>
      </c>
      <c r="K12">
        <v>16286.6666666667</v>
      </c>
      <c r="L12">
        <v>16223.3333333333</v>
      </c>
      <c r="M12">
        <v>16160</v>
      </c>
      <c r="N12">
        <v>16096.6666666667</v>
      </c>
      <c r="O12">
        <v>16033.3333333333</v>
      </c>
    </row>
    <row r="13" spans="1:15">
      <c r="A13" t="s">
        <v>83</v>
      </c>
      <c r="B13">
        <v>0</v>
      </c>
      <c r="C13">
        <v>0</v>
      </c>
      <c r="D13">
        <v>0</v>
      </c>
      <c r="E13">
        <v>0</v>
      </c>
      <c r="F13">
        <v>16603.3333333333</v>
      </c>
      <c r="G13">
        <v>16540</v>
      </c>
      <c r="H13">
        <v>16476.6666666667</v>
      </c>
      <c r="I13">
        <v>16413.3333333333</v>
      </c>
      <c r="J13">
        <v>16350</v>
      </c>
      <c r="K13">
        <v>16286.6666666667</v>
      </c>
      <c r="L13">
        <v>16223.3333333333</v>
      </c>
      <c r="M13">
        <v>16160</v>
      </c>
      <c r="N13">
        <v>16096.6666666667</v>
      </c>
      <c r="O13">
        <v>16033.3333333333</v>
      </c>
    </row>
    <row r="14" s="1" customFormat="1" spans="1:15">
      <c r="A14" s="1" t="s">
        <v>84</v>
      </c>
      <c r="B14" s="4">
        <f>B2*B28</f>
        <v>0</v>
      </c>
      <c r="C14" s="4">
        <f>C11+C13</f>
        <v>30163.932108376</v>
      </c>
      <c r="D14" s="4">
        <f t="shared" ref="D14:O14" si="0">D11+D13</f>
        <v>37767.7432286957</v>
      </c>
      <c r="E14" s="4">
        <f t="shared" si="0"/>
        <v>46861.5005485742</v>
      </c>
      <c r="F14" s="4">
        <f t="shared" si="0"/>
        <v>88359.9665830869</v>
      </c>
      <c r="G14" s="4">
        <f t="shared" si="0"/>
        <v>103060.484427318</v>
      </c>
      <c r="H14" s="4">
        <f t="shared" si="0"/>
        <v>121477.063612943</v>
      </c>
      <c r="I14" s="4">
        <f t="shared" si="0"/>
        <v>144545.036779589</v>
      </c>
      <c r="J14" s="4">
        <f t="shared" si="0"/>
        <v>172177.672066659</v>
      </c>
      <c r="K14" s="4">
        <f t="shared" si="0"/>
        <v>208355.380041645</v>
      </c>
      <c r="L14" s="4">
        <f t="shared" si="0"/>
        <v>253654.958113934</v>
      </c>
      <c r="M14" s="4">
        <f t="shared" si="0"/>
        <v>310372.380987019</v>
      </c>
      <c r="N14" s="4">
        <f t="shared" si="0"/>
        <v>381381.520197259</v>
      </c>
      <c r="O14" s="4">
        <f t="shared" si="0"/>
        <v>470279.600746717</v>
      </c>
    </row>
    <row r="15" s="1" customFormat="1" spans="2:15">
      <c r="B15" s="5"/>
      <c r="C15" s="5"/>
      <c r="D15" s="5"/>
      <c r="E15" s="5"/>
      <c r="F15" s="5"/>
      <c r="G15" s="5"/>
      <c r="H15" s="5"/>
      <c r="I15" s="5"/>
      <c r="J15" s="5"/>
      <c r="K15" s="5"/>
      <c r="L15" s="5"/>
      <c r="M15" s="5"/>
      <c r="N15" s="5"/>
      <c r="O15" s="5"/>
    </row>
    <row r="16" spans="1:15">
      <c r="A16" t="s">
        <v>78</v>
      </c>
      <c r="B16">
        <v>0</v>
      </c>
      <c r="C16">
        <v>29.1131945973134</v>
      </c>
      <c r="D16">
        <v>46.9185867353102</v>
      </c>
      <c r="E16">
        <v>35.748649232145</v>
      </c>
      <c r="F16">
        <v>47.5671636958076</v>
      </c>
      <c r="G16">
        <v>254.881603705656</v>
      </c>
      <c r="H16">
        <v>303.191467365036</v>
      </c>
      <c r="I16">
        <v>225.787522402633</v>
      </c>
      <c r="J16">
        <v>930.507063173351</v>
      </c>
      <c r="K16">
        <v>134.677020669789</v>
      </c>
      <c r="L16">
        <v>168.803295121751</v>
      </c>
      <c r="M16">
        <v>212.20797890432</v>
      </c>
      <c r="N16">
        <v>267.434194502719</v>
      </c>
      <c r="O16">
        <v>337.723372426121</v>
      </c>
    </row>
    <row r="17" spans="1:15">
      <c r="A17" t="s">
        <v>80</v>
      </c>
      <c r="B17">
        <v>0</v>
      </c>
      <c r="C17">
        <v>122.766170360737</v>
      </c>
      <c r="D17">
        <v>197.848957900471</v>
      </c>
      <c r="E17">
        <v>150.746931846659</v>
      </c>
      <c r="F17">
        <v>200.583914016617</v>
      </c>
      <c r="G17">
        <v>1074.79920411187</v>
      </c>
      <c r="H17">
        <v>1278.51497746292</v>
      </c>
      <c r="I17">
        <v>952.113631774652</v>
      </c>
      <c r="J17">
        <v>3923.81496498327</v>
      </c>
      <c r="K17">
        <v>567.913700022105</v>
      </c>
      <c r="L17">
        <v>711.819309869999</v>
      </c>
      <c r="M17">
        <v>894.850642480831</v>
      </c>
      <c r="N17">
        <v>1127.73168100339</v>
      </c>
      <c r="O17">
        <v>1424.13107347188</v>
      </c>
    </row>
    <row r="18" spans="1:15">
      <c r="A18" t="s">
        <v>85</v>
      </c>
      <c r="B18">
        <v>0</v>
      </c>
      <c r="C18">
        <v>181.88954393386</v>
      </c>
      <c r="D18">
        <v>293.13170407257</v>
      </c>
      <c r="E18">
        <v>223.345654608664</v>
      </c>
      <c r="F18">
        <v>297.183796918532</v>
      </c>
      <c r="G18">
        <v>1592.41537372992</v>
      </c>
      <c r="H18">
        <v>1894.23931267073</v>
      </c>
      <c r="I18">
        <v>1410.64524329326</v>
      </c>
      <c r="J18">
        <v>5813.49823297835</v>
      </c>
      <c r="K18">
        <v>841.417172070136</v>
      </c>
      <c r="L18">
        <v>1054.6267693708</v>
      </c>
      <c r="M18">
        <v>1325.80477807114</v>
      </c>
      <c r="N18">
        <v>1670.83978049278</v>
      </c>
      <c r="O18">
        <v>2109.98315492526</v>
      </c>
    </row>
    <row r="19" spans="1:15">
      <c r="A19" t="s">
        <v>81</v>
      </c>
      <c r="B19" s="3">
        <v>0</v>
      </c>
      <c r="C19" s="3">
        <f>C17+C18</f>
        <v>304.655714294597</v>
      </c>
      <c r="D19" s="3">
        <f t="shared" ref="D19:O19" si="1">D17+D18</f>
        <v>490.980661973042</v>
      </c>
      <c r="E19" s="3">
        <f t="shared" si="1"/>
        <v>374.092586455323</v>
      </c>
      <c r="F19" s="3">
        <f t="shared" si="1"/>
        <v>497.76771093515</v>
      </c>
      <c r="G19" s="3">
        <f t="shared" si="1"/>
        <v>2667.21457784179</v>
      </c>
      <c r="H19" s="3">
        <f t="shared" si="1"/>
        <v>3172.75429013366</v>
      </c>
      <c r="I19" s="3">
        <f t="shared" si="1"/>
        <v>2362.75887506791</v>
      </c>
      <c r="J19" s="3">
        <f t="shared" si="1"/>
        <v>9737.31319796162</v>
      </c>
      <c r="K19" s="3">
        <f t="shared" si="1"/>
        <v>1409.33087209224</v>
      </c>
      <c r="L19" s="3">
        <f t="shared" si="1"/>
        <v>1766.4460792408</v>
      </c>
      <c r="M19" s="3">
        <f t="shared" si="1"/>
        <v>2220.65542055197</v>
      </c>
      <c r="N19" s="3">
        <f t="shared" si="1"/>
        <v>2798.57146149618</v>
      </c>
      <c r="O19" s="3">
        <f t="shared" si="1"/>
        <v>3534.11422839714</v>
      </c>
    </row>
    <row r="20" spans="2:15">
      <c r="B20" s="2"/>
      <c r="C20" s="2"/>
      <c r="D20" s="2"/>
      <c r="E20" s="2"/>
      <c r="F20" s="2"/>
      <c r="G20" s="2"/>
      <c r="H20" s="2"/>
      <c r="I20" s="2"/>
      <c r="J20" s="2"/>
      <c r="K20" s="2"/>
      <c r="L20" s="2"/>
      <c r="M20" s="2"/>
      <c r="N20" s="2"/>
      <c r="O20" s="2"/>
    </row>
    <row r="21" spans="1:15">
      <c r="A21" t="s">
        <v>86</v>
      </c>
      <c r="B21" s="3">
        <v>0</v>
      </c>
      <c r="C21" s="3">
        <f>C14-C19</f>
        <v>29859.2763940815</v>
      </c>
      <c r="D21" s="3">
        <f t="shared" ref="D21:O21" si="2">D14-D19</f>
        <v>37276.7625667226</v>
      </c>
      <c r="E21" s="3">
        <f t="shared" si="2"/>
        <v>46487.4079621189</v>
      </c>
      <c r="F21" s="3">
        <f t="shared" si="2"/>
        <v>87862.1988721517</v>
      </c>
      <c r="G21" s="3">
        <f t="shared" si="2"/>
        <v>100393.269849477</v>
      </c>
      <c r="H21" s="3">
        <f t="shared" si="2"/>
        <v>118304.309322809</v>
      </c>
      <c r="I21" s="3">
        <f t="shared" si="2"/>
        <v>142182.277904522</v>
      </c>
      <c r="J21" s="3">
        <f t="shared" si="2"/>
        <v>162440.358868697</v>
      </c>
      <c r="K21" s="3">
        <f t="shared" si="2"/>
        <v>206946.049169552</v>
      </c>
      <c r="L21" s="3">
        <f t="shared" si="2"/>
        <v>251888.512034693</v>
      </c>
      <c r="M21" s="3">
        <f t="shared" si="2"/>
        <v>308151.725566467</v>
      </c>
      <c r="N21" s="3">
        <f t="shared" si="2"/>
        <v>378582.948735763</v>
      </c>
      <c r="O21" s="3">
        <f t="shared" si="2"/>
        <v>466745.48651832</v>
      </c>
    </row>
    <row r="22" spans="2:19">
      <c r="B22" s="2"/>
      <c r="C22" s="2"/>
      <c r="D22" s="2"/>
      <c r="E22" s="2"/>
      <c r="F22" s="2"/>
      <c r="G22" s="2"/>
      <c r="H22" s="2"/>
      <c r="I22" s="2"/>
      <c r="J22" s="2"/>
      <c r="K22" s="2"/>
      <c r="L22" s="2"/>
      <c r="M22" s="2"/>
      <c r="N22" s="2"/>
      <c r="O22" s="2"/>
      <c r="S22">
        <v>12</v>
      </c>
    </row>
    <row r="23" spans="2:15">
      <c r="B23" s="2"/>
      <c r="C23" s="2"/>
      <c r="D23" s="2"/>
      <c r="E23" s="2"/>
      <c r="F23" s="2"/>
      <c r="G23" s="2"/>
      <c r="H23" s="2"/>
      <c r="I23" s="2"/>
      <c r="J23" s="2"/>
      <c r="K23" s="2"/>
      <c r="L23" s="2"/>
      <c r="M23" s="2"/>
      <c r="N23" s="2"/>
      <c r="O23" s="2"/>
    </row>
    <row r="24" spans="2:19">
      <c r="B24" s="2"/>
      <c r="C24" s="2"/>
      <c r="D24" s="2"/>
      <c r="E24" s="2"/>
      <c r="F24" s="2"/>
      <c r="G24" s="2"/>
      <c r="H24" s="2"/>
      <c r="I24" s="2"/>
      <c r="J24" s="2"/>
      <c r="K24" s="2"/>
      <c r="L24" s="2"/>
      <c r="M24" s="2"/>
      <c r="N24" s="2"/>
      <c r="O24" s="2"/>
      <c r="S24">
        <v>12</v>
      </c>
    </row>
    <row r="25" spans="1:17">
      <c r="A25" t="s">
        <v>87</v>
      </c>
      <c r="B25" s="2"/>
      <c r="C25" s="3">
        <f>2*C2/(B10+C10)</f>
        <v>171.756270173536</v>
      </c>
      <c r="D25" s="3">
        <f t="shared" ref="D25:O25" si="3">2*D2/(C10+D10)</f>
        <v>171.13128372586</v>
      </c>
      <c r="E25" s="3">
        <f t="shared" si="3"/>
        <v>170.441924607041</v>
      </c>
      <c r="F25" s="3">
        <f t="shared" si="3"/>
        <v>186.205140190218</v>
      </c>
      <c r="G25" s="3">
        <f t="shared" si="3"/>
        <v>168.260241612374</v>
      </c>
      <c r="H25" s="3">
        <f t="shared" si="3"/>
        <v>168.754556496693</v>
      </c>
      <c r="I25" s="3">
        <f t="shared" si="3"/>
        <v>169.174624881006</v>
      </c>
      <c r="J25" s="3">
        <f t="shared" si="3"/>
        <v>168.91533119014</v>
      </c>
      <c r="K25" s="3">
        <f t="shared" si="3"/>
        <v>169.936789554973</v>
      </c>
      <c r="L25" s="3">
        <f t="shared" si="3"/>
        <v>170.159324597976</v>
      </c>
      <c r="M25" s="3">
        <f t="shared" si="3"/>
        <v>170.341599828863</v>
      </c>
      <c r="N25" s="3">
        <f t="shared" si="3"/>
        <v>170.490186016743</v>
      </c>
      <c r="O25" s="3">
        <f t="shared" si="3"/>
        <v>170.610837916416</v>
      </c>
      <c r="Q25" s="7">
        <f>C25</f>
        <v>171.756270173536</v>
      </c>
    </row>
    <row r="26" spans="1:15">
      <c r="A26" t="s">
        <v>88</v>
      </c>
      <c r="B26" s="2"/>
      <c r="C26" s="3">
        <v>75.492148532739</v>
      </c>
      <c r="D26" s="3">
        <v>35.7294660805031</v>
      </c>
      <c r="E26" s="3">
        <v>39.6377683815243</v>
      </c>
      <c r="F26" s="3">
        <v>52.3314533532285</v>
      </c>
      <c r="G26" s="3">
        <v>17.5504323649615</v>
      </c>
      <c r="H26" s="3">
        <v>11.6650270987123</v>
      </c>
      <c r="I26" s="3">
        <v>15.1893961594684</v>
      </c>
      <c r="J26" s="3">
        <v>8.54809788021129</v>
      </c>
      <c r="K26" s="3">
        <v>11.589155971238</v>
      </c>
      <c r="L26" s="3">
        <v>50.9839369834443</v>
      </c>
      <c r="M26" s="3">
        <v>51.0513062141504</v>
      </c>
      <c r="N26" s="3">
        <v>51.1072543326126</v>
      </c>
      <c r="O26" s="3">
        <v>51.1535319321859</v>
      </c>
    </row>
    <row r="27" spans="1:15">
      <c r="A27" t="s">
        <v>89</v>
      </c>
      <c r="B27" s="2"/>
      <c r="C27" s="3">
        <v>0.0552455750636</v>
      </c>
      <c r="D27" s="3">
        <v>0.0550445475513356</v>
      </c>
      <c r="E27" s="3">
        <v>0.0548228145053975</v>
      </c>
      <c r="F27" s="3">
        <v>0.0598930684697173</v>
      </c>
      <c r="G27" s="3">
        <v>0.0541210740011057</v>
      </c>
      <c r="H27" s="3">
        <v>0.0542800708751013</v>
      </c>
      <c r="I27" s="3">
        <v>0.0544151862885529</v>
      </c>
      <c r="J27" s="3">
        <v>0.0543317842150927</v>
      </c>
      <c r="K27" s="3">
        <v>0.0546603373136883</v>
      </c>
      <c r="L27" s="3">
        <v>0.0547319159315173</v>
      </c>
      <c r="M27" s="3">
        <v>0.0547905449407527</v>
      </c>
      <c r="N27" s="3">
        <v>0.0548383378358105</v>
      </c>
      <c r="O27" s="3">
        <v>0.054877145639294</v>
      </c>
    </row>
    <row r="28" spans="1:15">
      <c r="A28" t="s">
        <v>90</v>
      </c>
      <c r="B28" s="2">
        <v>0</v>
      </c>
      <c r="C28" s="2">
        <f>(0.0990069306151252*10)*12</f>
        <v>11.880831673815</v>
      </c>
      <c r="D28" s="2">
        <v>0.660534570616027</v>
      </c>
      <c r="E28" s="2">
        <v>0.657873774064771</v>
      </c>
      <c r="F28" s="2">
        <v>0.63046829708623</v>
      </c>
      <c r="G28" s="2">
        <v>0.537003912796145</v>
      </c>
      <c r="H28" s="2">
        <v>0.55558282019664</v>
      </c>
      <c r="I28" s="2">
        <v>0.572249898966246</v>
      </c>
      <c r="J28" s="2">
        <v>0.584537290897306</v>
      </c>
      <c r="K28" s="2">
        <v>0.599668291826823</v>
      </c>
      <c r="L28" s="2">
        <v>0.610567542561961</v>
      </c>
      <c r="M28" s="2">
        <v>0.61973729508056</v>
      </c>
      <c r="N28" s="2">
        <v>0.627374540333099</v>
      </c>
      <c r="O28" s="2">
        <v>0.633682025500397</v>
      </c>
    </row>
    <row r="29" spans="1:15">
      <c r="A29" t="s">
        <v>91</v>
      </c>
      <c r="B29" s="3">
        <v>0.224043477195645</v>
      </c>
      <c r="C29" s="3">
        <v>0.264067305099916</v>
      </c>
      <c r="D29" s="3">
        <v>0.273500933873194</v>
      </c>
      <c r="E29" s="3">
        <v>0.293746155853762</v>
      </c>
      <c r="F29" s="3">
        <v>0.386290873647175</v>
      </c>
      <c r="G29" s="3">
        <v>0.380337664233992</v>
      </c>
      <c r="H29" s="3">
        <v>0.373789592658707</v>
      </c>
      <c r="I29" s="3">
        <v>0.366631098940004</v>
      </c>
      <c r="J29" s="3">
        <v>0.359339720469614</v>
      </c>
      <c r="K29" s="3">
        <v>0.350836262009996</v>
      </c>
      <c r="L29" s="3">
        <v>0.341797186022444</v>
      </c>
      <c r="M29" s="3">
        <v>0.33224347018181</v>
      </c>
      <c r="N29" s="3">
        <v>0.322198305167166</v>
      </c>
      <c r="O29" s="3">
        <v>0.311685166085691</v>
      </c>
    </row>
    <row r="30" spans="1:15">
      <c r="A30" t="s">
        <v>92</v>
      </c>
      <c r="B30" s="3">
        <v>0.0237364795926456</v>
      </c>
      <c r="C30" s="3">
        <v>0.079620944870611</v>
      </c>
      <c r="D30" s="3">
        <v>0.112508316701043</v>
      </c>
      <c r="E30" s="3">
        <v>0.148714333846473</v>
      </c>
      <c r="F30" s="3">
        <v>0.247037466047096</v>
      </c>
      <c r="G30" s="3">
        <v>0.249048948898314</v>
      </c>
      <c r="H30" s="3">
        <v>0.249785729613421</v>
      </c>
      <c r="I30" s="3">
        <v>0.249281185948402</v>
      </c>
      <c r="J30" s="3">
        <v>0.247794818859044</v>
      </c>
      <c r="K30" s="3">
        <v>0.244973491064652</v>
      </c>
      <c r="L30" s="3">
        <v>0.241168274808961</v>
      </c>
      <c r="M30" s="3">
        <v>0.236476616167199</v>
      </c>
      <c r="N30" s="3">
        <v>0.230990890240849</v>
      </c>
      <c r="O30" s="3">
        <v>0.224795634943621</v>
      </c>
    </row>
    <row r="31" spans="1:15">
      <c r="A31" t="s">
        <v>93</v>
      </c>
      <c r="B31" s="3" t="e">
        <v>#DIV/0!</v>
      </c>
      <c r="C31" s="3">
        <v>245.702313754206</v>
      </c>
      <c r="D31" s="3">
        <v>190.891797609037</v>
      </c>
      <c r="E31" s="3">
        <v>310.862051880711</v>
      </c>
      <c r="F31" s="3">
        <v>357.738722975607</v>
      </c>
      <c r="G31" s="3">
        <v>80.4992077555662</v>
      </c>
      <c r="H31" s="3">
        <v>82.1268415287857</v>
      </c>
      <c r="I31" s="3">
        <v>134.576062320871</v>
      </c>
      <c r="J31" s="3">
        <v>39.7133079559789</v>
      </c>
      <c r="K31" s="3">
        <v>338.200528297701</v>
      </c>
      <c r="L31" s="3">
        <v>333.556032392495</v>
      </c>
      <c r="M31" s="3">
        <v>328.783784712231</v>
      </c>
      <c r="N31" s="3">
        <v>323.911139222037</v>
      </c>
      <c r="O31" s="3">
        <v>318.963805983096</v>
      </c>
    </row>
    <row r="32" spans="1:15">
      <c r="A32" t="s">
        <v>94</v>
      </c>
      <c r="B32" s="3" t="e">
        <v>#DIV/0!</v>
      </c>
      <c r="C32" s="3">
        <v>3.87079603795314</v>
      </c>
      <c r="D32" s="3">
        <v>3.00731076794821</v>
      </c>
      <c r="E32" s="3">
        <v>4.89732302632515</v>
      </c>
      <c r="F32" s="3">
        <v>5.63581844370275</v>
      </c>
      <c r="G32" s="3">
        <v>1.26818510447698</v>
      </c>
      <c r="H32" s="3">
        <v>1.29382685877856</v>
      </c>
      <c r="I32" s="3">
        <v>2.12011226461657</v>
      </c>
      <c r="J32" s="3">
        <v>0.625643742385737</v>
      </c>
      <c r="K32" s="3">
        <v>5.32801358263966</v>
      </c>
      <c r="L32" s="3">
        <v>5.25484416036817</v>
      </c>
      <c r="M32" s="3">
        <v>5.17966213570325</v>
      </c>
      <c r="N32" s="3">
        <v>5.10289844321047</v>
      </c>
      <c r="O32" s="3">
        <v>5.0249581193807</v>
      </c>
    </row>
    <row r="33" spans="1:15">
      <c r="A33" s="1" t="s">
        <v>95</v>
      </c>
      <c r="B33" s="4" t="e">
        <v>#DIV/0!</v>
      </c>
      <c r="C33" s="4">
        <v>1.01020305081321</v>
      </c>
      <c r="D33" s="4">
        <v>1.01317122593718</v>
      </c>
      <c r="E33" s="4">
        <v>1.00804718100782</v>
      </c>
      <c r="F33" s="4">
        <v>1.00566532271358</v>
      </c>
      <c r="G33" s="4">
        <v>1.02656766316946</v>
      </c>
      <c r="H33" s="4">
        <v>1.02681858596948</v>
      </c>
      <c r="I33" s="4">
        <v>1.01661781559481</v>
      </c>
      <c r="J33" s="4">
        <v>1.05994392813323</v>
      </c>
      <c r="K33" s="4">
        <v>1.00681013664067</v>
      </c>
      <c r="L33" s="4">
        <v>1.00701280921854</v>
      </c>
      <c r="M33" s="4">
        <v>1.0072063702271</v>
      </c>
      <c r="N33" s="4">
        <v>1.00739222796706</v>
      </c>
      <c r="O33" s="4">
        <v>1.00757182303949</v>
      </c>
    </row>
    <row r="34" spans="1:15">
      <c r="A34" s="1" t="s">
        <v>96</v>
      </c>
      <c r="B34" s="4" t="e">
        <v>#DIV/0!</v>
      </c>
      <c r="C34" s="4">
        <v>0.0101</v>
      </c>
      <c r="D34" s="4">
        <v>0.013</v>
      </c>
      <c r="E34" s="4">
        <v>0.00798294083791787</v>
      </c>
      <c r="F34" s="4">
        <v>0.00563340764131104</v>
      </c>
      <c r="G34" s="4">
        <v>0.025880089664461</v>
      </c>
      <c r="H34" s="4">
        <v>0.02611813453314</v>
      </c>
      <c r="I34" s="4">
        <v>0.016346177826021</v>
      </c>
      <c r="J34" s="4">
        <v>0.056553867183149</v>
      </c>
      <c r="K34" s="4">
        <v>0.00676407238349475</v>
      </c>
      <c r="L34" s="4">
        <v>0.00696397221002622</v>
      </c>
      <c r="M34" s="4">
        <v>0.00715481001721235</v>
      </c>
      <c r="N34" s="4">
        <v>0.00733798391712502</v>
      </c>
      <c r="O34" s="4">
        <v>0.00751492138460955</v>
      </c>
    </row>
    <row r="35" spans="2:15">
      <c r="B35" s="2"/>
      <c r="C35" s="2"/>
      <c r="D35" s="2"/>
      <c r="E35" s="2"/>
      <c r="F35" s="2"/>
      <c r="G35" s="2"/>
      <c r="H35" s="2"/>
      <c r="I35" s="2"/>
      <c r="J35" s="2"/>
      <c r="K35" s="2"/>
      <c r="L35" s="2"/>
      <c r="M35" s="2"/>
      <c r="N35" s="2"/>
      <c r="O35" s="2"/>
    </row>
    <row r="36" spans="2:15">
      <c r="B36" s="2"/>
      <c r="C36" s="2"/>
      <c r="D36" s="2"/>
      <c r="E36" s="2"/>
      <c r="F36" s="2"/>
      <c r="G36" s="2"/>
      <c r="H36" s="2"/>
      <c r="I36" s="2"/>
      <c r="J36" s="2"/>
      <c r="K36" s="2"/>
      <c r="L36" s="2"/>
      <c r="M36" s="2"/>
      <c r="N36" s="2"/>
      <c r="O36" s="2"/>
    </row>
    <row r="37" spans="2:15">
      <c r="B37" s="6">
        <v>0.99122919462218</v>
      </c>
      <c r="C37" s="6">
        <v>0.9899</v>
      </c>
      <c r="D37" s="6">
        <v>0.987</v>
      </c>
      <c r="E37" s="6">
        <v>0.992017059162082</v>
      </c>
      <c r="F37" s="6">
        <v>0.994366592358689</v>
      </c>
      <c r="G37" s="6">
        <v>0.974119910335539</v>
      </c>
      <c r="H37" s="6">
        <v>0.97388186546686</v>
      </c>
      <c r="I37" s="6">
        <v>0.983653822173979</v>
      </c>
      <c r="J37" s="6">
        <v>0.943446132816851</v>
      </c>
      <c r="K37" s="6">
        <v>0.993235927616505</v>
      </c>
      <c r="L37" s="6">
        <v>0.993036027789974</v>
      </c>
      <c r="M37" s="6">
        <v>0.992845189982788</v>
      </c>
      <c r="N37" s="6">
        <v>0.992662016082875</v>
      </c>
      <c r="O37" s="6">
        <v>0.99248507861539</v>
      </c>
    </row>
    <row r="38" spans="2:15">
      <c r="B38" s="6">
        <f>1-B37</f>
        <v>0.00877080537782005</v>
      </c>
      <c r="C38" s="6">
        <f t="shared" ref="C38:O38" si="4">1-C37</f>
        <v>0.0101</v>
      </c>
      <c r="D38" s="6">
        <f t="shared" si="4"/>
        <v>0.013</v>
      </c>
      <c r="E38" s="6">
        <f t="shared" si="4"/>
        <v>0.00798294083791795</v>
      </c>
      <c r="F38" s="6">
        <f t="shared" si="4"/>
        <v>0.00563340764131104</v>
      </c>
      <c r="G38" s="6">
        <f t="shared" si="4"/>
        <v>0.025880089664461</v>
      </c>
      <c r="H38" s="6">
        <f t="shared" si="4"/>
        <v>0.02611813453314</v>
      </c>
      <c r="I38" s="6">
        <f t="shared" si="4"/>
        <v>0.016346177826021</v>
      </c>
      <c r="J38" s="6">
        <f t="shared" si="4"/>
        <v>0.056553867183149</v>
      </c>
      <c r="K38" s="6">
        <f t="shared" si="4"/>
        <v>0.00676407238349475</v>
      </c>
      <c r="L38" s="6">
        <f t="shared" si="4"/>
        <v>0.0069639722100262</v>
      </c>
      <c r="M38" s="6">
        <f t="shared" si="4"/>
        <v>0.0071548100172123</v>
      </c>
      <c r="N38" s="6">
        <f t="shared" si="4"/>
        <v>0.00733798391712503</v>
      </c>
      <c r="O38" s="6">
        <f t="shared" si="4"/>
        <v>0.00751492138460952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Sheet1</vt:lpstr>
      <vt:lpstr>Sheet2</vt:lpstr>
      <vt:lpstr>Sheet1 (2)</vt:lpstr>
      <vt:lpstr>Sheet4</vt:lpstr>
      <vt:lpstr>Sheet3</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浅唱。</cp:lastModifiedBy>
  <dcterms:created xsi:type="dcterms:W3CDTF">2015-06-05T18:19:00Z</dcterms:created>
  <dcterms:modified xsi:type="dcterms:W3CDTF">2024-10-10T07:48:03Z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CD672612FD0F46738EFFCAB6A5750EA6_12</vt:lpwstr>
  </property>
  <property fmtid="{D5CDD505-2E9C-101B-9397-08002B2CF9AE}" pid="3" name="KSOProductBuildVer">
    <vt:lpwstr>2052-12.1.0.18276</vt:lpwstr>
  </property>
</Properties>
</file>