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man\OneDrive\Documents\"/>
    </mc:Choice>
  </mc:AlternateContent>
  <xr:revisionPtr revIDLastSave="0" documentId="13_ncr:1_{E25A3976-60D7-4C70-91F2-63A94EFE1AB4}" xr6:coauthVersionLast="47" xr6:coauthVersionMax="47" xr10:uidLastSave="{00000000-0000-0000-0000-000000000000}"/>
  <bookViews>
    <workbookView xWindow="2052" yWindow="1224" windowWidth="19164" windowHeight="10836" xr2:uid="{C5CD8D7B-7509-4DC2-84EB-665E05274C9E}"/>
  </bookViews>
  <sheets>
    <sheet name="Detour combined" sheetId="1" r:id="rId1"/>
    <sheet name="Scototaxis + Detour (" sheetId="3" r:id="rId2"/>
    <sheet name="Scototaxis+Detour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92" i="1"/>
  <c r="J96" i="1"/>
  <c r="J100" i="1"/>
  <c r="J104" i="1"/>
  <c r="J108" i="1"/>
  <c r="J113" i="1"/>
  <c r="G91" i="1"/>
  <c r="L91" i="1" s="1"/>
  <c r="F86" i="1"/>
  <c r="G86" i="1" s="1"/>
  <c r="F87" i="1"/>
  <c r="G87" i="1" s="1"/>
  <c r="F88" i="1"/>
  <c r="G88" i="1" s="1"/>
  <c r="L88" i="1" s="1"/>
  <c r="F89" i="1"/>
  <c r="G89" i="1" s="1"/>
  <c r="F90" i="1"/>
  <c r="G90" i="1" s="1"/>
  <c r="F91" i="1"/>
  <c r="F92" i="1"/>
  <c r="G92" i="1" s="1"/>
  <c r="L92" i="1" s="1"/>
  <c r="F93" i="1"/>
  <c r="G93" i="1" s="1"/>
  <c r="L93" i="1" s="1"/>
  <c r="F95" i="1"/>
  <c r="G95" i="1" s="1"/>
  <c r="F96" i="1"/>
  <c r="G96" i="1" s="1"/>
  <c r="L96" i="1" s="1"/>
  <c r="F98" i="1"/>
  <c r="G98" i="1" s="1"/>
  <c r="F99" i="1"/>
  <c r="G99" i="1" s="1"/>
  <c r="F100" i="1"/>
  <c r="G100" i="1" s="1"/>
  <c r="L100" i="1" s="1"/>
  <c r="F101" i="1"/>
  <c r="G101" i="1" s="1"/>
  <c r="F103" i="1"/>
  <c r="G103" i="1" s="1"/>
  <c r="F104" i="1"/>
  <c r="G104" i="1" s="1"/>
  <c r="L104" i="1" s="1"/>
  <c r="F105" i="1"/>
  <c r="G105" i="1" s="1"/>
  <c r="F106" i="1"/>
  <c r="G106" i="1" s="1"/>
  <c r="F108" i="1"/>
  <c r="G108" i="1" s="1"/>
  <c r="L108" i="1" s="1"/>
  <c r="F109" i="1"/>
  <c r="G109" i="1" s="1"/>
  <c r="F110" i="1"/>
  <c r="G110" i="1" s="1"/>
  <c r="F111" i="1"/>
  <c r="G111" i="1" s="1"/>
  <c r="F113" i="1"/>
  <c r="G113" i="1" s="1"/>
  <c r="L113" i="1" s="1"/>
  <c r="F84" i="1"/>
  <c r="G84" i="1" s="1"/>
  <c r="D90" i="1"/>
  <c r="J90" i="1" s="1"/>
  <c r="D91" i="1"/>
  <c r="J91" i="1" s="1"/>
  <c r="D92" i="1"/>
  <c r="D93" i="1"/>
  <c r="J93" i="1" s="1"/>
  <c r="D94" i="1"/>
  <c r="J94" i="1" s="1"/>
  <c r="D95" i="1"/>
  <c r="J95" i="1" s="1"/>
  <c r="D96" i="1"/>
  <c r="D97" i="1"/>
  <c r="J97" i="1" s="1"/>
  <c r="D98" i="1"/>
  <c r="J98" i="1" s="1"/>
  <c r="D99" i="1"/>
  <c r="J99" i="1" s="1"/>
  <c r="D100" i="1"/>
  <c r="D101" i="1"/>
  <c r="J101" i="1" s="1"/>
  <c r="D102" i="1"/>
  <c r="J102" i="1" s="1"/>
  <c r="L102" i="1" s="1"/>
  <c r="D103" i="1"/>
  <c r="J103" i="1" s="1"/>
  <c r="D104" i="1"/>
  <c r="D105" i="1"/>
  <c r="J105" i="1" s="1"/>
  <c r="D106" i="1"/>
  <c r="J106" i="1" s="1"/>
  <c r="D107" i="1"/>
  <c r="J107" i="1" s="1"/>
  <c r="L107" i="1" s="1"/>
  <c r="D108" i="1"/>
  <c r="D109" i="1"/>
  <c r="J109" i="1" s="1"/>
  <c r="D110" i="1"/>
  <c r="J110" i="1" s="1"/>
  <c r="D111" i="1"/>
  <c r="J111" i="1" s="1"/>
  <c r="D112" i="1"/>
  <c r="J112" i="1" s="1"/>
  <c r="L112" i="1" s="1"/>
  <c r="D113" i="1"/>
  <c r="D114" i="1"/>
  <c r="J114" i="1" s="1"/>
  <c r="L114" i="1" s="1"/>
  <c r="D85" i="1"/>
  <c r="J85" i="1" s="1"/>
  <c r="D86" i="1"/>
  <c r="J86" i="1" s="1"/>
  <c r="D87" i="1"/>
  <c r="J87" i="1" s="1"/>
  <c r="D88" i="1"/>
  <c r="D89" i="1"/>
  <c r="J89" i="1" s="1"/>
  <c r="D84" i="1"/>
  <c r="J84" i="1" s="1"/>
  <c r="J58" i="1"/>
  <c r="J63" i="1"/>
  <c r="J66" i="1"/>
  <c r="J71" i="1"/>
  <c r="J74" i="1"/>
  <c r="J79" i="1"/>
  <c r="J82" i="1"/>
  <c r="J44" i="1"/>
  <c r="G1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J56" i="1" s="1"/>
  <c r="D57" i="1"/>
  <c r="J57" i="1" s="1"/>
  <c r="L57" i="1" s="1"/>
  <c r="D58" i="1"/>
  <c r="D59" i="1"/>
  <c r="J59" i="1" s="1"/>
  <c r="D60" i="1"/>
  <c r="J60" i="1" s="1"/>
  <c r="D61" i="1"/>
  <c r="J61" i="1" s="1"/>
  <c r="D62" i="1"/>
  <c r="J62" i="1" s="1"/>
  <c r="D63" i="1"/>
  <c r="D64" i="1"/>
  <c r="J64" i="1" s="1"/>
  <c r="D65" i="1"/>
  <c r="J65" i="1" s="1"/>
  <c r="D66" i="1"/>
  <c r="D67" i="1"/>
  <c r="J67" i="1" s="1"/>
  <c r="D68" i="1"/>
  <c r="J68" i="1" s="1"/>
  <c r="D69" i="1"/>
  <c r="J69" i="1" s="1"/>
  <c r="D70" i="1"/>
  <c r="J70" i="1" s="1"/>
  <c r="D71" i="1"/>
  <c r="D72" i="1"/>
  <c r="J72" i="1" s="1"/>
  <c r="D73" i="1"/>
  <c r="J73" i="1" s="1"/>
  <c r="D74" i="1"/>
  <c r="D75" i="1"/>
  <c r="J75" i="1" s="1"/>
  <c r="L75" i="1" s="1"/>
  <c r="D76" i="1"/>
  <c r="J76" i="1" s="1"/>
  <c r="D77" i="1"/>
  <c r="J77" i="1" s="1"/>
  <c r="L77" i="1" s="1"/>
  <c r="D78" i="1"/>
  <c r="J78" i="1" s="1"/>
  <c r="L78" i="1" s="1"/>
  <c r="D79" i="1"/>
  <c r="D80" i="1"/>
  <c r="J80" i="1" s="1"/>
  <c r="L80" i="1" s="1"/>
  <c r="D81" i="1"/>
  <c r="J81" i="1" s="1"/>
  <c r="L81" i="1" s="1"/>
  <c r="D82" i="1"/>
  <c r="D83" i="1"/>
  <c r="J83" i="1" s="1"/>
  <c r="L83" i="1" s="1"/>
  <c r="D2" i="1"/>
  <c r="J53" i="1"/>
  <c r="F82" i="1"/>
  <c r="G82" i="1" s="1"/>
  <c r="F59" i="1"/>
  <c r="G59" i="1" s="1"/>
  <c r="L59" i="1" s="1"/>
  <c r="F60" i="1"/>
  <c r="G60" i="1" s="1"/>
  <c r="F61" i="1"/>
  <c r="G61" i="1" s="1"/>
  <c r="L61" i="1" s="1"/>
  <c r="F62" i="1"/>
  <c r="G62" i="1" s="1"/>
  <c r="L62" i="1" s="1"/>
  <c r="F63" i="1"/>
  <c r="G63" i="1" s="1"/>
  <c r="L63" i="1" s="1"/>
  <c r="F64" i="1"/>
  <c r="G64" i="1" s="1"/>
  <c r="L64" i="1" s="1"/>
  <c r="F65" i="1"/>
  <c r="G65" i="1" s="1"/>
  <c r="F66" i="1"/>
  <c r="G66" i="1" s="1"/>
  <c r="L66" i="1" s="1"/>
  <c r="F67" i="1"/>
  <c r="G67" i="1" s="1"/>
  <c r="L67" i="1" s="1"/>
  <c r="F68" i="1"/>
  <c r="G68" i="1" s="1"/>
  <c r="F69" i="1"/>
  <c r="G69" i="1" s="1"/>
  <c r="L69" i="1" s="1"/>
  <c r="F70" i="1"/>
  <c r="G70" i="1" s="1"/>
  <c r="L70" i="1" s="1"/>
  <c r="F71" i="1"/>
  <c r="G71" i="1" s="1"/>
  <c r="L71" i="1" s="1"/>
  <c r="F72" i="1"/>
  <c r="G72" i="1" s="1"/>
  <c r="L72" i="1" s="1"/>
  <c r="F73" i="1"/>
  <c r="G73" i="1" s="1"/>
  <c r="F74" i="1"/>
  <c r="G74" i="1" s="1"/>
  <c r="L74" i="1" s="1"/>
  <c r="F75" i="1"/>
  <c r="G75" i="1" s="1"/>
  <c r="F76" i="1"/>
  <c r="G76" i="1" s="1"/>
  <c r="F77" i="1"/>
  <c r="G77" i="1" s="1"/>
  <c r="F78" i="1"/>
  <c r="G78" i="1" s="1"/>
  <c r="F79" i="1"/>
  <c r="G79" i="1" s="1"/>
  <c r="L79" i="1" s="1"/>
  <c r="F80" i="1"/>
  <c r="G80" i="1" s="1"/>
  <c r="F81" i="1"/>
  <c r="G81" i="1" s="1"/>
  <c r="F83" i="1"/>
  <c r="G83" i="1" s="1"/>
  <c r="F57" i="1"/>
  <c r="G57" i="1" s="1"/>
  <c r="F58" i="1"/>
  <c r="G58" i="1" s="1"/>
  <c r="L58" i="1" s="1"/>
  <c r="J55" i="1"/>
  <c r="F55" i="1"/>
  <c r="G55" i="1" s="1"/>
  <c r="L55" i="1" s="1"/>
  <c r="G54" i="1"/>
  <c r="F56" i="1"/>
  <c r="G56" i="1" s="1"/>
  <c r="L56" i="1" s="1"/>
  <c r="F54" i="1"/>
  <c r="G2" i="1"/>
  <c r="L2" i="1" s="1"/>
  <c r="J54" i="1"/>
  <c r="J52" i="1"/>
  <c r="J51" i="1"/>
  <c r="L51" i="1" s="1"/>
  <c r="J50" i="1"/>
  <c r="L50" i="1" s="1"/>
  <c r="J49" i="1"/>
  <c r="J48" i="1"/>
  <c r="L48" i="1" s="1"/>
  <c r="J47" i="1"/>
  <c r="J46" i="1"/>
  <c r="J45" i="1"/>
  <c r="J43" i="1"/>
  <c r="J42" i="1"/>
  <c r="J41" i="1"/>
  <c r="L41" i="1" s="1"/>
  <c r="J40" i="1"/>
  <c r="J39" i="1"/>
  <c r="J37" i="1"/>
  <c r="J36" i="1"/>
  <c r="J35" i="1"/>
  <c r="L35" i="1" s="1"/>
  <c r="J34" i="1"/>
  <c r="J32" i="1"/>
  <c r="J31" i="1"/>
  <c r="J30" i="1"/>
  <c r="L30" i="1" s="1"/>
  <c r="J29" i="1"/>
  <c r="J28" i="1"/>
  <c r="J27" i="1"/>
  <c r="L27" i="1" s="1"/>
  <c r="J26" i="1"/>
  <c r="J25" i="1"/>
  <c r="J24" i="1"/>
  <c r="J23" i="1"/>
  <c r="J22" i="1"/>
  <c r="J21" i="1"/>
  <c r="J20" i="1"/>
  <c r="J19" i="1"/>
  <c r="J18" i="1"/>
  <c r="J17" i="1"/>
  <c r="L17" i="1" s="1"/>
  <c r="J16" i="1"/>
  <c r="J15" i="1"/>
  <c r="J14" i="1"/>
  <c r="J13" i="1"/>
  <c r="J12" i="1"/>
  <c r="J11" i="1"/>
  <c r="J10" i="1"/>
  <c r="J9" i="1"/>
  <c r="J7" i="1"/>
  <c r="J6" i="1"/>
  <c r="J5" i="1"/>
  <c r="J4" i="1"/>
  <c r="J2" i="1"/>
  <c r="G23" i="1"/>
  <c r="G24" i="1"/>
  <c r="G43" i="1"/>
  <c r="G44" i="1"/>
  <c r="G53" i="1"/>
  <c r="G52" i="1"/>
  <c r="G47" i="1"/>
  <c r="G46" i="1"/>
  <c r="G42" i="1"/>
  <c r="G40" i="1"/>
  <c r="G39" i="1"/>
  <c r="G37" i="1"/>
  <c r="G36" i="1"/>
  <c r="G34" i="1"/>
  <c r="G32" i="1"/>
  <c r="G31" i="1"/>
  <c r="G28" i="1"/>
  <c r="G29" i="1"/>
  <c r="G25" i="1"/>
  <c r="G22" i="1"/>
  <c r="G21" i="1"/>
  <c r="G20" i="1"/>
  <c r="G19" i="1"/>
  <c r="G18" i="1"/>
  <c r="G14" i="1"/>
  <c r="G13" i="1"/>
  <c r="G10" i="1"/>
  <c r="G9" i="1"/>
  <c r="G7" i="1"/>
  <c r="G6" i="1"/>
  <c r="G5" i="1"/>
  <c r="G4" i="1"/>
  <c r="L4" i="1" s="1"/>
  <c r="L45" i="1"/>
  <c r="L49" i="1"/>
  <c r="L11" i="1"/>
  <c r="L16" i="1"/>
  <c r="L26" i="1"/>
  <c r="L3" i="1"/>
  <c r="L8" i="1"/>
  <c r="L33" i="1"/>
  <c r="L38" i="1"/>
  <c r="I35" i="3"/>
  <c r="F35" i="3"/>
  <c r="E35" i="3"/>
  <c r="I9" i="3"/>
  <c r="I25" i="3"/>
  <c r="F25" i="3"/>
  <c r="E25" i="3"/>
  <c r="I8" i="3"/>
  <c r="F8" i="3"/>
  <c r="E8" i="3"/>
  <c r="I33" i="3"/>
  <c r="I39" i="3"/>
  <c r="I42" i="3"/>
  <c r="I5" i="3"/>
  <c r="F5" i="3"/>
  <c r="E5" i="3"/>
  <c r="I51" i="3"/>
  <c r="I50" i="3"/>
  <c r="F50" i="3"/>
  <c r="E50" i="3"/>
  <c r="I49" i="3"/>
  <c r="F49" i="3"/>
  <c r="E49" i="3"/>
  <c r="I45" i="3"/>
  <c r="F45" i="3"/>
  <c r="E45" i="3"/>
  <c r="I44" i="3"/>
  <c r="I31" i="3"/>
  <c r="F31" i="3"/>
  <c r="E31" i="3"/>
  <c r="I27" i="3"/>
  <c r="I23" i="3"/>
  <c r="F23" i="3"/>
  <c r="E23" i="3"/>
  <c r="I17" i="3"/>
  <c r="I21" i="3"/>
  <c r="F21" i="3"/>
  <c r="E21" i="3"/>
  <c r="I10" i="3"/>
  <c r="F10" i="3"/>
  <c r="E10" i="3"/>
  <c r="I16" i="3"/>
  <c r="F16" i="3"/>
  <c r="E16" i="3"/>
  <c r="I2" i="3"/>
  <c r="I13" i="3"/>
  <c r="F13" i="3"/>
  <c r="E13" i="3"/>
  <c r="I26" i="3"/>
  <c r="F26" i="3"/>
  <c r="E26" i="3"/>
  <c r="I32" i="3"/>
  <c r="F32" i="3"/>
  <c r="E32" i="3"/>
  <c r="I46" i="3"/>
  <c r="F46" i="3"/>
  <c r="E46" i="3"/>
  <c r="I38" i="3"/>
  <c r="F38" i="3"/>
  <c r="E38" i="3"/>
  <c r="I37" i="3"/>
  <c r="F37" i="3"/>
  <c r="E37" i="3"/>
  <c r="I29" i="3"/>
  <c r="F29" i="3"/>
  <c r="E29" i="3"/>
  <c r="I18" i="3"/>
  <c r="F18" i="3"/>
  <c r="E18" i="3"/>
  <c r="I11" i="3"/>
  <c r="F11" i="3"/>
  <c r="E11" i="3"/>
  <c r="I19" i="3"/>
  <c r="F19" i="3"/>
  <c r="E19" i="3"/>
  <c r="I20" i="3"/>
  <c r="I7" i="3"/>
  <c r="F7" i="3"/>
  <c r="E7" i="3"/>
  <c r="I6" i="3"/>
  <c r="F6" i="3"/>
  <c r="E6" i="3"/>
  <c r="I34" i="3"/>
  <c r="I36" i="3"/>
  <c r="I30" i="3"/>
  <c r="F30" i="3"/>
  <c r="E30" i="3"/>
  <c r="I22" i="3"/>
  <c r="F22" i="3"/>
  <c r="E22" i="3"/>
  <c r="I41" i="3"/>
  <c r="F41" i="3"/>
  <c r="E41" i="3"/>
  <c r="I12" i="3"/>
  <c r="F12" i="3"/>
  <c r="E12" i="3"/>
  <c r="I28" i="3"/>
  <c r="F28" i="3"/>
  <c r="E28" i="3"/>
  <c r="I40" i="3"/>
  <c r="F40" i="3"/>
  <c r="E40" i="3"/>
  <c r="I47" i="3"/>
  <c r="F47" i="3"/>
  <c r="E47" i="3"/>
  <c r="I48" i="3"/>
  <c r="I43" i="3"/>
  <c r="F43" i="3"/>
  <c r="E43" i="3"/>
  <c r="I3" i="3"/>
  <c r="F3" i="3"/>
  <c r="E3" i="3"/>
  <c r="I37" i="2"/>
  <c r="F37" i="2"/>
  <c r="E37" i="2"/>
  <c r="I9" i="2"/>
  <c r="I26" i="2"/>
  <c r="F26" i="2"/>
  <c r="E26" i="2"/>
  <c r="I8" i="2"/>
  <c r="F8" i="2"/>
  <c r="E8" i="2"/>
  <c r="I35" i="2"/>
  <c r="I40" i="2"/>
  <c r="I38" i="2"/>
  <c r="F38" i="2"/>
  <c r="E38" i="2"/>
  <c r="I44" i="2"/>
  <c r="I47" i="2"/>
  <c r="I5" i="2"/>
  <c r="F5" i="2"/>
  <c r="E5" i="2"/>
  <c r="I56" i="2"/>
  <c r="I55" i="2"/>
  <c r="F55" i="2"/>
  <c r="E55" i="2"/>
  <c r="I54" i="2"/>
  <c r="F54" i="2"/>
  <c r="E54" i="2"/>
  <c r="I50" i="2"/>
  <c r="F50" i="2"/>
  <c r="E50" i="2"/>
  <c r="I49" i="2"/>
  <c r="I33" i="2"/>
  <c r="F33" i="2"/>
  <c r="E33" i="2"/>
  <c r="I28" i="2"/>
  <c r="I24" i="2"/>
  <c r="F24" i="2"/>
  <c r="E24" i="2"/>
  <c r="I22" i="2"/>
  <c r="I32" i="2"/>
  <c r="F32" i="2"/>
  <c r="E32" i="2"/>
  <c r="I17" i="2"/>
  <c r="I21" i="2"/>
  <c r="F21" i="2"/>
  <c r="E21" i="2"/>
  <c r="I10" i="2"/>
  <c r="F10" i="2"/>
  <c r="E10" i="2"/>
  <c r="I16" i="2"/>
  <c r="F16" i="2"/>
  <c r="E16" i="2"/>
  <c r="I2" i="2"/>
  <c r="I13" i="2"/>
  <c r="F13" i="2"/>
  <c r="E13" i="2"/>
  <c r="I27" i="2"/>
  <c r="F27" i="2"/>
  <c r="E27" i="2"/>
  <c r="I34" i="2"/>
  <c r="F34" i="2"/>
  <c r="E34" i="2"/>
  <c r="I51" i="2"/>
  <c r="F51" i="2"/>
  <c r="E51" i="2"/>
  <c r="I43" i="2"/>
  <c r="F43" i="2"/>
  <c r="E43" i="2"/>
  <c r="I41" i="2"/>
  <c r="F41" i="2"/>
  <c r="E41" i="2"/>
  <c r="I30" i="2"/>
  <c r="F30" i="2"/>
  <c r="E30" i="2"/>
  <c r="I18" i="2"/>
  <c r="F18" i="2"/>
  <c r="E18" i="2"/>
  <c r="I11" i="2"/>
  <c r="F11" i="2"/>
  <c r="E11" i="2"/>
  <c r="I19" i="2"/>
  <c r="F19" i="2"/>
  <c r="E19" i="2"/>
  <c r="I20" i="2"/>
  <c r="I7" i="2"/>
  <c r="F7" i="2"/>
  <c r="E7" i="2"/>
  <c r="I6" i="2"/>
  <c r="F6" i="2"/>
  <c r="E6" i="2"/>
  <c r="I36" i="2"/>
  <c r="I39" i="2"/>
  <c r="I31" i="2"/>
  <c r="F31" i="2"/>
  <c r="E31" i="2"/>
  <c r="I23" i="2"/>
  <c r="F23" i="2"/>
  <c r="E23" i="2"/>
  <c r="I46" i="2"/>
  <c r="F46" i="2"/>
  <c r="E46" i="2"/>
  <c r="I12" i="2"/>
  <c r="F12" i="2"/>
  <c r="E12" i="2"/>
  <c r="I29" i="2"/>
  <c r="F29" i="2"/>
  <c r="E29" i="2"/>
  <c r="I45" i="2"/>
  <c r="F45" i="2"/>
  <c r="E45" i="2"/>
  <c r="I52" i="2"/>
  <c r="F52" i="2"/>
  <c r="E52" i="2"/>
  <c r="I53" i="2"/>
  <c r="I48" i="2"/>
  <c r="F48" i="2"/>
  <c r="E48" i="2"/>
  <c r="I42" i="2"/>
  <c r="F42" i="2"/>
  <c r="E42" i="2"/>
  <c r="I3" i="2"/>
  <c r="F3" i="2"/>
  <c r="E3" i="2"/>
  <c r="F2" i="1"/>
  <c r="F46" i="1"/>
  <c r="F39" i="1"/>
  <c r="F29" i="1"/>
  <c r="F47" i="1"/>
  <c r="F28" i="1"/>
  <c r="F53" i="1"/>
  <c r="F52" i="1"/>
  <c r="F43" i="1"/>
  <c r="F37" i="1"/>
  <c r="F42" i="1"/>
  <c r="F36" i="1"/>
  <c r="F31" i="1"/>
  <c r="F34" i="1"/>
  <c r="F32" i="1"/>
  <c r="F40" i="1"/>
  <c r="F44" i="1"/>
  <c r="F24" i="1"/>
  <c r="F20" i="1"/>
  <c r="F18" i="1"/>
  <c r="F14" i="1"/>
  <c r="F9" i="1"/>
  <c r="F6" i="1"/>
  <c r="F10" i="1"/>
  <c r="F5" i="1"/>
  <c r="F4" i="1"/>
  <c r="F15" i="1"/>
  <c r="F12" i="1"/>
  <c r="F22" i="1"/>
  <c r="F7" i="1"/>
  <c r="F13" i="1"/>
  <c r="F21" i="1"/>
  <c r="F25" i="1"/>
  <c r="F23" i="1"/>
  <c r="F19" i="1"/>
  <c r="L103" i="1" l="1"/>
  <c r="L76" i="1"/>
  <c r="L68" i="1"/>
  <c r="L60" i="1"/>
  <c r="L111" i="1"/>
  <c r="L101" i="1"/>
  <c r="L110" i="1"/>
  <c r="L90" i="1"/>
  <c r="L109" i="1"/>
  <c r="L99" i="1"/>
  <c r="L89" i="1"/>
  <c r="L73" i="1"/>
  <c r="L65" i="1"/>
  <c r="L98" i="1"/>
  <c r="L106" i="1"/>
  <c r="L87" i="1"/>
  <c r="L105" i="1"/>
  <c r="L95" i="1"/>
  <c r="L86" i="1"/>
  <c r="L54" i="1"/>
  <c r="L82" i="1"/>
  <c r="L28" i="1"/>
  <c r="L84" i="1"/>
  <c r="L6" i="1"/>
  <c r="L32" i="1"/>
  <c r="L39" i="1"/>
  <c r="L40" i="1"/>
  <c r="L9" i="1"/>
  <c r="L46" i="1"/>
  <c r="L15" i="1"/>
  <c r="L12" i="1"/>
  <c r="L19" i="1"/>
  <c r="L34" i="1"/>
  <c r="L18" i="1"/>
  <c r="L13" i="1"/>
  <c r="L53" i="1"/>
  <c r="L7" i="1"/>
  <c r="L20" i="1"/>
  <c r="L14" i="1"/>
  <c r="L31" i="1"/>
  <c r="L23" i="1"/>
  <c r="L43" i="1"/>
  <c r="L21" i="1"/>
  <c r="L52" i="1"/>
  <c r="L47" i="1"/>
  <c r="L42" i="1"/>
  <c r="L37" i="1"/>
  <c r="L25" i="1"/>
  <c r="L5" i="1"/>
  <c r="L44" i="1"/>
  <c r="L29" i="1"/>
  <c r="L36" i="1"/>
  <c r="L24" i="1"/>
  <c r="L10" i="1"/>
  <c r="L22" i="1"/>
</calcChain>
</file>

<file path=xl/sharedStrings.xml><?xml version="1.0" encoding="utf-8"?>
<sst xmlns="http://schemas.openxmlformats.org/spreadsheetml/2006/main" count="1054" uniqueCount="165">
  <si>
    <t>species</t>
  </si>
  <si>
    <t>enter1</t>
  </si>
  <si>
    <t>enter.reward</t>
  </si>
  <si>
    <t>move.alley</t>
  </si>
  <si>
    <t>time.glass</t>
  </si>
  <si>
    <t>time.reward</t>
  </si>
  <si>
    <t>Gambusia_vittata</t>
  </si>
  <si>
    <t>Acuff-Rose</t>
  </si>
  <si>
    <t>Y</t>
  </si>
  <si>
    <t>Ananais</t>
  </si>
  <si>
    <t>N</t>
  </si>
  <si>
    <t>Delilah</t>
  </si>
  <si>
    <t>Samson</t>
  </si>
  <si>
    <t>Tom Dooley</t>
  </si>
  <si>
    <t>Wharf Rat</t>
  </si>
  <si>
    <t>Viola Lee</t>
  </si>
  <si>
    <t>Stella Blue</t>
  </si>
  <si>
    <t>Lovelight</t>
  </si>
  <si>
    <t>Candyman</t>
  </si>
  <si>
    <t>Tamarack</t>
  </si>
  <si>
    <t>Hemlock</t>
  </si>
  <si>
    <t>Mesquite</t>
  </si>
  <si>
    <t>Rhododendron</t>
  </si>
  <si>
    <t>y</t>
  </si>
  <si>
    <t>Persimmon</t>
  </si>
  <si>
    <t>Aurum</t>
  </si>
  <si>
    <t>Beech</t>
  </si>
  <si>
    <t>Goldilocks</t>
  </si>
  <si>
    <t>Geld</t>
  </si>
  <si>
    <t>Canary</t>
  </si>
  <si>
    <t>FireOnTheMountain</t>
  </si>
  <si>
    <t>Magma</t>
  </si>
  <si>
    <t>Ruby</t>
  </si>
  <si>
    <t>Scarlet</t>
  </si>
  <si>
    <t>Vermillion</t>
  </si>
  <si>
    <t>Limia_perugiae</t>
  </si>
  <si>
    <t>Operator</t>
  </si>
  <si>
    <t>Kawliga</t>
  </si>
  <si>
    <t>Casey Jones</t>
  </si>
  <si>
    <t>Abilene</t>
  </si>
  <si>
    <t>Delia</t>
  </si>
  <si>
    <t>0.:13</t>
  </si>
  <si>
    <t>Easy Wind</t>
  </si>
  <si>
    <t>Bobby McGee</t>
  </si>
  <si>
    <t>Goodlovin</t>
  </si>
  <si>
    <t>Fennario</t>
  </si>
  <si>
    <t>Jackaroe</t>
  </si>
  <si>
    <t>Morning Dew</t>
  </si>
  <si>
    <t>Hard to Handle</t>
  </si>
  <si>
    <t>Ichabod</t>
  </si>
  <si>
    <t>Loser</t>
  </si>
  <si>
    <t>Nellie Kane</t>
  </si>
  <si>
    <t>Uvalde</t>
  </si>
  <si>
    <t>ValVerde</t>
  </si>
  <si>
    <t>Winkler</t>
  </si>
  <si>
    <t>Yoakum</t>
  </si>
  <si>
    <t>Zapata</t>
  </si>
  <si>
    <t>Atascosa</t>
  </si>
  <si>
    <t>Terrapin</t>
  </si>
  <si>
    <t>StaggerLee</t>
  </si>
  <si>
    <t>Quetzalcoatl</t>
  </si>
  <si>
    <t>Rose</t>
  </si>
  <si>
    <t>PeggyO</t>
  </si>
  <si>
    <t>Billy</t>
  </si>
  <si>
    <t>Jerry</t>
  </si>
  <si>
    <t>Bobby</t>
  </si>
  <si>
    <t>Phil</t>
  </si>
  <si>
    <t>NA</t>
  </si>
  <si>
    <t>Na</t>
  </si>
  <si>
    <t>tube.removed.raw</t>
  </si>
  <si>
    <t>enter.reward.raw</t>
  </si>
  <si>
    <t>time.glass.raw</t>
  </si>
  <si>
    <t>Species</t>
  </si>
  <si>
    <t>FishName</t>
  </si>
  <si>
    <t>fishname</t>
  </si>
  <si>
    <t>TotalWhite</t>
  </si>
  <si>
    <t>WharfRat</t>
  </si>
  <si>
    <t>ViolaLee</t>
  </si>
  <si>
    <t>Tom Doodley</t>
  </si>
  <si>
    <t>Sadie</t>
  </si>
  <si>
    <t>Rosie</t>
  </si>
  <si>
    <t>Matty Graves</t>
  </si>
  <si>
    <t>Donna</t>
  </si>
  <si>
    <t>Carolyn</t>
  </si>
  <si>
    <t>timetoreward</t>
  </si>
  <si>
    <t>solve.time</t>
  </si>
  <si>
    <t>body.length</t>
  </si>
  <si>
    <t>fishID</t>
  </si>
  <si>
    <t>solve_detour</t>
  </si>
  <si>
    <t>Yes</t>
  </si>
  <si>
    <t>No</t>
  </si>
  <si>
    <t>Cassidy</t>
  </si>
  <si>
    <t>Atsumu</t>
  </si>
  <si>
    <t>BigIron</t>
  </si>
  <si>
    <t>Boggs</t>
  </si>
  <si>
    <t>Cannonball</t>
  </si>
  <si>
    <t>Cashier</t>
  </si>
  <si>
    <t>Clarence</t>
  </si>
  <si>
    <t>Cotton</t>
  </si>
  <si>
    <t>Daichi</t>
  </si>
  <si>
    <t>Dawg</t>
  </si>
  <si>
    <t>Del</t>
  </si>
  <si>
    <t>Doc</t>
  </si>
  <si>
    <t>Hardy</t>
  </si>
  <si>
    <t>Hinata</t>
  </si>
  <si>
    <t>Iwa</t>
  </si>
  <si>
    <t>Josephine</t>
  </si>
  <si>
    <t>Kageyama</t>
  </si>
  <si>
    <t>Kenma</t>
  </si>
  <si>
    <t>Kuroo</t>
  </si>
  <si>
    <t>Monana</t>
  </si>
  <si>
    <t>MuddyWater</t>
  </si>
  <si>
    <t>Oikawa</t>
  </si>
  <si>
    <t>Osamu</t>
  </si>
  <si>
    <t>PanamaRed</t>
  </si>
  <si>
    <t>Polly</t>
  </si>
  <si>
    <t>Raquel</t>
  </si>
  <si>
    <t>RegineFilange</t>
  </si>
  <si>
    <t>Sugawara</t>
  </si>
  <si>
    <t>Watson</t>
  </si>
  <si>
    <t>tube.removed</t>
  </si>
  <si>
    <t>Ala</t>
  </si>
  <si>
    <t>Alliot</t>
  </si>
  <si>
    <t>Ale</t>
  </si>
  <si>
    <t>Cla</t>
  </si>
  <si>
    <t>Wil</t>
  </si>
  <si>
    <t>Beelzebub</t>
  </si>
  <si>
    <t>Chariot</t>
  </si>
  <si>
    <t>Jubilee</t>
  </si>
  <si>
    <t>Judge</t>
  </si>
  <si>
    <t>Suttree</t>
  </si>
  <si>
    <t>Azure</t>
  </si>
  <si>
    <t>Bateson</t>
  </si>
  <si>
    <t>Bethlehem</t>
  </si>
  <si>
    <t>Cerulean</t>
  </si>
  <si>
    <t>Cobalt</t>
  </si>
  <si>
    <t>Darwin</t>
  </si>
  <si>
    <t>Dhaka</t>
  </si>
  <si>
    <t>Fisher</t>
  </si>
  <si>
    <t>Haldane</t>
  </si>
  <si>
    <t>Hamilton</t>
  </si>
  <si>
    <t>Jericho</t>
  </si>
  <si>
    <t>Lamarck</t>
  </si>
  <si>
    <t>Lapis</t>
  </si>
  <si>
    <t>Lewontin</t>
  </si>
  <si>
    <t>Magus</t>
  </si>
  <si>
    <t>Sapphire</t>
  </si>
  <si>
    <t>Wallace</t>
  </si>
  <si>
    <t>Wuxi</t>
  </si>
  <si>
    <t>Williams</t>
  </si>
  <si>
    <t>FireontheMountain</t>
  </si>
  <si>
    <t>StellaBlue</t>
  </si>
  <si>
    <t>Vermilion</t>
  </si>
  <si>
    <t>BobbyMcGee</t>
  </si>
  <si>
    <t>TomDooley</t>
  </si>
  <si>
    <t>CaseyJones</t>
  </si>
  <si>
    <t>EasyWind</t>
  </si>
  <si>
    <t>KawLiga</t>
  </si>
  <si>
    <t>MorningDew</t>
  </si>
  <si>
    <t>NellieKane</t>
  </si>
  <si>
    <t>MaynardSmith</t>
  </si>
  <si>
    <t>G. vittata</t>
  </si>
  <si>
    <t>L. perugiae</t>
  </si>
  <si>
    <t>X. nigrensis</t>
  </si>
  <si>
    <t>H. formosa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</si>
</sst>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4AE5-2FAB-43F5-9656-30E1A1AA0772}">
  <dimension ref="A1:N114"/>
  <sheetViews>
    <sheetView tabSelected="1" topLeftCell="A96" zoomScale="115" zoomScaleNormal="115" workbookViewId="0">
      <selection activeCell="B107" sqref="B107"/>
    </sheetView>
  </sheetViews>
  <sheetFormatPr defaultRowHeight="14.4" x14ac:dyDescent="0.3"/>
  <cols>
    <col min="4" max="4" width="8.88671875" style="22"/>
    <col min="7" max="7" width="8.88671875" style="22"/>
    <col min="10" max="10" width="8.88671875" style="22"/>
  </cols>
  <sheetData>
    <row r="1" spans="1:14" x14ac:dyDescent="0.3">
      <c r="A1" s="1" t="s">
        <v>72</v>
      </c>
      <c r="B1" s="1" t="s">
        <v>87</v>
      </c>
      <c r="C1" s="1" t="s">
        <v>69</v>
      </c>
      <c r="D1" s="24" t="s">
        <v>120</v>
      </c>
      <c r="E1" s="1" t="s">
        <v>1</v>
      </c>
      <c r="F1" s="1" t="s">
        <v>70</v>
      </c>
      <c r="G1" s="24" t="s">
        <v>2</v>
      </c>
      <c r="H1" s="1" t="s">
        <v>3</v>
      </c>
      <c r="I1" s="1" t="s">
        <v>71</v>
      </c>
      <c r="J1" s="24" t="s">
        <v>4</v>
      </c>
      <c r="K1" s="1" t="s">
        <v>5</v>
      </c>
      <c r="L1" s="1" t="s">
        <v>85</v>
      </c>
      <c r="M1" s="1" t="s">
        <v>88</v>
      </c>
      <c r="N1" s="1" t="s">
        <v>86</v>
      </c>
    </row>
    <row r="2" spans="1:14" x14ac:dyDescent="0.3">
      <c r="A2" t="s">
        <v>161</v>
      </c>
      <c r="B2" s="2" t="s">
        <v>7</v>
      </c>
      <c r="C2" s="3">
        <v>1.2499999999999999E-2</v>
      </c>
      <c r="D2" s="13">
        <f>(HOUR(C2)*60+MINUTE(C2))</f>
        <v>18</v>
      </c>
      <c r="E2" s="4">
        <v>0.13402777777777777</v>
      </c>
      <c r="F2" s="4">
        <f xml:space="preserve"> E2-C2</f>
        <v>0.12152777777777778</v>
      </c>
      <c r="G2" s="14">
        <f xml:space="preserve"> 120 + 55</f>
        <v>175</v>
      </c>
      <c r="H2" s="2" t="s">
        <v>8</v>
      </c>
      <c r="I2" s="3">
        <v>6.3194444444444442E-2</v>
      </c>
      <c r="J2" s="13">
        <f xml:space="preserve"> 60+31</f>
        <v>91</v>
      </c>
      <c r="K2" s="3">
        <v>7.6388888888888886E-3</v>
      </c>
      <c r="L2" s="22">
        <f xml:space="preserve"> G2-J2</f>
        <v>84</v>
      </c>
      <c r="M2" s="22" t="s">
        <v>89</v>
      </c>
      <c r="N2">
        <v>3.0830000000000002</v>
      </c>
    </row>
    <row r="3" spans="1:14" x14ac:dyDescent="0.3">
      <c r="A3" t="s">
        <v>161</v>
      </c>
      <c r="B3" s="2" t="s">
        <v>9</v>
      </c>
      <c r="C3" s="3">
        <v>4.8611111111111112E-3</v>
      </c>
      <c r="D3" s="13">
        <f t="shared" ref="D3:D65" si="0">(HOUR(C3)*60+MINUTE(C3))</f>
        <v>7</v>
      </c>
      <c r="E3" s="3" t="s">
        <v>67</v>
      </c>
      <c r="F3" s="4" t="s">
        <v>67</v>
      </c>
      <c r="G3" s="14" t="s">
        <v>67</v>
      </c>
      <c r="H3" s="2" t="s">
        <v>10</v>
      </c>
      <c r="I3" s="2" t="s">
        <v>67</v>
      </c>
      <c r="J3" s="13" t="s">
        <v>67</v>
      </c>
      <c r="K3" s="2" t="s">
        <v>67</v>
      </c>
      <c r="L3" s="22" t="e">
        <f t="shared" ref="L3:L33" si="1" xml:space="preserve"> G3-J3</f>
        <v>#VALUE!</v>
      </c>
      <c r="M3" s="22" t="s">
        <v>90</v>
      </c>
      <c r="N3">
        <v>3.0590000000000002</v>
      </c>
    </row>
    <row r="4" spans="1:14" x14ac:dyDescent="0.3">
      <c r="A4" t="s">
        <v>161</v>
      </c>
      <c r="B4" s="5" t="s">
        <v>25</v>
      </c>
      <c r="C4" s="4">
        <v>4.8611111111111112E-3</v>
      </c>
      <c r="D4" s="13">
        <f t="shared" si="0"/>
        <v>7</v>
      </c>
      <c r="E4" s="4">
        <v>0.22500000000000001</v>
      </c>
      <c r="F4" s="4">
        <f xml:space="preserve"> E4-C4</f>
        <v>0.22013888888888888</v>
      </c>
      <c r="G4" s="14">
        <f xml:space="preserve"> 60*5 + 17</f>
        <v>317</v>
      </c>
      <c r="H4" s="5" t="s">
        <v>8</v>
      </c>
      <c r="I4" s="4">
        <v>2.1527777777777781E-2</v>
      </c>
      <c r="J4" s="14">
        <f xml:space="preserve"> 31 - 7</f>
        <v>24</v>
      </c>
      <c r="K4" s="4">
        <v>0.10972222222222222</v>
      </c>
      <c r="L4" s="22">
        <f xml:space="preserve"> G4-J4</f>
        <v>293</v>
      </c>
      <c r="M4" s="22" t="s">
        <v>89</v>
      </c>
      <c r="N4">
        <v>2.6459999999999999</v>
      </c>
    </row>
    <row r="5" spans="1:14" x14ac:dyDescent="0.3">
      <c r="A5" t="s">
        <v>161</v>
      </c>
      <c r="B5" s="5" t="s">
        <v>26</v>
      </c>
      <c r="C5" s="4">
        <v>5.5555555555555558E-3</v>
      </c>
      <c r="D5" s="13">
        <f t="shared" si="0"/>
        <v>8</v>
      </c>
      <c r="E5" s="4">
        <v>7.013888888888889E-2</v>
      </c>
      <c r="F5" s="4">
        <f xml:space="preserve"> E5-C5</f>
        <v>6.458333333333334E-2</v>
      </c>
      <c r="G5" s="14">
        <f xml:space="preserve"> 60 + 33</f>
        <v>93</v>
      </c>
      <c r="H5" s="5" t="s">
        <v>8</v>
      </c>
      <c r="I5" s="4">
        <v>6.3888888888888884E-2</v>
      </c>
      <c r="J5" s="14">
        <f xml:space="preserve"> 60 + 32 - 8</f>
        <v>84</v>
      </c>
      <c r="K5" s="4">
        <v>4.5833333333333337E-2</v>
      </c>
      <c r="L5" s="22">
        <f t="shared" si="1"/>
        <v>9</v>
      </c>
      <c r="M5" s="22" t="s">
        <v>89</v>
      </c>
      <c r="N5">
        <v>3.097</v>
      </c>
    </row>
    <row r="6" spans="1:14" x14ac:dyDescent="0.3">
      <c r="A6" t="s">
        <v>161</v>
      </c>
      <c r="B6" s="5" t="s">
        <v>29</v>
      </c>
      <c r="C6" s="4">
        <v>4.8611111111111112E-3</v>
      </c>
      <c r="D6" s="13">
        <f t="shared" si="0"/>
        <v>7</v>
      </c>
      <c r="E6" s="4">
        <v>0.14375000000000002</v>
      </c>
      <c r="F6" s="4">
        <f xml:space="preserve"> E6-C6</f>
        <v>0.1388888888888889</v>
      </c>
      <c r="G6" s="14">
        <f xml:space="preserve"> 3 * 60 + 33</f>
        <v>213</v>
      </c>
      <c r="H6" s="5" t="s">
        <v>8</v>
      </c>
      <c r="I6" s="4">
        <v>3.1944444444444449E-2</v>
      </c>
      <c r="J6" s="14">
        <f xml:space="preserve"> 46 - 7</f>
        <v>39</v>
      </c>
      <c r="K6" s="4">
        <v>0.15138888888888888</v>
      </c>
      <c r="L6" s="22">
        <f t="shared" si="1"/>
        <v>174</v>
      </c>
      <c r="M6" s="22" t="s">
        <v>89</v>
      </c>
      <c r="N6">
        <v>3.2090000000000001</v>
      </c>
    </row>
    <row r="7" spans="1:14" x14ac:dyDescent="0.3">
      <c r="A7" t="s">
        <v>161</v>
      </c>
      <c r="B7" s="5" t="s">
        <v>18</v>
      </c>
      <c r="C7" s="4">
        <v>6.2499999999999995E-3</v>
      </c>
      <c r="D7" s="13">
        <f t="shared" si="0"/>
        <v>9</v>
      </c>
      <c r="E7" s="4">
        <v>0.30902777777777779</v>
      </c>
      <c r="F7" s="4">
        <f xml:space="preserve"> E7-C7</f>
        <v>0.30277777777777781</v>
      </c>
      <c r="G7" s="14">
        <f xml:space="preserve"> 7 * 60 + 25</f>
        <v>445</v>
      </c>
      <c r="H7" s="5" t="s">
        <v>8</v>
      </c>
      <c r="I7" s="4">
        <v>6.9444444444444441E-3</v>
      </c>
      <c r="J7" s="14">
        <f xml:space="preserve"> 10 - 9</f>
        <v>1</v>
      </c>
      <c r="K7" s="4">
        <v>0.10972222222222222</v>
      </c>
      <c r="L7" s="22">
        <f t="shared" si="1"/>
        <v>444</v>
      </c>
      <c r="M7" s="22" t="s">
        <v>89</v>
      </c>
      <c r="N7">
        <v>2.7530000000000001</v>
      </c>
    </row>
    <row r="8" spans="1:14" x14ac:dyDescent="0.3">
      <c r="A8" t="s">
        <v>161</v>
      </c>
      <c r="B8" s="2" t="s">
        <v>11</v>
      </c>
      <c r="C8" s="3">
        <v>3.472222222222222E-3</v>
      </c>
      <c r="D8" s="13">
        <f t="shared" si="0"/>
        <v>5</v>
      </c>
      <c r="E8" s="3" t="s">
        <v>67</v>
      </c>
      <c r="F8" s="4" t="s">
        <v>67</v>
      </c>
      <c r="G8" s="14" t="s">
        <v>67</v>
      </c>
      <c r="H8" s="2" t="s">
        <v>8</v>
      </c>
      <c r="I8" s="2" t="s">
        <v>67</v>
      </c>
      <c r="J8" s="13" t="s">
        <v>67</v>
      </c>
      <c r="K8" s="2" t="s">
        <v>67</v>
      </c>
      <c r="L8" s="22" t="e">
        <f t="shared" si="1"/>
        <v>#VALUE!</v>
      </c>
      <c r="M8" s="22" t="s">
        <v>90</v>
      </c>
      <c r="N8">
        <v>2.8610000000000002</v>
      </c>
    </row>
    <row r="9" spans="1:14" x14ac:dyDescent="0.3">
      <c r="A9" t="s">
        <v>161</v>
      </c>
      <c r="B9" s="5" t="s">
        <v>150</v>
      </c>
      <c r="C9" s="4">
        <v>7.6388888888888886E-3</v>
      </c>
      <c r="D9" s="13">
        <f t="shared" si="0"/>
        <v>11</v>
      </c>
      <c r="E9" s="4">
        <v>9.7222222222222224E-2</v>
      </c>
      <c r="F9" s="4">
        <f xml:space="preserve"> E9-C9</f>
        <v>8.9583333333333334E-2</v>
      </c>
      <c r="G9" s="14">
        <f xml:space="preserve"> 2 * 60 + 9</f>
        <v>129</v>
      </c>
      <c r="H9" s="5" t="s">
        <v>8</v>
      </c>
      <c r="I9" s="4">
        <v>9.3055555555555558E-2</v>
      </c>
      <c r="J9" s="14">
        <f xml:space="preserve"> 2*60 + 14 - 11</f>
        <v>123</v>
      </c>
      <c r="K9" s="4">
        <v>0.16250000000000001</v>
      </c>
      <c r="L9" s="22">
        <f t="shared" si="1"/>
        <v>6</v>
      </c>
      <c r="M9" s="22" t="s">
        <v>89</v>
      </c>
      <c r="N9">
        <v>2.6789999999999998</v>
      </c>
    </row>
    <row r="10" spans="1:14" x14ac:dyDescent="0.3">
      <c r="A10" t="s">
        <v>161</v>
      </c>
      <c r="B10" s="5" t="s">
        <v>28</v>
      </c>
      <c r="C10" s="4">
        <v>5.5555555555555558E-3</v>
      </c>
      <c r="D10" s="13">
        <f t="shared" si="0"/>
        <v>8</v>
      </c>
      <c r="E10" s="4">
        <v>0.1986111111111111</v>
      </c>
      <c r="F10" s="4">
        <f xml:space="preserve"> E10-C10</f>
        <v>0.19305555555555554</v>
      </c>
      <c r="G10" s="14">
        <f xml:space="preserve"> 4 * 60 + 38</f>
        <v>278</v>
      </c>
      <c r="H10" s="5" t="s">
        <v>8</v>
      </c>
      <c r="I10" s="4">
        <v>0.13819444444444443</v>
      </c>
      <c r="J10" s="14">
        <f xml:space="preserve"> 3*60 + 19 - 8</f>
        <v>191</v>
      </c>
      <c r="K10" s="4">
        <v>4.5138888888888888E-2</v>
      </c>
      <c r="L10" s="22">
        <f t="shared" si="1"/>
        <v>87</v>
      </c>
      <c r="M10" s="22" t="s">
        <v>89</v>
      </c>
      <c r="N10">
        <v>3.2080000000000002</v>
      </c>
    </row>
    <row r="11" spans="1:14" x14ac:dyDescent="0.3">
      <c r="A11" t="s">
        <v>161</v>
      </c>
      <c r="B11" s="5" t="s">
        <v>27</v>
      </c>
      <c r="C11" s="4">
        <v>4.8611111111111112E-3</v>
      </c>
      <c r="D11" s="13">
        <f t="shared" si="0"/>
        <v>7</v>
      </c>
      <c r="E11" s="5" t="s">
        <v>67</v>
      </c>
      <c r="F11" s="4" t="s">
        <v>67</v>
      </c>
      <c r="G11" s="14" t="s">
        <v>67</v>
      </c>
      <c r="H11" s="5" t="s">
        <v>8</v>
      </c>
      <c r="I11" s="4">
        <v>1.7361111111111112E-2</v>
      </c>
      <c r="J11" s="14">
        <f xml:space="preserve"> 25 - 7</f>
        <v>18</v>
      </c>
      <c r="K11" s="5" t="s">
        <v>67</v>
      </c>
      <c r="L11" s="22" t="e">
        <f t="shared" si="1"/>
        <v>#VALUE!</v>
      </c>
      <c r="M11" s="22" t="s">
        <v>90</v>
      </c>
      <c r="N11">
        <v>3.4510000000000001</v>
      </c>
    </row>
    <row r="12" spans="1:14" x14ac:dyDescent="0.3">
      <c r="A12" t="s">
        <v>161</v>
      </c>
      <c r="B12" s="5" t="s">
        <v>20</v>
      </c>
      <c r="C12" s="4">
        <v>4.1666666666666666E-3</v>
      </c>
      <c r="D12" s="13">
        <f t="shared" si="0"/>
        <v>6</v>
      </c>
      <c r="E12" s="4">
        <v>6.5277777777777782E-2</v>
      </c>
      <c r="F12" s="4">
        <f xml:space="preserve"> E12-C12</f>
        <v>6.1111111111111116E-2</v>
      </c>
      <c r="G12" s="14">
        <f xml:space="preserve"> 60 + 28</f>
        <v>88</v>
      </c>
      <c r="H12" s="5" t="s">
        <v>8</v>
      </c>
      <c r="I12" s="4">
        <v>5.0694444444444452E-2</v>
      </c>
      <c r="J12" s="14">
        <f xml:space="preserve"> 60 + 13 - 6</f>
        <v>67</v>
      </c>
      <c r="K12" s="4">
        <v>5.4166666666666669E-2</v>
      </c>
      <c r="L12" s="22">
        <f t="shared" si="1"/>
        <v>21</v>
      </c>
      <c r="M12" s="22" t="s">
        <v>89</v>
      </c>
      <c r="N12">
        <v>3.3039999999999998</v>
      </c>
    </row>
    <row r="13" spans="1:14" x14ac:dyDescent="0.3">
      <c r="A13" t="s">
        <v>161</v>
      </c>
      <c r="B13" s="5" t="s">
        <v>17</v>
      </c>
      <c r="C13" s="4">
        <v>4.8611111111111112E-3</v>
      </c>
      <c r="D13" s="13">
        <f t="shared" si="0"/>
        <v>7</v>
      </c>
      <c r="E13" s="4">
        <v>0.32847222222222222</v>
      </c>
      <c r="F13" s="4">
        <f xml:space="preserve"> E13-C13</f>
        <v>0.32361111111111113</v>
      </c>
      <c r="G13" s="14">
        <f xml:space="preserve"> 7 * 60 + 46</f>
        <v>466</v>
      </c>
      <c r="H13" s="5" t="s">
        <v>8</v>
      </c>
      <c r="I13" s="4">
        <v>3.7499999999999999E-2</v>
      </c>
      <c r="J13" s="14">
        <f xml:space="preserve"> 54 - 7</f>
        <v>47</v>
      </c>
      <c r="K13" s="4">
        <v>8.0555555555555561E-2</v>
      </c>
      <c r="L13" s="22">
        <f t="shared" si="1"/>
        <v>419</v>
      </c>
      <c r="M13" s="22" t="s">
        <v>89</v>
      </c>
      <c r="N13">
        <v>3.351</v>
      </c>
    </row>
    <row r="14" spans="1:14" x14ac:dyDescent="0.3">
      <c r="A14" t="s">
        <v>161</v>
      </c>
      <c r="B14" s="5" t="s">
        <v>31</v>
      </c>
      <c r="C14" s="4">
        <v>6.9444444444444441E-3</v>
      </c>
      <c r="D14" s="13">
        <f t="shared" si="0"/>
        <v>10</v>
      </c>
      <c r="E14" s="4">
        <v>0.12361111111111112</v>
      </c>
      <c r="F14" s="4">
        <f xml:space="preserve"> E14-C14</f>
        <v>0.11666666666666667</v>
      </c>
      <c r="G14" s="14">
        <f xml:space="preserve"> 2 * 60 + 48</f>
        <v>168</v>
      </c>
      <c r="H14" s="5" t="s">
        <v>8</v>
      </c>
      <c r="I14" s="4">
        <v>0.11527777777777777</v>
      </c>
      <c r="J14" s="14">
        <f xml:space="preserve"> 2*60 + 46 - 10</f>
        <v>156</v>
      </c>
      <c r="K14" s="4">
        <v>9.4444444444444442E-2</v>
      </c>
      <c r="L14" s="22">
        <f t="shared" si="1"/>
        <v>12</v>
      </c>
      <c r="M14" s="22" t="s">
        <v>89</v>
      </c>
      <c r="N14" s="23">
        <v>3.27</v>
      </c>
    </row>
    <row r="15" spans="1:14" x14ac:dyDescent="0.3">
      <c r="A15" t="s">
        <v>161</v>
      </c>
      <c r="B15" s="5" t="s">
        <v>21</v>
      </c>
      <c r="C15" s="4">
        <v>6.9444444444444441E-3</v>
      </c>
      <c r="D15" s="13">
        <f t="shared" si="0"/>
        <v>10</v>
      </c>
      <c r="E15" s="4">
        <v>4.6527777777777779E-2</v>
      </c>
      <c r="F15" s="4">
        <f xml:space="preserve"> E15-C15</f>
        <v>3.9583333333333331E-2</v>
      </c>
      <c r="G15" s="14">
        <v>57</v>
      </c>
      <c r="H15" s="5" t="s">
        <v>8</v>
      </c>
      <c r="I15" s="4">
        <v>1.2499999999999999E-2</v>
      </c>
      <c r="J15" s="14">
        <f xml:space="preserve"> 18 - 10</f>
        <v>8</v>
      </c>
      <c r="K15" s="4">
        <v>0.26527777777777778</v>
      </c>
      <c r="L15" s="22">
        <f t="shared" si="1"/>
        <v>49</v>
      </c>
      <c r="M15" s="22" t="s">
        <v>89</v>
      </c>
      <c r="N15">
        <v>2.738</v>
      </c>
    </row>
    <row r="16" spans="1:14" x14ac:dyDescent="0.3">
      <c r="A16" t="s">
        <v>161</v>
      </c>
      <c r="B16" s="5" t="s">
        <v>24</v>
      </c>
      <c r="C16" s="4">
        <v>5.5555555555555558E-3</v>
      </c>
      <c r="D16" s="13">
        <f t="shared" si="0"/>
        <v>8</v>
      </c>
      <c r="E16" s="5" t="s">
        <v>67</v>
      </c>
      <c r="F16" s="4" t="s">
        <v>67</v>
      </c>
      <c r="G16" s="14" t="s">
        <v>67</v>
      </c>
      <c r="H16" s="5" t="s">
        <v>8</v>
      </c>
      <c r="I16" s="4">
        <v>4.8611111111111112E-2</v>
      </c>
      <c r="J16" s="14">
        <f xml:space="preserve"> 60 + 10 - 8</f>
        <v>62</v>
      </c>
      <c r="K16" s="5" t="s">
        <v>67</v>
      </c>
      <c r="L16" s="22" t="e">
        <f t="shared" si="1"/>
        <v>#VALUE!</v>
      </c>
      <c r="M16" s="22" t="s">
        <v>90</v>
      </c>
      <c r="N16">
        <v>2.3140000000000001</v>
      </c>
    </row>
    <row r="17" spans="1:14" x14ac:dyDescent="0.3">
      <c r="A17" t="s">
        <v>161</v>
      </c>
      <c r="B17" s="5" t="s">
        <v>22</v>
      </c>
      <c r="C17" s="4">
        <v>6.2499999999999995E-3</v>
      </c>
      <c r="D17" s="13">
        <f t="shared" si="0"/>
        <v>9</v>
      </c>
      <c r="E17" s="5" t="s">
        <v>67</v>
      </c>
      <c r="F17" s="4" t="s">
        <v>67</v>
      </c>
      <c r="G17" s="14" t="s">
        <v>67</v>
      </c>
      <c r="H17" s="5" t="s">
        <v>23</v>
      </c>
      <c r="I17" s="4">
        <v>6.1805555555555558E-2</v>
      </c>
      <c r="J17" s="14">
        <f xml:space="preserve"> 60 + 29 - 9</f>
        <v>80</v>
      </c>
      <c r="K17" s="5" t="s">
        <v>67</v>
      </c>
      <c r="L17" s="22" t="e">
        <f t="shared" si="1"/>
        <v>#VALUE!</v>
      </c>
      <c r="M17" s="22" t="s">
        <v>90</v>
      </c>
      <c r="N17">
        <v>2.681</v>
      </c>
    </row>
    <row r="18" spans="1:14" x14ac:dyDescent="0.3">
      <c r="A18" t="s">
        <v>161</v>
      </c>
      <c r="B18" s="5" t="s">
        <v>32</v>
      </c>
      <c r="C18" s="4">
        <v>5.5555555555555558E-3</v>
      </c>
      <c r="D18" s="13">
        <f t="shared" si="0"/>
        <v>8</v>
      </c>
      <c r="E18" s="4">
        <v>0.17430555555555557</v>
      </c>
      <c r="F18" s="4">
        <f t="shared" ref="F18:F25" si="2" xml:space="preserve"> E18-C18</f>
        <v>0.16875000000000001</v>
      </c>
      <c r="G18" s="14">
        <f xml:space="preserve"> 4 * 60 + 3</f>
        <v>243</v>
      </c>
      <c r="H18" s="5" t="s">
        <v>8</v>
      </c>
      <c r="I18" s="4">
        <v>2.5694444444444447E-2</v>
      </c>
      <c r="J18" s="14">
        <f xml:space="preserve"> 37 - 8</f>
        <v>29</v>
      </c>
      <c r="K18" s="4">
        <v>4.3055555555555562E-2</v>
      </c>
      <c r="L18" s="22">
        <f t="shared" si="1"/>
        <v>214</v>
      </c>
      <c r="M18" s="22" t="s">
        <v>89</v>
      </c>
      <c r="N18">
        <v>3.0960000000000001</v>
      </c>
    </row>
    <row r="19" spans="1:14" x14ac:dyDescent="0.3">
      <c r="A19" t="s">
        <v>161</v>
      </c>
      <c r="B19" s="2" t="s">
        <v>12</v>
      </c>
      <c r="C19" s="3">
        <v>4.1666666666666666E-3</v>
      </c>
      <c r="D19" s="13">
        <f t="shared" si="0"/>
        <v>6</v>
      </c>
      <c r="E19" s="3">
        <v>0.11180555555555556</v>
      </c>
      <c r="F19" s="4">
        <f t="shared" si="2"/>
        <v>0.1076388888888889</v>
      </c>
      <c r="G19" s="14">
        <f xml:space="preserve"> 2 * 60 + 35</f>
        <v>155</v>
      </c>
      <c r="H19" s="2" t="s">
        <v>8</v>
      </c>
      <c r="I19" s="3">
        <v>9.7222222222222224E-2</v>
      </c>
      <c r="J19" s="13">
        <f xml:space="preserve"> 2*60 + 20 - 6</f>
        <v>134</v>
      </c>
      <c r="K19" s="3">
        <v>3.472222222222222E-3</v>
      </c>
      <c r="L19" s="22">
        <f t="shared" si="1"/>
        <v>21</v>
      </c>
      <c r="M19" s="22" t="s">
        <v>89</v>
      </c>
      <c r="N19" t="s">
        <v>67</v>
      </c>
    </row>
    <row r="20" spans="1:14" x14ac:dyDescent="0.3">
      <c r="A20" t="s">
        <v>161</v>
      </c>
      <c r="B20" s="5" t="s">
        <v>33</v>
      </c>
      <c r="C20" s="4">
        <v>9.0277777777777787E-3</v>
      </c>
      <c r="D20" s="13">
        <f t="shared" si="0"/>
        <v>13</v>
      </c>
      <c r="E20" s="4">
        <v>0.13541666666666666</v>
      </c>
      <c r="F20" s="4">
        <f t="shared" si="2"/>
        <v>0.12638888888888888</v>
      </c>
      <c r="G20" s="14">
        <f xml:space="preserve"> 3 * 60 + 3</f>
        <v>183</v>
      </c>
      <c r="H20" s="5" t="s">
        <v>8</v>
      </c>
      <c r="I20" s="4">
        <v>6.5972222222222224E-2</v>
      </c>
      <c r="J20" s="14">
        <f xml:space="preserve"> 60 + 35 - 13</f>
        <v>82</v>
      </c>
      <c r="K20" s="4">
        <v>9.1666666666666674E-2</v>
      </c>
      <c r="L20" s="22">
        <f t="shared" si="1"/>
        <v>101</v>
      </c>
      <c r="M20" s="22" t="s">
        <v>89</v>
      </c>
      <c r="N20">
        <v>3.1779999999999999</v>
      </c>
    </row>
    <row r="21" spans="1:14" x14ac:dyDescent="0.3">
      <c r="A21" t="s">
        <v>161</v>
      </c>
      <c r="B21" s="5" t="s">
        <v>151</v>
      </c>
      <c r="C21" s="4">
        <v>4.1666666666666666E-3</v>
      </c>
      <c r="D21" s="13">
        <f t="shared" si="0"/>
        <v>6</v>
      </c>
      <c r="E21" s="4">
        <v>0.21180555555555555</v>
      </c>
      <c r="F21" s="4">
        <f t="shared" si="2"/>
        <v>0.20763888888888887</v>
      </c>
      <c r="G21" s="14">
        <f xml:space="preserve"> 4 * 60 + 59</f>
        <v>299</v>
      </c>
      <c r="H21" s="5" t="s">
        <v>8</v>
      </c>
      <c r="I21" s="4">
        <v>7.3611111111111113E-2</v>
      </c>
      <c r="J21" s="14">
        <f xml:space="preserve"> 60 + 46 - 6</f>
        <v>100</v>
      </c>
      <c r="K21" s="4">
        <v>0.10416666666666667</v>
      </c>
      <c r="L21" s="22">
        <f t="shared" si="1"/>
        <v>199</v>
      </c>
      <c r="M21" s="22" t="s">
        <v>89</v>
      </c>
      <c r="N21">
        <v>2.95</v>
      </c>
    </row>
    <row r="22" spans="1:14" x14ac:dyDescent="0.3">
      <c r="A22" t="s">
        <v>161</v>
      </c>
      <c r="B22" s="5" t="s">
        <v>19</v>
      </c>
      <c r="C22" s="4">
        <v>4.8611111111111112E-3</v>
      </c>
      <c r="D22" s="13">
        <f t="shared" si="0"/>
        <v>7</v>
      </c>
      <c r="E22" s="4">
        <v>0.10416666666666667</v>
      </c>
      <c r="F22" s="4">
        <f t="shared" si="2"/>
        <v>9.9305555555555564E-2</v>
      </c>
      <c r="G22" s="14">
        <f xml:space="preserve"> 2* 60 +23</f>
        <v>143</v>
      </c>
      <c r="H22" s="5" t="s">
        <v>8</v>
      </c>
      <c r="I22" s="4">
        <v>5.9722222222222225E-2</v>
      </c>
      <c r="J22" s="14">
        <f xml:space="preserve"> 60 + 26 - 7</f>
        <v>79</v>
      </c>
      <c r="K22" s="3">
        <v>0.15277777777777776</v>
      </c>
      <c r="L22" s="22">
        <f t="shared" si="1"/>
        <v>64</v>
      </c>
      <c r="M22" s="22" t="s">
        <v>89</v>
      </c>
      <c r="N22">
        <v>3.1890000000000001</v>
      </c>
    </row>
    <row r="23" spans="1:14" x14ac:dyDescent="0.3">
      <c r="A23" t="s">
        <v>161</v>
      </c>
      <c r="B23" s="2" t="s">
        <v>154</v>
      </c>
      <c r="C23" s="3">
        <v>5.5555555555555558E-3</v>
      </c>
      <c r="D23" s="13">
        <f t="shared" si="0"/>
        <v>8</v>
      </c>
      <c r="E23" s="3">
        <v>0.31111111111111112</v>
      </c>
      <c r="F23" s="4">
        <f t="shared" si="2"/>
        <v>0.30555555555555558</v>
      </c>
      <c r="G23" s="14">
        <f xml:space="preserve"> 7*60 + 20/60</f>
        <v>420.33333333333331</v>
      </c>
      <c r="H23" s="2" t="s">
        <v>8</v>
      </c>
      <c r="I23" s="3">
        <v>0.1451388888888889</v>
      </c>
      <c r="J23" s="13">
        <f xml:space="preserve"> 3*60 + 29 - 8</f>
        <v>201</v>
      </c>
      <c r="K23" s="3">
        <v>3.3333333333333333E-2</v>
      </c>
      <c r="L23" s="22">
        <f t="shared" si="1"/>
        <v>219.33333333333331</v>
      </c>
      <c r="M23" s="22" t="s">
        <v>89</v>
      </c>
      <c r="N23">
        <v>3.6259999999999999</v>
      </c>
    </row>
    <row r="24" spans="1:14" x14ac:dyDescent="0.3">
      <c r="A24" t="s">
        <v>161</v>
      </c>
      <c r="B24" s="5" t="s">
        <v>152</v>
      </c>
      <c r="C24" s="3">
        <v>7.6388888888888886E-3</v>
      </c>
      <c r="D24" s="13">
        <f t="shared" si="0"/>
        <v>11</v>
      </c>
      <c r="E24" s="3">
        <v>4.4444444444444446E-2</v>
      </c>
      <c r="F24" s="4">
        <f t="shared" si="2"/>
        <v>3.6805555555555557E-2</v>
      </c>
      <c r="G24" s="14">
        <f xml:space="preserve"> 53</f>
        <v>53</v>
      </c>
      <c r="H24" s="5" t="s">
        <v>8</v>
      </c>
      <c r="I24" s="3">
        <v>1.0416666666666666E-2</v>
      </c>
      <c r="J24" s="13">
        <f xml:space="preserve"> 15 - 11</f>
        <v>4</v>
      </c>
      <c r="K24" s="3">
        <v>0.10555555555555556</v>
      </c>
      <c r="L24" s="22">
        <f t="shared" si="1"/>
        <v>49</v>
      </c>
      <c r="M24" s="22" t="s">
        <v>89</v>
      </c>
      <c r="N24">
        <v>3.0840000000000001</v>
      </c>
    </row>
    <row r="25" spans="1:14" x14ac:dyDescent="0.3">
      <c r="A25" t="s">
        <v>161</v>
      </c>
      <c r="B25" s="5" t="s">
        <v>77</v>
      </c>
      <c r="C25" s="4">
        <v>4.1666666666666666E-3</v>
      </c>
      <c r="D25" s="13">
        <f t="shared" si="0"/>
        <v>6</v>
      </c>
      <c r="E25" s="4">
        <v>0.10416666666666667</v>
      </c>
      <c r="F25" s="4">
        <f t="shared" si="2"/>
        <v>0.1</v>
      </c>
      <c r="G25" s="14">
        <f xml:space="preserve"> 2*60 + 24</f>
        <v>144</v>
      </c>
      <c r="H25" s="5" t="s">
        <v>8</v>
      </c>
      <c r="I25" s="4">
        <v>2.013888888888889E-2</v>
      </c>
      <c r="J25" s="14">
        <f xml:space="preserve"> 29 - 6</f>
        <v>23</v>
      </c>
      <c r="K25" s="4">
        <v>0.24236111111111111</v>
      </c>
      <c r="L25" s="22">
        <f t="shared" si="1"/>
        <v>121</v>
      </c>
      <c r="M25" s="22" t="s">
        <v>89</v>
      </c>
      <c r="N25">
        <v>2.8420000000000001</v>
      </c>
    </row>
    <row r="26" spans="1:14" x14ac:dyDescent="0.3">
      <c r="A26" t="s">
        <v>161</v>
      </c>
      <c r="B26" s="5" t="s">
        <v>76</v>
      </c>
      <c r="C26" s="4">
        <v>4.8611111111111112E-3</v>
      </c>
      <c r="D26" s="13">
        <f t="shared" si="0"/>
        <v>7</v>
      </c>
      <c r="E26" s="3" t="s">
        <v>67</v>
      </c>
      <c r="F26" s="4" t="s">
        <v>67</v>
      </c>
      <c r="G26" s="14" t="s">
        <v>67</v>
      </c>
      <c r="H26" s="5" t="s">
        <v>8</v>
      </c>
      <c r="I26" s="4">
        <v>0.11527777777777777</v>
      </c>
      <c r="J26" s="14">
        <f xml:space="preserve"> 2*60 + 46 - 7</f>
        <v>159</v>
      </c>
      <c r="K26" s="5" t="s">
        <v>67</v>
      </c>
      <c r="L26" s="22" t="e">
        <f t="shared" si="1"/>
        <v>#VALUE!</v>
      </c>
      <c r="M26" s="22" t="s">
        <v>90</v>
      </c>
      <c r="N26">
        <v>2.9710000000000001</v>
      </c>
    </row>
    <row r="27" spans="1:14" x14ac:dyDescent="0.3">
      <c r="A27" t="s">
        <v>162</v>
      </c>
      <c r="B27" s="12" t="s">
        <v>39</v>
      </c>
      <c r="C27" s="11">
        <v>7.6388888888888886E-3</v>
      </c>
      <c r="D27" s="13">
        <f t="shared" si="0"/>
        <v>11</v>
      </c>
      <c r="E27" s="9" t="s">
        <v>67</v>
      </c>
      <c r="F27" s="4" t="s">
        <v>67</v>
      </c>
      <c r="G27" s="14" t="s">
        <v>67</v>
      </c>
      <c r="H27" s="9" t="s">
        <v>8</v>
      </c>
      <c r="I27" s="8">
        <v>7.4999999999999997E-2</v>
      </c>
      <c r="J27" s="17">
        <f xml:space="preserve"> 60 + 48 - 11</f>
        <v>97</v>
      </c>
      <c r="K27" t="s">
        <v>67</v>
      </c>
      <c r="L27" s="22" t="e">
        <f t="shared" si="1"/>
        <v>#VALUE!</v>
      </c>
      <c r="M27" s="22" t="s">
        <v>90</v>
      </c>
      <c r="N27">
        <v>4.2969999999999997</v>
      </c>
    </row>
    <row r="28" spans="1:14" x14ac:dyDescent="0.3">
      <c r="A28" t="s">
        <v>162</v>
      </c>
      <c r="B28" s="12" t="s">
        <v>57</v>
      </c>
      <c r="C28" s="11">
        <v>4.1666666666666666E-3</v>
      </c>
      <c r="D28" s="13">
        <f t="shared" si="0"/>
        <v>6</v>
      </c>
      <c r="E28" s="8">
        <v>6.0416666666666667E-2</v>
      </c>
      <c r="F28" s="4">
        <f xml:space="preserve"> E28-C28</f>
        <v>5.6250000000000001E-2</v>
      </c>
      <c r="G28" s="14">
        <f xml:space="preserve"> 60 + 35</f>
        <v>95</v>
      </c>
      <c r="H28" s="9" t="s">
        <v>8</v>
      </c>
      <c r="I28" s="8">
        <v>4.583333333333333E-2</v>
      </c>
      <c r="J28" s="17">
        <f xml:space="preserve"> 60 + 6 - 6</f>
        <v>60</v>
      </c>
      <c r="K28" t="s">
        <v>67</v>
      </c>
      <c r="L28" s="22">
        <f t="shared" si="1"/>
        <v>35</v>
      </c>
      <c r="M28" s="22" t="s">
        <v>89</v>
      </c>
      <c r="N28">
        <v>4.0679999999999996</v>
      </c>
    </row>
    <row r="29" spans="1:14" x14ac:dyDescent="0.3">
      <c r="A29" t="s">
        <v>162</v>
      </c>
      <c r="B29" s="12" t="s">
        <v>63</v>
      </c>
      <c r="C29" s="11">
        <v>4.1666666666666666E-3</v>
      </c>
      <c r="D29" s="13">
        <f t="shared" si="0"/>
        <v>6</v>
      </c>
      <c r="E29" s="8">
        <v>0.26874999999999999</v>
      </c>
      <c r="F29" s="4">
        <f xml:space="preserve"> E29-C29</f>
        <v>0.26458333333333334</v>
      </c>
      <c r="G29" s="14">
        <f xml:space="preserve"> 6*60 + 21</f>
        <v>381</v>
      </c>
      <c r="H29" s="9" t="s">
        <v>8</v>
      </c>
      <c r="I29" s="8">
        <v>0.11527777777777778</v>
      </c>
      <c r="J29" s="17">
        <f xml:space="preserve"> 2*60 + 46 - 6</f>
        <v>160</v>
      </c>
      <c r="K29" t="s">
        <v>67</v>
      </c>
      <c r="L29" s="22">
        <f t="shared" si="1"/>
        <v>221</v>
      </c>
      <c r="M29" s="22" t="s">
        <v>89</v>
      </c>
      <c r="N29">
        <v>2.552</v>
      </c>
    </row>
    <row r="30" spans="1:14" x14ac:dyDescent="0.3">
      <c r="A30" t="s">
        <v>162</v>
      </c>
      <c r="B30" s="12" t="s">
        <v>65</v>
      </c>
      <c r="C30" s="11">
        <v>4.1666666666666666E-3</v>
      </c>
      <c r="D30" s="13">
        <f t="shared" si="0"/>
        <v>6</v>
      </c>
      <c r="E30" s="8" t="s">
        <v>67</v>
      </c>
      <c r="F30" s="4" t="s">
        <v>67</v>
      </c>
      <c r="G30" s="14" t="s">
        <v>67</v>
      </c>
      <c r="H30" s="9" t="s">
        <v>8</v>
      </c>
      <c r="I30" s="8">
        <v>0.10555555555555556</v>
      </c>
      <c r="J30" s="17">
        <f xml:space="preserve"> 2*60 + 32 - 6</f>
        <v>146</v>
      </c>
      <c r="K30" t="s">
        <v>67</v>
      </c>
      <c r="L30" s="22" t="e">
        <f t="shared" si="1"/>
        <v>#VALUE!</v>
      </c>
      <c r="M30" s="22" t="s">
        <v>90</v>
      </c>
      <c r="N30">
        <v>3.0110000000000001</v>
      </c>
    </row>
    <row r="31" spans="1:14" x14ac:dyDescent="0.3">
      <c r="A31" t="s">
        <v>162</v>
      </c>
      <c r="B31" s="12" t="s">
        <v>153</v>
      </c>
      <c r="C31" s="11">
        <v>6.9444444444444441E-3</v>
      </c>
      <c r="D31" s="13">
        <f t="shared" si="0"/>
        <v>10</v>
      </c>
      <c r="E31" s="8">
        <v>0.18055555555555555</v>
      </c>
      <c r="F31" s="4">
        <f xml:space="preserve"> E31-C31</f>
        <v>0.1736111111111111</v>
      </c>
      <c r="G31" s="14">
        <f xml:space="preserve"> 4*60 + 10</f>
        <v>250</v>
      </c>
      <c r="H31" s="9" t="s">
        <v>8</v>
      </c>
      <c r="I31" s="8">
        <v>0.12916666666666668</v>
      </c>
      <c r="J31" s="17">
        <f xml:space="preserve"> 3*60 + 6 - 10</f>
        <v>176</v>
      </c>
      <c r="K31" t="s">
        <v>67</v>
      </c>
      <c r="L31" s="22">
        <f t="shared" si="1"/>
        <v>74</v>
      </c>
      <c r="M31" s="22" t="s">
        <v>89</v>
      </c>
      <c r="N31">
        <v>4.0709999999999997</v>
      </c>
    </row>
    <row r="32" spans="1:14" x14ac:dyDescent="0.3">
      <c r="A32" t="s">
        <v>162</v>
      </c>
      <c r="B32" s="12" t="s">
        <v>155</v>
      </c>
      <c r="C32" s="11">
        <v>5.5555555555555558E-3</v>
      </c>
      <c r="D32" s="13">
        <f t="shared" si="0"/>
        <v>8</v>
      </c>
      <c r="E32" s="8">
        <v>0.27638888888888891</v>
      </c>
      <c r="F32" s="4">
        <f xml:space="preserve"> E32-C32</f>
        <v>0.27083333333333337</v>
      </c>
      <c r="G32" s="14">
        <f xml:space="preserve"> 6*60 + 30</f>
        <v>390</v>
      </c>
      <c r="H32" s="9" t="s">
        <v>8</v>
      </c>
      <c r="I32" s="8">
        <v>0.27291666666666664</v>
      </c>
      <c r="J32" s="17">
        <f xml:space="preserve"> 6*60 + 33 - 8</f>
        <v>385</v>
      </c>
      <c r="K32" t="s">
        <v>67</v>
      </c>
      <c r="L32" s="22">
        <f t="shared" si="1"/>
        <v>5</v>
      </c>
      <c r="M32" s="22" t="s">
        <v>89</v>
      </c>
      <c r="N32">
        <v>4.09</v>
      </c>
    </row>
    <row r="33" spans="1:14" x14ac:dyDescent="0.3">
      <c r="A33" t="s">
        <v>162</v>
      </c>
      <c r="B33" s="12" t="s">
        <v>40</v>
      </c>
      <c r="C33" s="11">
        <v>9.0277777777777787E-3</v>
      </c>
      <c r="D33" s="13">
        <f t="shared" si="0"/>
        <v>13</v>
      </c>
      <c r="E33" s="9" t="s">
        <v>68</v>
      </c>
      <c r="F33" s="4" t="s">
        <v>67</v>
      </c>
      <c r="G33" s="14" t="s">
        <v>67</v>
      </c>
      <c r="H33" s="9" t="s">
        <v>10</v>
      </c>
      <c r="I33" s="9" t="s">
        <v>67</v>
      </c>
      <c r="J33" s="17" t="s">
        <v>67</v>
      </c>
      <c r="K33" t="s">
        <v>67</v>
      </c>
      <c r="L33" s="22" t="e">
        <f t="shared" si="1"/>
        <v>#VALUE!</v>
      </c>
      <c r="M33" s="22" t="s">
        <v>90</v>
      </c>
      <c r="N33">
        <v>3.8079999999999998</v>
      </c>
    </row>
    <row r="34" spans="1:14" x14ac:dyDescent="0.3">
      <c r="A34" t="s">
        <v>162</v>
      </c>
      <c r="B34" s="12" t="s">
        <v>156</v>
      </c>
      <c r="C34" s="11">
        <v>4.8611111111111112E-3</v>
      </c>
      <c r="D34" s="13">
        <f t="shared" si="0"/>
        <v>7</v>
      </c>
      <c r="E34" s="8">
        <v>0.22430555555555556</v>
      </c>
      <c r="F34" s="4">
        <f xml:space="preserve"> E34-C34</f>
        <v>0.21944444444444444</v>
      </c>
      <c r="G34" s="14">
        <f xml:space="preserve"> 5*60 + 16</f>
        <v>316</v>
      </c>
      <c r="H34" s="9" t="s">
        <v>8</v>
      </c>
      <c r="I34" s="8">
        <v>0.20902777777777778</v>
      </c>
      <c r="J34" s="17">
        <f xml:space="preserve"> 5*60 + 1 - 7</f>
        <v>294</v>
      </c>
      <c r="K34" t="s">
        <v>67</v>
      </c>
      <c r="L34" s="22">
        <f t="shared" ref="L34:L53" si="3" xml:space="preserve"> G34-J34</f>
        <v>22</v>
      </c>
      <c r="M34" s="22" t="s">
        <v>89</v>
      </c>
      <c r="N34">
        <v>4.0209999999999999</v>
      </c>
    </row>
    <row r="35" spans="1:14" x14ac:dyDescent="0.3">
      <c r="A35" t="s">
        <v>162</v>
      </c>
      <c r="B35" s="12" t="s">
        <v>45</v>
      </c>
      <c r="C35" s="11">
        <v>5.5555555555555558E-3</v>
      </c>
      <c r="D35" s="13">
        <f t="shared" si="0"/>
        <v>8</v>
      </c>
      <c r="E35" s="9" t="s">
        <v>67</v>
      </c>
      <c r="F35" s="4" t="s">
        <v>67</v>
      </c>
      <c r="G35" s="14" t="s">
        <v>67</v>
      </c>
      <c r="H35" s="9" t="s">
        <v>8</v>
      </c>
      <c r="I35" s="8">
        <v>4.4444444444444446E-2</v>
      </c>
      <c r="J35" s="17">
        <f xml:space="preserve"> 60 + 4 - 8</f>
        <v>56</v>
      </c>
      <c r="K35" t="s">
        <v>67</v>
      </c>
      <c r="L35" s="22" t="e">
        <f t="shared" si="3"/>
        <v>#VALUE!</v>
      </c>
      <c r="M35" s="22" t="s">
        <v>90</v>
      </c>
      <c r="N35">
        <v>4.1970000000000001</v>
      </c>
    </row>
    <row r="36" spans="1:14" x14ac:dyDescent="0.3">
      <c r="A36" t="s">
        <v>162</v>
      </c>
      <c r="B36" s="12" t="s">
        <v>44</v>
      </c>
      <c r="C36" s="11">
        <v>9.7222222222222224E-3</v>
      </c>
      <c r="D36" s="13">
        <f t="shared" si="0"/>
        <v>14</v>
      </c>
      <c r="E36" s="8">
        <v>0.11666666666666667</v>
      </c>
      <c r="F36" s="4">
        <f xml:space="preserve"> E36-C36</f>
        <v>0.10694444444444445</v>
      </c>
      <c r="G36" s="14">
        <f xml:space="preserve"> 2* 60 + 34</f>
        <v>154</v>
      </c>
      <c r="H36" s="9" t="s">
        <v>8</v>
      </c>
      <c r="I36" s="8">
        <v>6.9444444444444448E-2</v>
      </c>
      <c r="J36" s="17">
        <f xml:space="preserve"> 60 + 40 - 14</f>
        <v>86</v>
      </c>
      <c r="K36" t="s">
        <v>67</v>
      </c>
      <c r="L36" s="22">
        <f t="shared" si="3"/>
        <v>68</v>
      </c>
      <c r="M36" s="22" t="s">
        <v>89</v>
      </c>
      <c r="N36">
        <v>2.2229999999999999</v>
      </c>
    </row>
    <row r="37" spans="1:14" x14ac:dyDescent="0.3">
      <c r="A37" t="s">
        <v>162</v>
      </c>
      <c r="B37" s="12" t="s">
        <v>49</v>
      </c>
      <c r="C37" s="11">
        <v>6.2500000000000003E-3</v>
      </c>
      <c r="D37" s="13">
        <f t="shared" si="0"/>
        <v>9</v>
      </c>
      <c r="E37" s="8">
        <v>0.12013888888888889</v>
      </c>
      <c r="F37" s="4">
        <f xml:space="preserve"> E37-C37</f>
        <v>0.11388888888888889</v>
      </c>
      <c r="G37" s="14">
        <f xml:space="preserve"> 2*60 + 44</f>
        <v>164</v>
      </c>
      <c r="H37" s="9" t="s">
        <v>8</v>
      </c>
      <c r="I37" s="8">
        <v>7.1527777777777773E-2</v>
      </c>
      <c r="J37" s="17">
        <f xml:space="preserve"> 60 + 43 - 9</f>
        <v>94</v>
      </c>
      <c r="K37" t="s">
        <v>67</v>
      </c>
      <c r="L37" s="22">
        <f t="shared" si="3"/>
        <v>70</v>
      </c>
      <c r="M37" s="22" t="s">
        <v>89</v>
      </c>
      <c r="N37">
        <v>3.069</v>
      </c>
    </row>
    <row r="38" spans="1:14" x14ac:dyDescent="0.3">
      <c r="A38" t="s">
        <v>162</v>
      </c>
      <c r="B38" s="12" t="s">
        <v>46</v>
      </c>
      <c r="C38" s="11">
        <v>6.9444444444444441E-3</v>
      </c>
      <c r="D38" s="13">
        <f t="shared" si="0"/>
        <v>10</v>
      </c>
      <c r="E38" s="9" t="s">
        <v>67</v>
      </c>
      <c r="F38" s="4" t="s">
        <v>67</v>
      </c>
      <c r="G38" s="14" t="s">
        <v>67</v>
      </c>
      <c r="H38" s="9" t="s">
        <v>10</v>
      </c>
      <c r="I38" s="9" t="s">
        <v>67</v>
      </c>
      <c r="J38" s="17" t="s">
        <v>67</v>
      </c>
      <c r="K38" t="s">
        <v>67</v>
      </c>
      <c r="L38" s="22" t="e">
        <f t="shared" si="3"/>
        <v>#VALUE!</v>
      </c>
      <c r="M38" s="22" t="s">
        <v>90</v>
      </c>
      <c r="N38">
        <v>3.4569999999999999</v>
      </c>
    </row>
    <row r="39" spans="1:14" x14ac:dyDescent="0.3">
      <c r="A39" t="s">
        <v>162</v>
      </c>
      <c r="B39" s="12" t="s">
        <v>64</v>
      </c>
      <c r="C39" s="11">
        <v>4.1666666666666666E-3</v>
      </c>
      <c r="D39" s="13">
        <f t="shared" si="0"/>
        <v>6</v>
      </c>
      <c r="E39" s="8">
        <v>0.10486111111111111</v>
      </c>
      <c r="F39" s="4">
        <f xml:space="preserve"> E39-C39</f>
        <v>0.10069444444444445</v>
      </c>
      <c r="G39" s="14">
        <f xml:space="preserve"> 2*60 + 25</f>
        <v>145</v>
      </c>
      <c r="H39" s="9" t="s">
        <v>8</v>
      </c>
      <c r="I39" s="8">
        <v>3.1944444444444442E-2</v>
      </c>
      <c r="J39" s="17">
        <f xml:space="preserve"> 46 - 6</f>
        <v>40</v>
      </c>
      <c r="K39" t="s">
        <v>67</v>
      </c>
      <c r="L39" s="22">
        <f t="shared" si="3"/>
        <v>105</v>
      </c>
      <c r="M39" s="22" t="s">
        <v>89</v>
      </c>
      <c r="N39">
        <v>2.4830000000000001</v>
      </c>
    </row>
    <row r="40" spans="1:14" x14ac:dyDescent="0.3">
      <c r="A40" t="s">
        <v>162</v>
      </c>
      <c r="B40" s="10" t="s">
        <v>157</v>
      </c>
      <c r="C40" s="11">
        <v>4.1666666666666666E-3</v>
      </c>
      <c r="D40" s="13">
        <f t="shared" si="0"/>
        <v>6</v>
      </c>
      <c r="E40" s="8">
        <v>0.10069444444444445</v>
      </c>
      <c r="F40" s="4">
        <f xml:space="preserve"> E40-C40</f>
        <v>9.6527777777777782E-2</v>
      </c>
      <c r="G40" s="14">
        <f xml:space="preserve"> 2*60 + 19</f>
        <v>139</v>
      </c>
      <c r="H40" s="9" t="s">
        <v>8</v>
      </c>
      <c r="I40" s="8">
        <v>6.5972222222222224E-2</v>
      </c>
      <c r="J40" s="17">
        <f xml:space="preserve"> 60 + 35 - 6</f>
        <v>89</v>
      </c>
      <c r="K40" t="s">
        <v>67</v>
      </c>
      <c r="L40" s="22">
        <f t="shared" si="3"/>
        <v>50</v>
      </c>
      <c r="M40" s="22" t="s">
        <v>89</v>
      </c>
      <c r="N40">
        <v>3.0110000000000001</v>
      </c>
    </row>
    <row r="41" spans="1:14" x14ac:dyDescent="0.3">
      <c r="A41" t="s">
        <v>162</v>
      </c>
      <c r="B41" s="12" t="s">
        <v>50</v>
      </c>
      <c r="C41" s="11">
        <v>5.5555555555555558E-3</v>
      </c>
      <c r="D41" s="13">
        <f t="shared" si="0"/>
        <v>8</v>
      </c>
      <c r="E41" s="9" t="s">
        <v>67</v>
      </c>
      <c r="F41" s="4" t="s">
        <v>67</v>
      </c>
      <c r="G41" s="14" t="s">
        <v>67</v>
      </c>
      <c r="H41" s="9" t="s">
        <v>8</v>
      </c>
      <c r="I41" s="8">
        <v>0.31319444444444444</v>
      </c>
      <c r="J41" s="17">
        <f xml:space="preserve"> 7*60 + 31 - 8</f>
        <v>443</v>
      </c>
      <c r="K41" t="s">
        <v>67</v>
      </c>
      <c r="L41" s="22" t="e">
        <f t="shared" si="3"/>
        <v>#VALUE!</v>
      </c>
      <c r="M41" s="22" t="s">
        <v>90</v>
      </c>
      <c r="N41" t="s">
        <v>67</v>
      </c>
    </row>
    <row r="42" spans="1:14" x14ac:dyDescent="0.3">
      <c r="A42" t="s">
        <v>162</v>
      </c>
      <c r="B42" s="12" t="s">
        <v>158</v>
      </c>
      <c r="C42" s="11">
        <v>6.2500000000000003E-3</v>
      </c>
      <c r="D42" s="13">
        <f t="shared" si="0"/>
        <v>9</v>
      </c>
      <c r="E42" s="8">
        <v>0.10555555555555556</v>
      </c>
      <c r="F42" s="4">
        <f xml:space="preserve"> E42-C42</f>
        <v>9.930555555555555E-2</v>
      </c>
      <c r="G42" s="14">
        <f xml:space="preserve"> 2*60 + 23</f>
        <v>143</v>
      </c>
      <c r="H42" s="9" t="s">
        <v>8</v>
      </c>
      <c r="I42" s="8">
        <v>4.3055555555555555E-2</v>
      </c>
      <c r="J42" s="17">
        <f xml:space="preserve"> 60 + 2 - 9</f>
        <v>53</v>
      </c>
      <c r="K42" t="s">
        <v>67</v>
      </c>
      <c r="L42" s="22">
        <f t="shared" si="3"/>
        <v>90</v>
      </c>
      <c r="M42" s="22" t="s">
        <v>89</v>
      </c>
      <c r="N42">
        <v>3.6909999999999998</v>
      </c>
    </row>
    <row r="43" spans="1:14" x14ac:dyDescent="0.3">
      <c r="A43" t="s">
        <v>162</v>
      </c>
      <c r="B43" s="12" t="s">
        <v>159</v>
      </c>
      <c r="C43" s="11">
        <v>8.3333333333333332E-3</v>
      </c>
      <c r="D43" s="13">
        <f t="shared" si="0"/>
        <v>12</v>
      </c>
      <c r="E43" s="8">
        <v>0.31041666666666667</v>
      </c>
      <c r="F43" s="4">
        <f xml:space="preserve"> E43-C43</f>
        <v>0.30208333333333331</v>
      </c>
      <c r="G43" s="14">
        <f xml:space="preserve"> 7*60 + 15</f>
        <v>435</v>
      </c>
      <c r="H43" s="9" t="s">
        <v>8</v>
      </c>
      <c r="I43" s="8">
        <v>0.30416666666666664</v>
      </c>
      <c r="J43" s="17">
        <f xml:space="preserve"> 7*60 + 18 - 12</f>
        <v>426</v>
      </c>
      <c r="K43" t="s">
        <v>67</v>
      </c>
      <c r="L43" s="22">
        <f t="shared" si="3"/>
        <v>9</v>
      </c>
      <c r="M43" s="22" t="s">
        <v>89</v>
      </c>
      <c r="N43">
        <v>3.15</v>
      </c>
    </row>
    <row r="44" spans="1:14" x14ac:dyDescent="0.3">
      <c r="A44" t="s">
        <v>162</v>
      </c>
      <c r="B44" s="6" t="s">
        <v>36</v>
      </c>
      <c r="C44" s="7">
        <v>4.8611111111111112E-3</v>
      </c>
      <c r="D44" s="13">
        <f t="shared" si="0"/>
        <v>7</v>
      </c>
      <c r="E44" s="8">
        <v>0.10625</v>
      </c>
      <c r="F44" s="4">
        <f xml:space="preserve"> E44-C44</f>
        <v>0.10138888888888889</v>
      </c>
      <c r="G44" s="14">
        <f xml:space="preserve"> 2*60 + 26</f>
        <v>146</v>
      </c>
      <c r="H44" s="9" t="s">
        <v>8</v>
      </c>
      <c r="I44" s="8">
        <v>4.7222222222222221E-2</v>
      </c>
      <c r="J44" s="17">
        <f xml:space="preserve"> 60 + 8 - 7</f>
        <v>61</v>
      </c>
      <c r="K44" t="s">
        <v>67</v>
      </c>
      <c r="L44" s="22">
        <f t="shared" si="3"/>
        <v>85</v>
      </c>
      <c r="M44" s="22" t="s">
        <v>89</v>
      </c>
      <c r="N44">
        <v>3.5710000000000002</v>
      </c>
    </row>
    <row r="45" spans="1:14" x14ac:dyDescent="0.3">
      <c r="A45" t="s">
        <v>162</v>
      </c>
      <c r="B45" s="12" t="s">
        <v>62</v>
      </c>
      <c r="C45" s="11">
        <v>5.5555555555555558E-3</v>
      </c>
      <c r="D45" s="13">
        <f t="shared" si="0"/>
        <v>8</v>
      </c>
      <c r="E45" s="8" t="s">
        <v>67</v>
      </c>
      <c r="F45" s="4" t="s">
        <v>67</v>
      </c>
      <c r="G45" s="14" t="s">
        <v>67</v>
      </c>
      <c r="H45" s="9" t="s">
        <v>8</v>
      </c>
      <c r="I45" s="8">
        <v>0.1111111111111111</v>
      </c>
      <c r="J45" s="17">
        <f xml:space="preserve"> 2*60 + 40 - 8</f>
        <v>152</v>
      </c>
      <c r="K45" t="s">
        <v>67</v>
      </c>
      <c r="L45" s="22" t="e">
        <f t="shared" si="3"/>
        <v>#VALUE!</v>
      </c>
      <c r="M45" s="22" t="s">
        <v>90</v>
      </c>
      <c r="N45">
        <v>3.827</v>
      </c>
    </row>
    <row r="46" spans="1:14" x14ac:dyDescent="0.3">
      <c r="A46" t="s">
        <v>162</v>
      </c>
      <c r="B46" s="12" t="s">
        <v>66</v>
      </c>
      <c r="C46" s="11">
        <v>3.472222222222222E-3</v>
      </c>
      <c r="D46" s="13">
        <f t="shared" si="0"/>
        <v>5</v>
      </c>
      <c r="E46" s="8">
        <v>0.16388888888888889</v>
      </c>
      <c r="F46" s="4">
        <f xml:space="preserve"> E46-C46</f>
        <v>0.16041666666666668</v>
      </c>
      <c r="G46" s="14">
        <f xml:space="preserve"> 3*60 + 51</f>
        <v>231</v>
      </c>
      <c r="H46" s="9" t="s">
        <v>8</v>
      </c>
      <c r="I46" s="8">
        <v>0.14861111111111111</v>
      </c>
      <c r="J46" s="17">
        <f xml:space="preserve"> 3*60 + 34 - 5</f>
        <v>209</v>
      </c>
      <c r="K46" t="s">
        <v>67</v>
      </c>
      <c r="L46" s="22">
        <f t="shared" si="3"/>
        <v>22</v>
      </c>
      <c r="M46" s="22" t="s">
        <v>89</v>
      </c>
      <c r="N46">
        <v>3.734</v>
      </c>
    </row>
    <row r="47" spans="1:14" x14ac:dyDescent="0.3">
      <c r="A47" t="s">
        <v>162</v>
      </c>
      <c r="B47" s="12" t="s">
        <v>60</v>
      </c>
      <c r="C47" s="11">
        <v>9.7222222222222224E-3</v>
      </c>
      <c r="D47" s="13">
        <f t="shared" si="0"/>
        <v>14</v>
      </c>
      <c r="E47" s="8">
        <v>0.27500000000000002</v>
      </c>
      <c r="F47" s="4">
        <f xml:space="preserve"> E47-C47</f>
        <v>0.26527777777777778</v>
      </c>
      <c r="G47" s="14">
        <f xml:space="preserve"> 6*60 + 37</f>
        <v>397</v>
      </c>
      <c r="H47" s="9" t="s">
        <v>8</v>
      </c>
      <c r="I47" s="8">
        <v>0.22847222222222222</v>
      </c>
      <c r="J47" s="17">
        <f xml:space="preserve"> 5*60 + 29 - 14</f>
        <v>315</v>
      </c>
      <c r="K47" t="s">
        <v>67</v>
      </c>
      <c r="L47" s="22">
        <f t="shared" si="3"/>
        <v>82</v>
      </c>
      <c r="M47" s="22" t="s">
        <v>89</v>
      </c>
      <c r="N47">
        <v>4.3730000000000002</v>
      </c>
    </row>
    <row r="48" spans="1:14" x14ac:dyDescent="0.3">
      <c r="A48" t="s">
        <v>162</v>
      </c>
      <c r="B48" s="12" t="s">
        <v>61</v>
      </c>
      <c r="C48" s="11">
        <v>2.7777777777777779E-3</v>
      </c>
      <c r="D48" s="13">
        <f t="shared" si="0"/>
        <v>4</v>
      </c>
      <c r="E48" s="8" t="s">
        <v>67</v>
      </c>
      <c r="F48" s="4" t="s">
        <v>67</v>
      </c>
      <c r="G48" s="14" t="s">
        <v>67</v>
      </c>
      <c r="H48" s="9" t="s">
        <v>8</v>
      </c>
      <c r="I48" s="8">
        <v>0.14305555555555555</v>
      </c>
      <c r="J48" s="17">
        <f xml:space="preserve"> 3*60 + 26 - 4</f>
        <v>202</v>
      </c>
      <c r="K48" t="s">
        <v>67</v>
      </c>
      <c r="L48" s="22" t="e">
        <f t="shared" si="3"/>
        <v>#VALUE!</v>
      </c>
      <c r="M48" s="22" t="s">
        <v>90</v>
      </c>
      <c r="N48">
        <v>4.202</v>
      </c>
    </row>
    <row r="49" spans="1:14" x14ac:dyDescent="0.3">
      <c r="A49" t="s">
        <v>162</v>
      </c>
      <c r="B49" s="12" t="s">
        <v>59</v>
      </c>
      <c r="C49" s="11">
        <v>5.5555555555555558E-3</v>
      </c>
      <c r="D49" s="13">
        <f t="shared" si="0"/>
        <v>8</v>
      </c>
      <c r="E49" s="8" t="s">
        <v>67</v>
      </c>
      <c r="F49" s="4" t="s">
        <v>67</v>
      </c>
      <c r="G49" s="14" t="s">
        <v>67</v>
      </c>
      <c r="H49" s="9" t="s">
        <v>8</v>
      </c>
      <c r="I49" s="8">
        <v>5.347222222222222E-2</v>
      </c>
      <c r="J49" s="17">
        <f xml:space="preserve"> 60 + 17 - 8</f>
        <v>69</v>
      </c>
      <c r="K49" t="s">
        <v>67</v>
      </c>
      <c r="L49" s="22" t="e">
        <f t="shared" si="3"/>
        <v>#VALUE!</v>
      </c>
      <c r="M49" s="22" t="s">
        <v>90</v>
      </c>
      <c r="N49">
        <v>3.1469999999999998</v>
      </c>
    </row>
    <row r="50" spans="1:14" x14ac:dyDescent="0.3">
      <c r="A50" t="s">
        <v>162</v>
      </c>
      <c r="B50" s="12" t="s">
        <v>58</v>
      </c>
      <c r="C50" s="11">
        <v>2.0833333333333333E-3</v>
      </c>
      <c r="D50" s="13">
        <f t="shared" si="0"/>
        <v>3</v>
      </c>
      <c r="E50" s="8" t="s">
        <v>67</v>
      </c>
      <c r="F50" s="4" t="s">
        <v>67</v>
      </c>
      <c r="G50" s="14" t="s">
        <v>67</v>
      </c>
      <c r="H50" s="9" t="s">
        <v>8</v>
      </c>
      <c r="I50" s="8">
        <v>0.40138888888888891</v>
      </c>
      <c r="J50" s="17">
        <f xml:space="preserve"> 9*60 + 38 - 3</f>
        <v>575</v>
      </c>
      <c r="K50" t="s">
        <v>67</v>
      </c>
      <c r="L50" s="22" t="e">
        <f t="shared" si="3"/>
        <v>#VALUE!</v>
      </c>
      <c r="M50" s="22" t="s">
        <v>90</v>
      </c>
      <c r="N50">
        <v>2.6779999999999999</v>
      </c>
    </row>
    <row r="51" spans="1:14" x14ac:dyDescent="0.3">
      <c r="A51" t="s">
        <v>162</v>
      </c>
      <c r="B51" s="10" t="s">
        <v>52</v>
      </c>
      <c r="C51" s="11">
        <v>2.7777777777777779E-3</v>
      </c>
      <c r="D51" s="13">
        <f t="shared" si="0"/>
        <v>4</v>
      </c>
      <c r="E51" s="8" t="s">
        <v>67</v>
      </c>
      <c r="F51" s="4" t="s">
        <v>67</v>
      </c>
      <c r="G51" s="14" t="s">
        <v>67</v>
      </c>
      <c r="H51" s="9" t="s">
        <v>8</v>
      </c>
      <c r="I51" s="8">
        <v>0.12222222222222222</v>
      </c>
      <c r="J51" s="17">
        <f xml:space="preserve"> 2*60 + 56 - 4</f>
        <v>172</v>
      </c>
      <c r="K51" t="s">
        <v>67</v>
      </c>
      <c r="L51" s="22" t="e">
        <f t="shared" si="3"/>
        <v>#VALUE!</v>
      </c>
      <c r="M51" s="22" t="s">
        <v>90</v>
      </c>
      <c r="N51">
        <v>3.4079999999999999</v>
      </c>
    </row>
    <row r="52" spans="1:14" x14ac:dyDescent="0.3">
      <c r="A52" t="s">
        <v>162</v>
      </c>
      <c r="B52" s="12" t="s">
        <v>53</v>
      </c>
      <c r="C52" s="11">
        <v>5.5555555555555558E-3</v>
      </c>
      <c r="D52" s="13">
        <f t="shared" si="0"/>
        <v>8</v>
      </c>
      <c r="E52" s="8">
        <v>0.1451388888888889</v>
      </c>
      <c r="F52" s="4">
        <f t="shared" ref="F52:F83" si="4" xml:space="preserve"> E52-C52</f>
        <v>0.13958333333333334</v>
      </c>
      <c r="G52" s="14">
        <f xml:space="preserve"> 3*60 + 21</f>
        <v>201</v>
      </c>
      <c r="H52" s="9" t="s">
        <v>8</v>
      </c>
      <c r="I52" s="8">
        <v>0.14097222222222222</v>
      </c>
      <c r="J52" s="17">
        <f xml:space="preserve"> 3*60 + 23 - 8</f>
        <v>195</v>
      </c>
      <c r="K52" t="s">
        <v>67</v>
      </c>
      <c r="L52" s="22">
        <f t="shared" si="3"/>
        <v>6</v>
      </c>
      <c r="M52" s="22" t="s">
        <v>89</v>
      </c>
      <c r="N52">
        <v>3.669</v>
      </c>
    </row>
    <row r="53" spans="1:14" x14ac:dyDescent="0.3">
      <c r="A53" t="s">
        <v>162</v>
      </c>
      <c r="B53" s="12" t="s">
        <v>54</v>
      </c>
      <c r="C53" s="11">
        <v>3.472222222222222E-3</v>
      </c>
      <c r="D53" s="13">
        <f t="shared" si="0"/>
        <v>5</v>
      </c>
      <c r="E53" s="8">
        <v>5.9027777777777776E-2</v>
      </c>
      <c r="F53" s="4">
        <f t="shared" si="4"/>
        <v>5.5555555555555552E-2</v>
      </c>
      <c r="G53" s="14">
        <f xml:space="preserve"> 60 + 20</f>
        <v>80</v>
      </c>
      <c r="H53" s="9" t="s">
        <v>8</v>
      </c>
      <c r="I53" s="8">
        <v>5.2777777777777778E-2</v>
      </c>
      <c r="J53" s="17">
        <f xml:space="preserve"> 60 + 16 - 5</f>
        <v>71</v>
      </c>
      <c r="K53" t="s">
        <v>67</v>
      </c>
      <c r="L53" s="22">
        <f t="shared" si="3"/>
        <v>9</v>
      </c>
      <c r="M53" s="22" t="s">
        <v>89</v>
      </c>
      <c r="N53">
        <v>2.871</v>
      </c>
    </row>
    <row r="54" spans="1:14" x14ac:dyDescent="0.3">
      <c r="A54" t="s">
        <v>162</v>
      </c>
      <c r="B54" s="12" t="s">
        <v>55</v>
      </c>
      <c r="C54" s="11">
        <v>2.7777777777777779E-3</v>
      </c>
      <c r="D54" s="13">
        <f t="shared" si="0"/>
        <v>4</v>
      </c>
      <c r="E54" s="8">
        <v>0.3576388888888889</v>
      </c>
      <c r="F54" s="4">
        <f t="shared" si="4"/>
        <v>0.35486111111111113</v>
      </c>
      <c r="G54" s="14">
        <f xml:space="preserve"> 8*60 +31</f>
        <v>511</v>
      </c>
      <c r="H54" s="9" t="s">
        <v>8</v>
      </c>
      <c r="I54" s="8">
        <v>3.8194444444444448E-2</v>
      </c>
      <c r="J54" s="17">
        <f xml:space="preserve"> 55 - 4</f>
        <v>51</v>
      </c>
      <c r="K54" t="s">
        <v>67</v>
      </c>
      <c r="L54" s="22">
        <f xml:space="preserve"> G54-J54</f>
        <v>460</v>
      </c>
      <c r="M54" s="22" t="s">
        <v>89</v>
      </c>
      <c r="N54">
        <v>2.4940000000000002</v>
      </c>
    </row>
    <row r="55" spans="1:14" x14ac:dyDescent="0.3">
      <c r="A55" t="s">
        <v>162</v>
      </c>
      <c r="B55" s="12" t="s">
        <v>56</v>
      </c>
      <c r="C55" s="11">
        <v>2.7777777777777779E-3</v>
      </c>
      <c r="D55" s="13">
        <f t="shared" si="0"/>
        <v>4</v>
      </c>
      <c r="E55" s="8" t="s">
        <v>67</v>
      </c>
      <c r="F55" s="4" t="e">
        <f t="shared" si="4"/>
        <v>#VALUE!</v>
      </c>
      <c r="G55" s="14" t="e">
        <f>(HOUR(F55)*60+MINUTE(F55))</f>
        <v>#VALUE!</v>
      </c>
      <c r="H55" s="9" t="s">
        <v>8</v>
      </c>
      <c r="I55" s="8">
        <v>0.11319444444444444</v>
      </c>
      <c r="J55" s="17">
        <f xml:space="preserve"> 2*60 + 43 - 4</f>
        <v>159</v>
      </c>
      <c r="K55" t="s">
        <v>67</v>
      </c>
      <c r="L55" s="22" t="e">
        <f xml:space="preserve"> G55-J55</f>
        <v>#VALUE!</v>
      </c>
      <c r="M55" s="22" t="s">
        <v>90</v>
      </c>
      <c r="N55">
        <v>3.0289999999999999</v>
      </c>
    </row>
    <row r="56" spans="1:14" x14ac:dyDescent="0.3">
      <c r="A56" t="s">
        <v>163</v>
      </c>
      <c r="B56" s="5" t="s">
        <v>91</v>
      </c>
      <c r="C56" s="3">
        <v>3.472222222222222E-3</v>
      </c>
      <c r="D56" s="13">
        <f t="shared" si="0"/>
        <v>5</v>
      </c>
      <c r="E56" s="3">
        <v>6.3194444444444442E-2</v>
      </c>
      <c r="F56" s="4">
        <f t="shared" si="4"/>
        <v>5.9722222222222218E-2</v>
      </c>
      <c r="G56" s="14">
        <f>(HOUR(F56)*60+MINUTE(F56))</f>
        <v>86</v>
      </c>
      <c r="H56" s="5" t="s">
        <v>8</v>
      </c>
      <c r="I56" s="3">
        <v>4.5833333333333337E-2</v>
      </c>
      <c r="J56" s="22">
        <f>(HOUR(I56)*60+MINUTE(I56)) - (D56)</f>
        <v>61</v>
      </c>
      <c r="K56" s="3">
        <v>4.9305555555555554E-2</v>
      </c>
      <c r="L56" s="22">
        <f xml:space="preserve"> G56-J56-D56</f>
        <v>20</v>
      </c>
      <c r="M56" s="22" t="s">
        <v>89</v>
      </c>
    </row>
    <row r="57" spans="1:14" x14ac:dyDescent="0.3">
      <c r="A57" t="s">
        <v>163</v>
      </c>
      <c r="B57" s="5" t="s">
        <v>92</v>
      </c>
      <c r="C57" s="3">
        <v>7.6388888888888886E-3</v>
      </c>
      <c r="D57" s="13">
        <f t="shared" si="0"/>
        <v>11</v>
      </c>
      <c r="E57" s="3">
        <v>2.5694444444444447E-2</v>
      </c>
      <c r="F57" s="4">
        <f t="shared" si="4"/>
        <v>1.8055555555555557E-2</v>
      </c>
      <c r="G57" s="14">
        <f t="shared" ref="G57:G83" si="5">(HOUR(F57)*60+MINUTE(F57))</f>
        <v>26</v>
      </c>
      <c r="H57" s="5" t="s">
        <v>8</v>
      </c>
      <c r="I57" s="3">
        <v>1.2499999999999999E-2</v>
      </c>
      <c r="J57" s="22">
        <f t="shared" ref="J57:J83" si="6">(HOUR(I57)*60+MINUTE(I57)) - (D57)</f>
        <v>7</v>
      </c>
      <c r="K57" s="3">
        <v>0.1875</v>
      </c>
      <c r="L57" s="22">
        <f t="shared" ref="L57:L114" si="7" xml:space="preserve"> G57-J57</f>
        <v>19</v>
      </c>
      <c r="M57" s="22" t="s">
        <v>89</v>
      </c>
    </row>
    <row r="58" spans="1:14" x14ac:dyDescent="0.3">
      <c r="A58" t="s">
        <v>163</v>
      </c>
      <c r="B58" s="5" t="s">
        <v>93</v>
      </c>
      <c r="C58" s="3">
        <v>2.7777777777777779E-3</v>
      </c>
      <c r="D58" s="13">
        <f t="shared" si="0"/>
        <v>4</v>
      </c>
      <c r="E58" s="3">
        <v>3.4722222222222224E-2</v>
      </c>
      <c r="F58" s="4">
        <f t="shared" si="4"/>
        <v>3.1944444444444449E-2</v>
      </c>
      <c r="G58" s="14">
        <f t="shared" si="5"/>
        <v>46</v>
      </c>
      <c r="H58" s="2" t="s">
        <v>8</v>
      </c>
      <c r="I58" s="3">
        <v>3.125E-2</v>
      </c>
      <c r="J58" s="22">
        <f t="shared" si="6"/>
        <v>41</v>
      </c>
      <c r="K58" s="3">
        <v>0.20416666666666669</v>
      </c>
      <c r="L58" s="22">
        <f t="shared" si="7"/>
        <v>5</v>
      </c>
      <c r="M58" s="22" t="s">
        <v>89</v>
      </c>
    </row>
    <row r="59" spans="1:14" x14ac:dyDescent="0.3">
      <c r="A59" t="s">
        <v>163</v>
      </c>
      <c r="B59" s="5" t="s">
        <v>94</v>
      </c>
      <c r="C59" s="3">
        <v>4.1666666666666666E-3</v>
      </c>
      <c r="D59" s="13">
        <f t="shared" si="0"/>
        <v>6</v>
      </c>
      <c r="E59" s="3">
        <v>4.7916666666666663E-2</v>
      </c>
      <c r="F59" s="4">
        <f t="shared" si="4"/>
        <v>4.3749999999999997E-2</v>
      </c>
      <c r="G59" s="14">
        <f t="shared" si="5"/>
        <v>63</v>
      </c>
      <c r="H59" s="2" t="s">
        <v>8</v>
      </c>
      <c r="I59" s="3">
        <v>2.013888888888889E-2</v>
      </c>
      <c r="J59" s="22">
        <f t="shared" si="6"/>
        <v>23</v>
      </c>
      <c r="K59" s="3">
        <v>0.19513888888888889</v>
      </c>
      <c r="L59" s="22">
        <f t="shared" si="7"/>
        <v>40</v>
      </c>
      <c r="M59" s="22" t="s">
        <v>89</v>
      </c>
    </row>
    <row r="60" spans="1:14" x14ac:dyDescent="0.3">
      <c r="A60" t="s">
        <v>163</v>
      </c>
      <c r="B60" s="5" t="s">
        <v>95</v>
      </c>
      <c r="C60" s="3">
        <v>2.7777777777777779E-3</v>
      </c>
      <c r="D60" s="13">
        <f t="shared" si="0"/>
        <v>4</v>
      </c>
      <c r="E60" s="3">
        <v>0.22291666666666665</v>
      </c>
      <c r="F60" s="4">
        <f t="shared" si="4"/>
        <v>0.22013888888888888</v>
      </c>
      <c r="G60" s="14">
        <f t="shared" si="5"/>
        <v>317</v>
      </c>
      <c r="H60" s="2" t="s">
        <v>8</v>
      </c>
      <c r="I60" s="3">
        <v>4.6527777777777779E-2</v>
      </c>
      <c r="J60" s="22">
        <f t="shared" si="6"/>
        <v>63</v>
      </c>
      <c r="K60" s="3">
        <v>4.5138888888888888E-2</v>
      </c>
      <c r="L60" s="22">
        <f t="shared" si="7"/>
        <v>254</v>
      </c>
      <c r="M60" s="22" t="s">
        <v>89</v>
      </c>
    </row>
    <row r="61" spans="1:14" x14ac:dyDescent="0.3">
      <c r="A61" t="s">
        <v>163</v>
      </c>
      <c r="B61" s="5" t="s">
        <v>96</v>
      </c>
      <c r="C61" s="3">
        <v>2.7777777777777779E-3</v>
      </c>
      <c r="D61" s="13">
        <f t="shared" si="0"/>
        <v>4</v>
      </c>
      <c r="E61" s="3">
        <v>0.29791666666666666</v>
      </c>
      <c r="F61" s="4">
        <f t="shared" si="4"/>
        <v>0.2951388888888889</v>
      </c>
      <c r="G61" s="14">
        <f t="shared" si="5"/>
        <v>425</v>
      </c>
      <c r="H61" s="2" t="s">
        <v>8</v>
      </c>
      <c r="I61" s="3">
        <v>2.7083333333333334E-2</v>
      </c>
      <c r="J61" s="22">
        <f t="shared" si="6"/>
        <v>35</v>
      </c>
      <c r="K61" s="3">
        <v>0.1076388888888889</v>
      </c>
      <c r="L61" s="22">
        <f t="shared" si="7"/>
        <v>390</v>
      </c>
      <c r="M61" s="22" t="s">
        <v>89</v>
      </c>
    </row>
    <row r="62" spans="1:14" x14ac:dyDescent="0.3">
      <c r="A62" t="s">
        <v>163</v>
      </c>
      <c r="B62" s="5" t="s">
        <v>97</v>
      </c>
      <c r="C62" s="3">
        <v>2.7777777777777779E-3</v>
      </c>
      <c r="D62" s="13">
        <f t="shared" si="0"/>
        <v>4</v>
      </c>
      <c r="E62" s="3">
        <v>3.3333333333333333E-2</v>
      </c>
      <c r="F62" s="4">
        <f t="shared" si="4"/>
        <v>3.0555555555555555E-2</v>
      </c>
      <c r="G62" s="14">
        <f t="shared" si="5"/>
        <v>44</v>
      </c>
      <c r="H62" s="2" t="s">
        <v>8</v>
      </c>
      <c r="I62" s="3">
        <v>1.7361111111111112E-2</v>
      </c>
      <c r="J62" s="22">
        <f t="shared" si="6"/>
        <v>21</v>
      </c>
      <c r="K62" s="3">
        <v>0.26041666666666669</v>
      </c>
      <c r="L62" s="22">
        <f t="shared" si="7"/>
        <v>23</v>
      </c>
      <c r="M62" s="22" t="s">
        <v>89</v>
      </c>
    </row>
    <row r="63" spans="1:14" x14ac:dyDescent="0.3">
      <c r="A63" t="s">
        <v>163</v>
      </c>
      <c r="B63" s="5" t="s">
        <v>98</v>
      </c>
      <c r="C63" s="3">
        <v>4.1666666666666666E-3</v>
      </c>
      <c r="D63" s="13">
        <f t="shared" si="0"/>
        <v>6</v>
      </c>
      <c r="E63" s="3">
        <v>0.11041666666666666</v>
      </c>
      <c r="F63" s="4">
        <f t="shared" si="4"/>
        <v>0.10625</v>
      </c>
      <c r="G63" s="14">
        <f t="shared" si="5"/>
        <v>153</v>
      </c>
      <c r="H63" s="2" t="s">
        <v>8</v>
      </c>
      <c r="I63" s="3">
        <v>2.5694444444444447E-2</v>
      </c>
      <c r="J63" s="22">
        <f t="shared" si="6"/>
        <v>31</v>
      </c>
      <c r="K63" s="3">
        <v>0.1388888888888889</v>
      </c>
      <c r="L63" s="22">
        <f t="shared" si="7"/>
        <v>122</v>
      </c>
      <c r="M63" s="22" t="s">
        <v>89</v>
      </c>
    </row>
    <row r="64" spans="1:14" x14ac:dyDescent="0.3">
      <c r="A64" t="s">
        <v>163</v>
      </c>
      <c r="B64" s="5" t="s">
        <v>99</v>
      </c>
      <c r="C64" s="4">
        <v>4.8611111111111112E-3</v>
      </c>
      <c r="D64" s="13">
        <f t="shared" si="0"/>
        <v>7</v>
      </c>
      <c r="E64" s="4">
        <v>4.4444444444444446E-2</v>
      </c>
      <c r="F64" s="4">
        <f t="shared" si="4"/>
        <v>3.9583333333333331E-2</v>
      </c>
      <c r="G64" s="14">
        <f t="shared" si="5"/>
        <v>57</v>
      </c>
      <c r="H64" s="2" t="s">
        <v>8</v>
      </c>
      <c r="I64" s="4">
        <v>3.4027777777777775E-2</v>
      </c>
      <c r="J64" s="22">
        <f t="shared" si="6"/>
        <v>42</v>
      </c>
      <c r="K64" s="4">
        <v>0.1673611111111111</v>
      </c>
      <c r="L64" s="22">
        <f t="shared" si="7"/>
        <v>15</v>
      </c>
      <c r="M64" s="22" t="s">
        <v>89</v>
      </c>
    </row>
    <row r="65" spans="1:13" x14ac:dyDescent="0.3">
      <c r="A65" t="s">
        <v>163</v>
      </c>
      <c r="B65" s="5" t="s">
        <v>100</v>
      </c>
      <c r="C65" s="4">
        <v>4.1666666666666666E-3</v>
      </c>
      <c r="D65" s="13">
        <f t="shared" si="0"/>
        <v>6</v>
      </c>
      <c r="E65" s="4">
        <v>5.6250000000000001E-2</v>
      </c>
      <c r="F65" s="4">
        <f t="shared" si="4"/>
        <v>5.2083333333333336E-2</v>
      </c>
      <c r="G65" s="14">
        <f t="shared" si="5"/>
        <v>75</v>
      </c>
      <c r="H65" s="2" t="s">
        <v>8</v>
      </c>
      <c r="I65" s="4">
        <v>1.5972222222222224E-2</v>
      </c>
      <c r="J65" s="22">
        <f t="shared" si="6"/>
        <v>17</v>
      </c>
      <c r="K65" s="4">
        <v>6.1111111111111116E-2</v>
      </c>
      <c r="L65" s="22">
        <f t="shared" si="7"/>
        <v>58</v>
      </c>
      <c r="M65" s="22" t="s">
        <v>89</v>
      </c>
    </row>
    <row r="66" spans="1:13" x14ac:dyDescent="0.3">
      <c r="A66" t="s">
        <v>163</v>
      </c>
      <c r="B66" s="5" t="s">
        <v>101</v>
      </c>
      <c r="C66" s="4">
        <v>4.8611111111111112E-3</v>
      </c>
      <c r="D66" s="13">
        <f t="shared" ref="D66:D83" si="8">(HOUR(C66)*60+MINUTE(C66))</f>
        <v>7</v>
      </c>
      <c r="E66" s="4">
        <v>3.4722222222222224E-2</v>
      </c>
      <c r="F66" s="4">
        <f t="shared" si="4"/>
        <v>2.9861111111111113E-2</v>
      </c>
      <c r="G66" s="14">
        <f t="shared" si="5"/>
        <v>43</v>
      </c>
      <c r="H66" s="2" t="s">
        <v>8</v>
      </c>
      <c r="I66" s="4">
        <v>2.9166666666666664E-2</v>
      </c>
      <c r="J66" s="22">
        <f t="shared" si="6"/>
        <v>35</v>
      </c>
      <c r="K66" s="4">
        <v>9.9999999999999992E-2</v>
      </c>
      <c r="L66" s="22">
        <f t="shared" si="7"/>
        <v>8</v>
      </c>
      <c r="M66" s="22" t="s">
        <v>89</v>
      </c>
    </row>
    <row r="67" spans="1:13" x14ac:dyDescent="0.3">
      <c r="A67" t="s">
        <v>163</v>
      </c>
      <c r="B67" s="5" t="s">
        <v>102</v>
      </c>
      <c r="C67" s="4">
        <v>4.8611111111111112E-3</v>
      </c>
      <c r="D67" s="13">
        <f t="shared" si="8"/>
        <v>7</v>
      </c>
      <c r="E67" s="4">
        <v>9.7222222222222224E-2</v>
      </c>
      <c r="F67" s="4">
        <f t="shared" si="4"/>
        <v>9.2361111111111116E-2</v>
      </c>
      <c r="G67" s="14">
        <f t="shared" si="5"/>
        <v>133</v>
      </c>
      <c r="H67" s="2" t="s">
        <v>8</v>
      </c>
      <c r="I67" s="4">
        <v>3.2638888888888891E-2</v>
      </c>
      <c r="J67" s="22">
        <f t="shared" si="6"/>
        <v>40</v>
      </c>
      <c r="K67" s="4">
        <v>9.8611111111111108E-2</v>
      </c>
      <c r="L67" s="22">
        <f t="shared" si="7"/>
        <v>93</v>
      </c>
      <c r="M67" s="22" t="s">
        <v>89</v>
      </c>
    </row>
    <row r="68" spans="1:13" x14ac:dyDescent="0.3">
      <c r="A68" t="s">
        <v>163</v>
      </c>
      <c r="B68" s="5" t="s">
        <v>103</v>
      </c>
      <c r="C68" s="4">
        <v>4.1666666666666666E-3</v>
      </c>
      <c r="D68" s="13">
        <f t="shared" si="8"/>
        <v>6</v>
      </c>
      <c r="E68" s="4">
        <v>3.4722222222222224E-2</v>
      </c>
      <c r="F68" s="4">
        <f t="shared" si="4"/>
        <v>3.0555555555555558E-2</v>
      </c>
      <c r="G68" s="14">
        <f t="shared" si="5"/>
        <v>44</v>
      </c>
      <c r="H68" s="2" t="s">
        <v>8</v>
      </c>
      <c r="I68" s="4">
        <v>9.0277777777777787E-3</v>
      </c>
      <c r="J68" s="22">
        <f t="shared" si="6"/>
        <v>7</v>
      </c>
      <c r="K68" s="4">
        <v>0.10972222222222222</v>
      </c>
      <c r="L68" s="22">
        <f t="shared" si="7"/>
        <v>37</v>
      </c>
      <c r="M68" s="22" t="s">
        <v>89</v>
      </c>
    </row>
    <row r="69" spans="1:13" x14ac:dyDescent="0.3">
      <c r="A69" t="s">
        <v>163</v>
      </c>
      <c r="B69" s="5" t="s">
        <v>104</v>
      </c>
      <c r="C69" s="4">
        <v>6.9444444444444441E-3</v>
      </c>
      <c r="D69" s="13">
        <f t="shared" si="8"/>
        <v>10</v>
      </c>
      <c r="E69" s="4">
        <v>9.1666666666666674E-2</v>
      </c>
      <c r="F69" s="4">
        <f t="shared" si="4"/>
        <v>8.4722222222222227E-2</v>
      </c>
      <c r="G69" s="14">
        <f t="shared" si="5"/>
        <v>122</v>
      </c>
      <c r="H69" s="2" t="s">
        <v>8</v>
      </c>
      <c r="I69" s="4">
        <v>2.0833333333333332E-2</v>
      </c>
      <c r="J69" s="22">
        <f t="shared" si="6"/>
        <v>20</v>
      </c>
      <c r="K69" s="4">
        <v>0.125</v>
      </c>
      <c r="L69" s="22">
        <f t="shared" si="7"/>
        <v>102</v>
      </c>
      <c r="M69" s="22" t="s">
        <v>89</v>
      </c>
    </row>
    <row r="70" spans="1:13" x14ac:dyDescent="0.3">
      <c r="A70" t="s">
        <v>163</v>
      </c>
      <c r="B70" s="5" t="s">
        <v>105</v>
      </c>
      <c r="C70" s="4">
        <v>6.9444444444444441E-3</v>
      </c>
      <c r="D70" s="13">
        <f t="shared" si="8"/>
        <v>10</v>
      </c>
      <c r="E70" s="4">
        <v>4.4444444444444446E-2</v>
      </c>
      <c r="F70" s="4">
        <f t="shared" si="4"/>
        <v>3.7500000000000006E-2</v>
      </c>
      <c r="G70" s="14">
        <f t="shared" si="5"/>
        <v>54</v>
      </c>
      <c r="H70" s="2" t="s">
        <v>8</v>
      </c>
      <c r="I70" s="4">
        <v>3.6111111111111115E-2</v>
      </c>
      <c r="J70" s="22">
        <f t="shared" si="6"/>
        <v>42</v>
      </c>
      <c r="K70" s="4">
        <v>0.13055555555555556</v>
      </c>
      <c r="L70" s="22">
        <f t="shared" si="7"/>
        <v>12</v>
      </c>
      <c r="M70" s="22" t="s">
        <v>89</v>
      </c>
    </row>
    <row r="71" spans="1:13" x14ac:dyDescent="0.3">
      <c r="A71" t="s">
        <v>163</v>
      </c>
      <c r="B71" s="5" t="s">
        <v>106</v>
      </c>
      <c r="C71" s="4">
        <v>4.8611111111111112E-3</v>
      </c>
      <c r="D71" s="13">
        <f t="shared" si="8"/>
        <v>7</v>
      </c>
      <c r="E71" s="4">
        <v>6.7361111111111108E-2</v>
      </c>
      <c r="F71" s="4">
        <f t="shared" si="4"/>
        <v>6.25E-2</v>
      </c>
      <c r="G71" s="14">
        <f t="shared" si="5"/>
        <v>90</v>
      </c>
      <c r="H71" s="2" t="s">
        <v>8</v>
      </c>
      <c r="I71" s="4">
        <v>3.3333333333333333E-2</v>
      </c>
      <c r="J71" s="22">
        <f t="shared" si="6"/>
        <v>41</v>
      </c>
      <c r="K71" s="4">
        <v>9.3055555555555558E-2</v>
      </c>
      <c r="L71" s="22">
        <f xml:space="preserve"> G71-J71</f>
        <v>49</v>
      </c>
      <c r="M71" s="22" t="s">
        <v>89</v>
      </c>
    </row>
    <row r="72" spans="1:13" x14ac:dyDescent="0.3">
      <c r="A72" t="s">
        <v>163</v>
      </c>
      <c r="B72" s="5" t="s">
        <v>107</v>
      </c>
      <c r="C72" s="4">
        <v>5.5555555555555558E-3</v>
      </c>
      <c r="D72" s="13">
        <f t="shared" si="8"/>
        <v>8</v>
      </c>
      <c r="E72" s="4">
        <v>0.13333333333333333</v>
      </c>
      <c r="F72" s="4">
        <f t="shared" si="4"/>
        <v>0.12777777777777777</v>
      </c>
      <c r="G72" s="14">
        <f t="shared" si="5"/>
        <v>184</v>
      </c>
      <c r="H72" s="2" t="s">
        <v>8</v>
      </c>
      <c r="I72" s="4">
        <v>6.7361111111111108E-2</v>
      </c>
      <c r="J72" s="22">
        <f t="shared" si="6"/>
        <v>89</v>
      </c>
      <c r="K72" s="4">
        <v>0.11805555555555557</v>
      </c>
      <c r="L72" s="22">
        <f t="shared" si="7"/>
        <v>95</v>
      </c>
      <c r="M72" s="22" t="s">
        <v>89</v>
      </c>
    </row>
    <row r="73" spans="1:13" x14ac:dyDescent="0.3">
      <c r="A73" t="s">
        <v>163</v>
      </c>
      <c r="B73" s="5" t="s">
        <v>108</v>
      </c>
      <c r="C73" s="4">
        <v>5.5555555555555558E-3</v>
      </c>
      <c r="D73" s="13">
        <f t="shared" si="8"/>
        <v>8</v>
      </c>
      <c r="E73" s="4">
        <v>3.6805555555555557E-2</v>
      </c>
      <c r="F73" s="4">
        <f t="shared" si="4"/>
        <v>3.125E-2</v>
      </c>
      <c r="G73" s="14">
        <f t="shared" si="5"/>
        <v>45</v>
      </c>
      <c r="H73" s="2" t="s">
        <v>8</v>
      </c>
      <c r="I73" s="4">
        <v>3.5416666666666666E-2</v>
      </c>
      <c r="J73" s="22">
        <f t="shared" si="6"/>
        <v>43</v>
      </c>
      <c r="K73" s="4">
        <v>3.8194444444444441E-2</v>
      </c>
      <c r="L73" s="22">
        <f t="shared" si="7"/>
        <v>2</v>
      </c>
      <c r="M73" s="22" t="s">
        <v>89</v>
      </c>
    </row>
    <row r="74" spans="1:13" x14ac:dyDescent="0.3">
      <c r="A74" t="s">
        <v>163</v>
      </c>
      <c r="B74" s="5" t="s">
        <v>109</v>
      </c>
      <c r="C74" s="4">
        <v>5.5555555555555558E-3</v>
      </c>
      <c r="D74" s="13">
        <f t="shared" si="8"/>
        <v>8</v>
      </c>
      <c r="E74" s="4">
        <v>9.375E-2</v>
      </c>
      <c r="F74" s="4">
        <f t="shared" si="4"/>
        <v>8.819444444444445E-2</v>
      </c>
      <c r="G74" s="14">
        <f t="shared" si="5"/>
        <v>127</v>
      </c>
      <c r="H74" s="2" t="s">
        <v>8</v>
      </c>
      <c r="I74" s="4">
        <v>9.0972222222222218E-2</v>
      </c>
      <c r="J74" s="22">
        <f t="shared" si="6"/>
        <v>123</v>
      </c>
      <c r="K74" s="4">
        <v>0.28958333333333336</v>
      </c>
      <c r="L74" s="22">
        <f t="shared" si="7"/>
        <v>4</v>
      </c>
      <c r="M74" s="22" t="s">
        <v>89</v>
      </c>
    </row>
    <row r="75" spans="1:13" x14ac:dyDescent="0.3">
      <c r="A75" t="s">
        <v>163</v>
      </c>
      <c r="B75" s="5" t="s">
        <v>110</v>
      </c>
      <c r="C75" s="4">
        <v>4.1666666666666666E-3</v>
      </c>
      <c r="D75" s="13">
        <f t="shared" si="8"/>
        <v>6</v>
      </c>
      <c r="E75" s="4">
        <v>9.4444444444444442E-2</v>
      </c>
      <c r="F75" s="4">
        <f t="shared" si="4"/>
        <v>9.0277777777777776E-2</v>
      </c>
      <c r="G75" s="14">
        <f t="shared" si="5"/>
        <v>130</v>
      </c>
      <c r="H75" s="2" t="s">
        <v>8</v>
      </c>
      <c r="I75" s="4">
        <v>8.819444444444445E-2</v>
      </c>
      <c r="J75" s="22">
        <f t="shared" si="6"/>
        <v>121</v>
      </c>
      <c r="K75" s="4">
        <v>0.11041666666666666</v>
      </c>
      <c r="L75" s="22">
        <f t="shared" si="7"/>
        <v>9</v>
      </c>
      <c r="M75" s="22" t="s">
        <v>89</v>
      </c>
    </row>
    <row r="76" spans="1:13" x14ac:dyDescent="0.3">
      <c r="A76" t="s">
        <v>163</v>
      </c>
      <c r="B76" s="5" t="s">
        <v>111</v>
      </c>
      <c r="C76" s="4">
        <v>4.8611111111111112E-3</v>
      </c>
      <c r="D76" s="13">
        <f t="shared" si="8"/>
        <v>7</v>
      </c>
      <c r="E76" s="4">
        <v>3.3333333333333333E-2</v>
      </c>
      <c r="F76" s="4">
        <f t="shared" si="4"/>
        <v>2.8472222222222222E-2</v>
      </c>
      <c r="G76" s="14">
        <f t="shared" si="5"/>
        <v>41</v>
      </c>
      <c r="H76" s="2" t="s">
        <v>8</v>
      </c>
      <c r="I76" s="4">
        <v>2.8472222222222222E-2</v>
      </c>
      <c r="J76" s="22">
        <f t="shared" si="6"/>
        <v>34</v>
      </c>
      <c r="K76" s="4">
        <v>0.17708333333333334</v>
      </c>
      <c r="L76" s="22">
        <f t="shared" si="7"/>
        <v>7</v>
      </c>
      <c r="M76" s="22" t="s">
        <v>89</v>
      </c>
    </row>
    <row r="77" spans="1:13" x14ac:dyDescent="0.3">
      <c r="A77" t="s">
        <v>163</v>
      </c>
      <c r="B77" s="5" t="s">
        <v>112</v>
      </c>
      <c r="C77" s="4">
        <v>8.3333333333333332E-3</v>
      </c>
      <c r="D77" s="13">
        <f t="shared" si="8"/>
        <v>12</v>
      </c>
      <c r="E77" s="4">
        <v>6.805555555555555E-2</v>
      </c>
      <c r="F77" s="4">
        <f t="shared" si="4"/>
        <v>5.9722222222222218E-2</v>
      </c>
      <c r="G77" s="14">
        <f t="shared" si="5"/>
        <v>86</v>
      </c>
      <c r="H77" s="2" t="s">
        <v>8</v>
      </c>
      <c r="I77" s="4">
        <v>6.458333333333334E-2</v>
      </c>
      <c r="J77" s="22">
        <f t="shared" si="6"/>
        <v>81</v>
      </c>
      <c r="K77" s="4">
        <v>8.4722222222222213E-2</v>
      </c>
      <c r="L77" s="22">
        <f t="shared" si="7"/>
        <v>5</v>
      </c>
      <c r="M77" s="22" t="s">
        <v>89</v>
      </c>
    </row>
    <row r="78" spans="1:13" x14ac:dyDescent="0.3">
      <c r="A78" t="s">
        <v>163</v>
      </c>
      <c r="B78" s="5" t="s">
        <v>113</v>
      </c>
      <c r="C78" s="4">
        <v>6.9444444444444441E-3</v>
      </c>
      <c r="D78" s="13">
        <f t="shared" si="8"/>
        <v>10</v>
      </c>
      <c r="E78" s="4">
        <v>6.805555555555555E-2</v>
      </c>
      <c r="F78" s="4">
        <f t="shared" si="4"/>
        <v>6.1111111111111102E-2</v>
      </c>
      <c r="G78" s="14">
        <f t="shared" si="5"/>
        <v>88</v>
      </c>
      <c r="H78" s="2" t="s">
        <v>8</v>
      </c>
      <c r="I78" s="4">
        <v>6.5277777777777782E-2</v>
      </c>
      <c r="J78" s="22">
        <f t="shared" si="6"/>
        <v>84</v>
      </c>
      <c r="K78" s="4">
        <v>0.19583333333333333</v>
      </c>
      <c r="L78" s="22">
        <f xml:space="preserve"> G78-J78</f>
        <v>4</v>
      </c>
      <c r="M78" s="22" t="s">
        <v>89</v>
      </c>
    </row>
    <row r="79" spans="1:13" x14ac:dyDescent="0.3">
      <c r="A79" t="s">
        <v>163</v>
      </c>
      <c r="B79" s="5" t="s">
        <v>114</v>
      </c>
      <c r="C79" s="4">
        <v>4.1666666666666666E-3</v>
      </c>
      <c r="D79" s="13">
        <f t="shared" si="8"/>
        <v>6</v>
      </c>
      <c r="E79" s="4">
        <v>1.5277777777777777E-2</v>
      </c>
      <c r="F79" s="4">
        <f t="shared" si="4"/>
        <v>1.111111111111111E-2</v>
      </c>
      <c r="G79" s="14">
        <f t="shared" si="5"/>
        <v>16</v>
      </c>
      <c r="H79" s="2" t="s">
        <v>8</v>
      </c>
      <c r="I79" s="4">
        <v>1.3194444444444444E-2</v>
      </c>
      <c r="J79" s="22">
        <f t="shared" si="6"/>
        <v>13</v>
      </c>
      <c r="K79" s="4">
        <v>8.9583333333333334E-2</v>
      </c>
      <c r="L79" s="22">
        <f t="shared" si="7"/>
        <v>3</v>
      </c>
      <c r="M79" s="22" t="s">
        <v>89</v>
      </c>
    </row>
    <row r="80" spans="1:13" x14ac:dyDescent="0.3">
      <c r="A80" t="s">
        <v>163</v>
      </c>
      <c r="B80" s="5" t="s">
        <v>115</v>
      </c>
      <c r="C80" s="4">
        <v>4.1666666666666666E-3</v>
      </c>
      <c r="D80" s="13">
        <f t="shared" si="8"/>
        <v>6</v>
      </c>
      <c r="E80" s="4">
        <v>0.13819444444444443</v>
      </c>
      <c r="F80" s="4">
        <f t="shared" si="4"/>
        <v>0.13402777777777775</v>
      </c>
      <c r="G80" s="14">
        <f t="shared" si="5"/>
        <v>193</v>
      </c>
      <c r="H80" s="2" t="s">
        <v>8</v>
      </c>
      <c r="I80" s="4">
        <v>0.1013888888888889</v>
      </c>
      <c r="J80" s="22">
        <f t="shared" si="6"/>
        <v>140</v>
      </c>
      <c r="K80" s="4">
        <v>6.0416666666666667E-2</v>
      </c>
      <c r="L80" s="22">
        <f t="shared" si="7"/>
        <v>53</v>
      </c>
      <c r="M80" s="22" t="s">
        <v>89</v>
      </c>
    </row>
    <row r="81" spans="1:13" x14ac:dyDescent="0.3">
      <c r="A81" t="s">
        <v>163</v>
      </c>
      <c r="B81" s="5" t="s">
        <v>116</v>
      </c>
      <c r="C81" s="4">
        <v>9.7222222222222224E-3</v>
      </c>
      <c r="D81" s="13">
        <f t="shared" si="8"/>
        <v>14</v>
      </c>
      <c r="E81" s="4">
        <v>0.15694444444444444</v>
      </c>
      <c r="F81" s="4">
        <f t="shared" si="4"/>
        <v>0.14722222222222223</v>
      </c>
      <c r="G81" s="14">
        <f t="shared" si="5"/>
        <v>212</v>
      </c>
      <c r="H81" s="2" t="s">
        <v>8</v>
      </c>
      <c r="I81" s="4">
        <v>7.7083333333333337E-2</v>
      </c>
      <c r="J81" s="22">
        <f t="shared" si="6"/>
        <v>97</v>
      </c>
      <c r="K81" s="4">
        <v>9.9999999999999992E-2</v>
      </c>
      <c r="L81" s="22">
        <f t="shared" si="7"/>
        <v>115</v>
      </c>
      <c r="M81" s="22" t="s">
        <v>89</v>
      </c>
    </row>
    <row r="82" spans="1:13" x14ac:dyDescent="0.3">
      <c r="A82" t="s">
        <v>163</v>
      </c>
      <c r="B82" s="5" t="s">
        <v>117</v>
      </c>
      <c r="C82" s="4">
        <v>4.8611111111111112E-3</v>
      </c>
      <c r="D82" s="13">
        <f t="shared" si="8"/>
        <v>7</v>
      </c>
      <c r="E82" s="4">
        <v>4.027777777777778E-2</v>
      </c>
      <c r="F82" s="4">
        <f t="shared" si="4"/>
        <v>3.5416666666666666E-2</v>
      </c>
      <c r="G82" s="14">
        <f t="shared" si="5"/>
        <v>51</v>
      </c>
      <c r="H82" s="2" t="s">
        <v>8</v>
      </c>
      <c r="I82" s="4">
        <v>1.4583333333333332E-2</v>
      </c>
      <c r="J82" s="22">
        <f t="shared" si="6"/>
        <v>14</v>
      </c>
      <c r="K82" s="4">
        <v>0.1277777777777778</v>
      </c>
      <c r="L82" s="22">
        <f t="shared" si="7"/>
        <v>37</v>
      </c>
      <c r="M82" s="22" t="s">
        <v>89</v>
      </c>
    </row>
    <row r="83" spans="1:13" x14ac:dyDescent="0.3">
      <c r="A83" t="s">
        <v>163</v>
      </c>
      <c r="B83" s="5" t="s">
        <v>118</v>
      </c>
      <c r="C83" s="4">
        <v>8.3333333333333332E-3</v>
      </c>
      <c r="D83" s="13">
        <f t="shared" si="8"/>
        <v>12</v>
      </c>
      <c r="E83" s="4">
        <v>0.30972222222222223</v>
      </c>
      <c r="F83" s="4">
        <f t="shared" si="4"/>
        <v>0.30138888888888887</v>
      </c>
      <c r="G83" s="14">
        <f t="shared" si="5"/>
        <v>434</v>
      </c>
      <c r="H83" s="2" t="s">
        <v>8</v>
      </c>
      <c r="I83" s="4">
        <v>1.8055555555555557E-2</v>
      </c>
      <c r="J83" s="22">
        <f t="shared" si="6"/>
        <v>14</v>
      </c>
      <c r="K83" s="4">
        <v>1.2499999999999999E-2</v>
      </c>
      <c r="L83" s="22">
        <f t="shared" si="7"/>
        <v>420</v>
      </c>
      <c r="M83" s="22" t="s">
        <v>89</v>
      </c>
    </row>
    <row r="84" spans="1:13" x14ac:dyDescent="0.3">
      <c r="A84" t="s">
        <v>163</v>
      </c>
      <c r="B84" s="5" t="s">
        <v>119</v>
      </c>
      <c r="C84" s="4">
        <v>5.5555555555555558E-3</v>
      </c>
      <c r="D84" s="13">
        <f>(HOUR(C84)*60+MINUTE(C84))</f>
        <v>8</v>
      </c>
      <c r="E84" s="4">
        <v>0.11805555555555557</v>
      </c>
      <c r="F84" s="4">
        <f xml:space="preserve"> E84-C84</f>
        <v>0.11250000000000002</v>
      </c>
      <c r="G84" s="14">
        <f>(HOUR(F84)*60+MINUTE(F84))</f>
        <v>162</v>
      </c>
      <c r="H84" s="2" t="s">
        <v>8</v>
      </c>
      <c r="I84" s="4">
        <v>1.6666666666666666E-2</v>
      </c>
      <c r="J84" s="22">
        <f>(HOUR(I84)*60+MINUTE(I84)) - (D84)</f>
        <v>16</v>
      </c>
      <c r="K84" s="4">
        <v>0.125</v>
      </c>
      <c r="L84" s="22">
        <f t="shared" si="7"/>
        <v>146</v>
      </c>
      <c r="M84" s="22" t="s">
        <v>89</v>
      </c>
    </row>
    <row r="85" spans="1:13" x14ac:dyDescent="0.3">
      <c r="A85" t="s">
        <v>164</v>
      </c>
      <c r="B85" s="5" t="s">
        <v>121</v>
      </c>
      <c r="C85" s="4">
        <v>6.2499999999999995E-3</v>
      </c>
      <c r="D85" s="13">
        <f t="shared" ref="D85:D114" si="9">(HOUR(C85)*60+MINUTE(C85))</f>
        <v>9</v>
      </c>
      <c r="E85" t="s">
        <v>67</v>
      </c>
      <c r="F85" s="4" t="s">
        <v>67</v>
      </c>
      <c r="G85" s="14" t="s">
        <v>67</v>
      </c>
      <c r="H85" s="2" t="s">
        <v>8</v>
      </c>
      <c r="I85" s="4">
        <v>2.7777777777777776E-2</v>
      </c>
      <c r="J85" s="22">
        <f t="shared" ref="J85:J114" si="10">(HOUR(I85)*60+MINUTE(I85)) - (D85)</f>
        <v>31</v>
      </c>
      <c r="K85" t="s">
        <v>67</v>
      </c>
      <c r="L85" s="22" t="s">
        <v>67</v>
      </c>
      <c r="M85" s="22" t="s">
        <v>90</v>
      </c>
    </row>
    <row r="86" spans="1:13" x14ac:dyDescent="0.3">
      <c r="A86" t="s">
        <v>164</v>
      </c>
      <c r="B86" s="5" t="s">
        <v>122</v>
      </c>
      <c r="C86" s="25">
        <v>4.1666666666666666E-3</v>
      </c>
      <c r="D86" s="13">
        <f t="shared" si="9"/>
        <v>6</v>
      </c>
      <c r="E86" s="25">
        <v>0.23958333333333334</v>
      </c>
      <c r="F86" s="4">
        <f t="shared" ref="F86:F113" si="11" xml:space="preserve"> E86-C86</f>
        <v>0.23541666666666666</v>
      </c>
      <c r="G86" s="14">
        <f t="shared" ref="G86:G113" si="12">(HOUR(F86)*60+MINUTE(F86))</f>
        <v>339</v>
      </c>
      <c r="H86" s="2" t="s">
        <v>8</v>
      </c>
      <c r="I86" s="4">
        <v>2.361111111111111E-2</v>
      </c>
      <c r="J86" s="22">
        <f t="shared" si="10"/>
        <v>28</v>
      </c>
      <c r="K86" s="25">
        <v>9.8611111111111108E-2</v>
      </c>
      <c r="L86" s="22">
        <f t="shared" si="7"/>
        <v>311</v>
      </c>
      <c r="M86" s="22" t="s">
        <v>89</v>
      </c>
    </row>
    <row r="87" spans="1:13" x14ac:dyDescent="0.3">
      <c r="A87" t="s">
        <v>164</v>
      </c>
      <c r="B87" s="5" t="s">
        <v>123</v>
      </c>
      <c r="C87" s="25">
        <v>3.472222222222222E-3</v>
      </c>
      <c r="D87" s="13">
        <f t="shared" si="9"/>
        <v>5</v>
      </c>
      <c r="E87" s="25">
        <v>0.24861111111111112</v>
      </c>
      <c r="F87" s="4">
        <f t="shared" si="11"/>
        <v>0.24513888888888891</v>
      </c>
      <c r="G87" s="14">
        <f t="shared" si="12"/>
        <v>353</v>
      </c>
      <c r="H87" s="2" t="s">
        <v>8</v>
      </c>
      <c r="I87" s="4">
        <v>3.4722222222222224E-2</v>
      </c>
      <c r="J87" s="22">
        <f t="shared" si="10"/>
        <v>45</v>
      </c>
      <c r="K87" s="25">
        <v>0.15833333333333333</v>
      </c>
      <c r="L87" s="22">
        <f t="shared" si="7"/>
        <v>308</v>
      </c>
      <c r="M87" s="22" t="s">
        <v>89</v>
      </c>
    </row>
    <row r="88" spans="1:13" x14ac:dyDescent="0.3">
      <c r="A88" t="s">
        <v>164</v>
      </c>
      <c r="B88" s="5" t="s">
        <v>124</v>
      </c>
      <c r="C88" s="25">
        <v>2.7777777777777779E-3</v>
      </c>
      <c r="D88" s="13">
        <f t="shared" si="9"/>
        <v>4</v>
      </c>
      <c r="E88" s="25">
        <v>0.2298611111111111</v>
      </c>
      <c r="F88" s="4">
        <f t="shared" si="11"/>
        <v>0.22708333333333333</v>
      </c>
      <c r="G88" s="14">
        <f t="shared" si="12"/>
        <v>327</v>
      </c>
      <c r="H88" s="2" t="s">
        <v>8</v>
      </c>
      <c r="I88" s="4">
        <v>3.4027777777777775E-2</v>
      </c>
      <c r="J88" s="22">
        <f t="shared" si="10"/>
        <v>45</v>
      </c>
      <c r="K88" s="25">
        <v>0.17361111111111113</v>
      </c>
      <c r="L88" s="22">
        <f t="shared" si="7"/>
        <v>282</v>
      </c>
      <c r="M88" s="22" t="s">
        <v>89</v>
      </c>
    </row>
    <row r="89" spans="1:13" x14ac:dyDescent="0.3">
      <c r="A89" t="s">
        <v>164</v>
      </c>
      <c r="B89" s="5" t="s">
        <v>125</v>
      </c>
      <c r="C89" s="25">
        <v>4.1666666666666666E-3</v>
      </c>
      <c r="D89" s="13">
        <f t="shared" si="9"/>
        <v>6</v>
      </c>
      <c r="E89" s="25">
        <v>0.11944444444444445</v>
      </c>
      <c r="F89" s="4">
        <f t="shared" si="11"/>
        <v>0.11527777777777778</v>
      </c>
      <c r="G89" s="14">
        <f t="shared" si="12"/>
        <v>166</v>
      </c>
      <c r="H89" s="2" t="s">
        <v>8</v>
      </c>
      <c r="I89" s="4">
        <v>2.4305555555555556E-2</v>
      </c>
      <c r="J89" s="22">
        <f t="shared" si="10"/>
        <v>29</v>
      </c>
      <c r="K89" s="25">
        <v>0.25555555555555559</v>
      </c>
      <c r="L89" s="22">
        <f t="shared" si="7"/>
        <v>137</v>
      </c>
      <c r="M89" s="22" t="s">
        <v>89</v>
      </c>
    </row>
    <row r="90" spans="1:13" x14ac:dyDescent="0.3">
      <c r="A90" t="s">
        <v>164</v>
      </c>
      <c r="B90" s="5" t="s">
        <v>126</v>
      </c>
      <c r="C90" s="25">
        <v>2.0833333333333333E-3</v>
      </c>
      <c r="D90" s="13">
        <f t="shared" si="9"/>
        <v>3</v>
      </c>
      <c r="E90" s="25">
        <v>5.0694444444444452E-2</v>
      </c>
      <c r="F90" s="4">
        <f t="shared" si="11"/>
        <v>4.8611111111111119E-2</v>
      </c>
      <c r="G90" s="14">
        <f t="shared" si="12"/>
        <v>70</v>
      </c>
      <c r="H90" t="s">
        <v>8</v>
      </c>
      <c r="I90" s="25">
        <v>1.4583333333333332E-2</v>
      </c>
      <c r="J90" s="22">
        <f t="shared" si="10"/>
        <v>18</v>
      </c>
      <c r="K90" s="25">
        <v>0.2986111111111111</v>
      </c>
      <c r="L90" s="22">
        <f t="shared" si="7"/>
        <v>52</v>
      </c>
      <c r="M90" s="22" t="s">
        <v>89</v>
      </c>
    </row>
    <row r="91" spans="1:13" x14ac:dyDescent="0.3">
      <c r="A91" t="s">
        <v>164</v>
      </c>
      <c r="B91" s="5" t="s">
        <v>127</v>
      </c>
      <c r="C91" s="25">
        <v>2.7777777777777779E-3</v>
      </c>
      <c r="D91" s="13">
        <f t="shared" si="9"/>
        <v>4</v>
      </c>
      <c r="E91" s="25">
        <v>0.29166666666666669</v>
      </c>
      <c r="F91" s="4">
        <f t="shared" si="11"/>
        <v>0.28888888888888892</v>
      </c>
      <c r="G91" s="14">
        <f t="shared" si="12"/>
        <v>416</v>
      </c>
      <c r="H91" t="s">
        <v>8</v>
      </c>
      <c r="I91" s="25">
        <v>3.3333333333333333E-2</v>
      </c>
      <c r="J91" s="22">
        <f t="shared" si="10"/>
        <v>44</v>
      </c>
      <c r="K91" s="25">
        <v>0.1277777777777778</v>
      </c>
      <c r="L91" s="22">
        <f t="shared" si="7"/>
        <v>372</v>
      </c>
      <c r="M91" s="22" t="s">
        <v>89</v>
      </c>
    </row>
    <row r="92" spans="1:13" x14ac:dyDescent="0.3">
      <c r="A92" t="s">
        <v>164</v>
      </c>
      <c r="B92" s="5" t="s">
        <v>128</v>
      </c>
      <c r="C92" s="25">
        <v>2.0833333333333333E-3</v>
      </c>
      <c r="D92" s="13">
        <f t="shared" si="9"/>
        <v>3</v>
      </c>
      <c r="E92" s="25">
        <v>0.11458333333333333</v>
      </c>
      <c r="F92" s="4">
        <f t="shared" si="11"/>
        <v>0.11249999999999999</v>
      </c>
      <c r="G92" s="14">
        <f t="shared" si="12"/>
        <v>162</v>
      </c>
      <c r="H92" t="s">
        <v>8</v>
      </c>
      <c r="I92" s="25">
        <v>2.361111111111111E-2</v>
      </c>
      <c r="J92" s="22">
        <f t="shared" si="10"/>
        <v>31</v>
      </c>
      <c r="K92" s="25">
        <v>0.29097222222222224</v>
      </c>
      <c r="L92" s="22">
        <f t="shared" si="7"/>
        <v>131</v>
      </c>
      <c r="M92" s="22" t="s">
        <v>89</v>
      </c>
    </row>
    <row r="93" spans="1:13" x14ac:dyDescent="0.3">
      <c r="A93" t="s">
        <v>164</v>
      </c>
      <c r="B93" s="5" t="s">
        <v>129</v>
      </c>
      <c r="C93" s="25">
        <v>2.0833333333333333E-3</v>
      </c>
      <c r="D93" s="13">
        <f t="shared" si="9"/>
        <v>3</v>
      </c>
      <c r="E93" s="25">
        <v>0.24166666666666667</v>
      </c>
      <c r="F93" s="4">
        <f t="shared" si="11"/>
        <v>0.23958333333333334</v>
      </c>
      <c r="G93" s="14">
        <f t="shared" si="12"/>
        <v>345</v>
      </c>
      <c r="H93" t="s">
        <v>8</v>
      </c>
      <c r="I93" s="25">
        <v>5.6250000000000001E-2</v>
      </c>
      <c r="J93" s="22">
        <f t="shared" si="10"/>
        <v>78</v>
      </c>
      <c r="K93" s="25">
        <v>0.14930555555555555</v>
      </c>
      <c r="L93" s="22">
        <f t="shared" si="7"/>
        <v>267</v>
      </c>
      <c r="M93" s="22" t="s">
        <v>89</v>
      </c>
    </row>
    <row r="94" spans="1:13" x14ac:dyDescent="0.3">
      <c r="A94" t="s">
        <v>164</v>
      </c>
      <c r="B94" s="5" t="s">
        <v>130</v>
      </c>
      <c r="C94" s="25">
        <v>2.0833333333333333E-3</v>
      </c>
      <c r="D94" s="13">
        <f t="shared" si="9"/>
        <v>3</v>
      </c>
      <c r="E94" t="s">
        <v>67</v>
      </c>
      <c r="F94" s="4" t="s">
        <v>67</v>
      </c>
      <c r="G94" s="14" t="s">
        <v>67</v>
      </c>
      <c r="H94" t="s">
        <v>8</v>
      </c>
      <c r="I94" s="25">
        <v>1.5277777777777777E-2</v>
      </c>
      <c r="J94" s="22">
        <f t="shared" si="10"/>
        <v>19</v>
      </c>
      <c r="K94" t="s">
        <v>67</v>
      </c>
      <c r="L94" s="22" t="s">
        <v>67</v>
      </c>
      <c r="M94" s="22" t="s">
        <v>90</v>
      </c>
    </row>
    <row r="95" spans="1:13" x14ac:dyDescent="0.3">
      <c r="A95" t="s">
        <v>164</v>
      </c>
      <c r="B95" s="5" t="s">
        <v>131</v>
      </c>
      <c r="C95" s="25">
        <v>2.0833333333333333E-3</v>
      </c>
      <c r="D95" s="13">
        <f t="shared" si="9"/>
        <v>3</v>
      </c>
      <c r="E95" s="25">
        <v>0.14166666666666666</v>
      </c>
      <c r="F95" s="4">
        <f t="shared" si="11"/>
        <v>0.13958333333333334</v>
      </c>
      <c r="G95" s="14">
        <f t="shared" si="12"/>
        <v>201</v>
      </c>
      <c r="H95" t="s">
        <v>8</v>
      </c>
      <c r="I95" s="25">
        <v>2.2222222222222223E-2</v>
      </c>
      <c r="J95" s="22">
        <f t="shared" si="10"/>
        <v>29</v>
      </c>
      <c r="K95" s="25">
        <v>0.27291666666666664</v>
      </c>
      <c r="L95" s="22">
        <f t="shared" si="7"/>
        <v>172</v>
      </c>
      <c r="M95" s="22" t="s">
        <v>89</v>
      </c>
    </row>
    <row r="96" spans="1:13" x14ac:dyDescent="0.3">
      <c r="A96" t="s">
        <v>164</v>
      </c>
      <c r="B96" s="5" t="s">
        <v>132</v>
      </c>
      <c r="C96" s="25">
        <v>3.472222222222222E-3</v>
      </c>
      <c r="D96" s="13">
        <f t="shared" si="9"/>
        <v>5</v>
      </c>
      <c r="E96" s="25">
        <v>0.27638888888888885</v>
      </c>
      <c r="F96" s="4">
        <f t="shared" si="11"/>
        <v>0.27291666666666664</v>
      </c>
      <c r="G96" s="14">
        <f t="shared" si="12"/>
        <v>393</v>
      </c>
      <c r="H96" t="s">
        <v>8</v>
      </c>
      <c r="I96" s="25">
        <v>1.9444444444444445E-2</v>
      </c>
      <c r="J96" s="22">
        <f t="shared" si="10"/>
        <v>23</v>
      </c>
      <c r="K96" s="25">
        <v>0.125</v>
      </c>
      <c r="L96" s="22">
        <f t="shared" si="7"/>
        <v>370</v>
      </c>
      <c r="M96" s="22" t="s">
        <v>89</v>
      </c>
    </row>
    <row r="97" spans="1:13" x14ac:dyDescent="0.3">
      <c r="A97" t="s">
        <v>164</v>
      </c>
      <c r="B97" s="5" t="s">
        <v>133</v>
      </c>
      <c r="C97" s="25">
        <v>4.1666666666666666E-3</v>
      </c>
      <c r="D97" s="13">
        <f t="shared" si="9"/>
        <v>6</v>
      </c>
      <c r="E97" t="s">
        <v>67</v>
      </c>
      <c r="F97" s="4" t="s">
        <v>67</v>
      </c>
      <c r="G97" s="14" t="s">
        <v>67</v>
      </c>
      <c r="H97" t="s">
        <v>8</v>
      </c>
      <c r="I97" s="25">
        <v>3.2638888888888891E-2</v>
      </c>
      <c r="J97" s="22">
        <f t="shared" si="10"/>
        <v>41</v>
      </c>
      <c r="K97" t="s">
        <v>67</v>
      </c>
      <c r="L97" s="22" t="s">
        <v>67</v>
      </c>
      <c r="M97" s="22" t="s">
        <v>90</v>
      </c>
    </row>
    <row r="98" spans="1:13" x14ac:dyDescent="0.3">
      <c r="A98" t="s">
        <v>164</v>
      </c>
      <c r="B98" s="5" t="s">
        <v>134</v>
      </c>
      <c r="C98" s="25">
        <v>2.0833333333333333E-3</v>
      </c>
      <c r="D98" s="13">
        <f t="shared" si="9"/>
        <v>3</v>
      </c>
      <c r="E98" s="25">
        <v>0.31875000000000003</v>
      </c>
      <c r="F98" s="4">
        <f t="shared" si="11"/>
        <v>0.31666666666666671</v>
      </c>
      <c r="G98" s="14">
        <f t="shared" si="12"/>
        <v>456</v>
      </c>
      <c r="H98" t="s">
        <v>8</v>
      </c>
      <c r="I98" s="25">
        <v>1.8055555555555557E-2</v>
      </c>
      <c r="J98" s="22">
        <f t="shared" si="10"/>
        <v>23</v>
      </c>
      <c r="K98" s="25">
        <v>9.9999999999999992E-2</v>
      </c>
      <c r="L98" s="22">
        <f t="shared" si="7"/>
        <v>433</v>
      </c>
      <c r="M98" s="22" t="s">
        <v>89</v>
      </c>
    </row>
    <row r="99" spans="1:13" x14ac:dyDescent="0.3">
      <c r="A99" t="s">
        <v>164</v>
      </c>
      <c r="B99" s="5" t="s">
        <v>135</v>
      </c>
      <c r="C99" s="25">
        <v>2.0833333333333333E-3</v>
      </c>
      <c r="D99" s="13">
        <f t="shared" si="9"/>
        <v>3</v>
      </c>
      <c r="E99" s="25">
        <v>0.13472222222222222</v>
      </c>
      <c r="F99" s="4">
        <f t="shared" si="11"/>
        <v>0.13263888888888889</v>
      </c>
      <c r="G99" s="14">
        <f t="shared" si="12"/>
        <v>191</v>
      </c>
      <c r="H99" t="s">
        <v>8</v>
      </c>
      <c r="I99" s="25">
        <v>1.8749999999999999E-2</v>
      </c>
      <c r="J99" s="22">
        <f t="shared" si="10"/>
        <v>24</v>
      </c>
      <c r="K99" s="25">
        <v>0.28125</v>
      </c>
      <c r="L99" s="22">
        <f t="shared" si="7"/>
        <v>167</v>
      </c>
      <c r="M99" s="22" t="s">
        <v>89</v>
      </c>
    </row>
    <row r="100" spans="1:13" x14ac:dyDescent="0.3">
      <c r="A100" t="s">
        <v>164</v>
      </c>
      <c r="B100" s="5" t="s">
        <v>136</v>
      </c>
      <c r="C100" s="25">
        <v>6.9444444444444441E-3</v>
      </c>
      <c r="D100" s="13">
        <f t="shared" si="9"/>
        <v>10</v>
      </c>
      <c r="E100" s="25">
        <v>0.23472222222222219</v>
      </c>
      <c r="F100" s="4">
        <f t="shared" si="11"/>
        <v>0.22777777777777775</v>
      </c>
      <c r="G100" s="14">
        <f t="shared" si="12"/>
        <v>328</v>
      </c>
      <c r="H100" t="s">
        <v>8</v>
      </c>
      <c r="I100" s="25">
        <v>0.11666666666666665</v>
      </c>
      <c r="J100" s="22">
        <f t="shared" si="10"/>
        <v>158</v>
      </c>
      <c r="K100" s="25">
        <v>0.17708333333333334</v>
      </c>
      <c r="L100" s="22">
        <f t="shared" si="7"/>
        <v>170</v>
      </c>
      <c r="M100" s="22" t="s">
        <v>89</v>
      </c>
    </row>
    <row r="101" spans="1:13" x14ac:dyDescent="0.3">
      <c r="A101" t="s">
        <v>164</v>
      </c>
      <c r="B101" s="5" t="s">
        <v>137</v>
      </c>
      <c r="C101" s="25">
        <v>5.5555555555555558E-3</v>
      </c>
      <c r="D101" s="13">
        <f t="shared" si="9"/>
        <v>8</v>
      </c>
      <c r="E101" s="25">
        <v>4.4444444444444446E-2</v>
      </c>
      <c r="F101" s="4">
        <f t="shared" si="11"/>
        <v>3.888888888888889E-2</v>
      </c>
      <c r="G101" s="14">
        <f t="shared" si="12"/>
        <v>56</v>
      </c>
      <c r="H101" t="s">
        <v>8</v>
      </c>
      <c r="I101" s="25">
        <v>2.4305555555555556E-2</v>
      </c>
      <c r="J101" s="22">
        <f t="shared" si="10"/>
        <v>27</v>
      </c>
      <c r="K101" s="25">
        <v>0.37083333333333335</v>
      </c>
      <c r="L101" s="22">
        <f t="shared" si="7"/>
        <v>29</v>
      </c>
      <c r="M101" s="22" t="s">
        <v>89</v>
      </c>
    </row>
    <row r="102" spans="1:13" x14ac:dyDescent="0.3">
      <c r="A102" t="s">
        <v>164</v>
      </c>
      <c r="B102" s="5" t="s">
        <v>138</v>
      </c>
      <c r="C102" s="25">
        <v>5.5555555555555558E-3</v>
      </c>
      <c r="D102" s="13">
        <f t="shared" si="9"/>
        <v>8</v>
      </c>
      <c r="E102" t="s">
        <v>67</v>
      </c>
      <c r="F102" s="4" t="s">
        <v>67</v>
      </c>
      <c r="G102" s="14" t="s">
        <v>67</v>
      </c>
      <c r="H102" t="s">
        <v>8</v>
      </c>
      <c r="I102" s="25">
        <v>8.819444444444445E-2</v>
      </c>
      <c r="J102" s="22">
        <f t="shared" si="10"/>
        <v>119</v>
      </c>
      <c r="K102" t="s">
        <v>67</v>
      </c>
      <c r="L102" s="22" t="e">
        <f t="shared" si="7"/>
        <v>#VALUE!</v>
      </c>
      <c r="M102" s="22" t="s">
        <v>90</v>
      </c>
    </row>
    <row r="103" spans="1:13" x14ac:dyDescent="0.3">
      <c r="A103" t="s">
        <v>164</v>
      </c>
      <c r="B103" s="5" t="s">
        <v>139</v>
      </c>
      <c r="C103" s="25">
        <v>6.9444444444444441E-3</v>
      </c>
      <c r="D103" s="13">
        <f t="shared" si="9"/>
        <v>10</v>
      </c>
      <c r="E103" s="25">
        <v>0.26527777777777778</v>
      </c>
      <c r="F103" s="4">
        <f t="shared" si="11"/>
        <v>0.25833333333333336</v>
      </c>
      <c r="G103" s="14">
        <f t="shared" si="12"/>
        <v>372</v>
      </c>
      <c r="H103" t="s">
        <v>8</v>
      </c>
      <c r="I103" s="25">
        <v>3.6111111111111115E-2</v>
      </c>
      <c r="J103" s="22">
        <f t="shared" si="10"/>
        <v>42</v>
      </c>
      <c r="K103" s="25">
        <v>0.14930555555555555</v>
      </c>
      <c r="L103" s="22">
        <f t="shared" si="7"/>
        <v>330</v>
      </c>
      <c r="M103" s="22" t="s">
        <v>89</v>
      </c>
    </row>
    <row r="104" spans="1:13" x14ac:dyDescent="0.3">
      <c r="A104" t="s">
        <v>164</v>
      </c>
      <c r="B104" s="5" t="s">
        <v>140</v>
      </c>
      <c r="C104" s="25">
        <v>3.472222222222222E-3</v>
      </c>
      <c r="D104" s="13">
        <f t="shared" si="9"/>
        <v>5</v>
      </c>
      <c r="E104" s="25">
        <v>6.25E-2</v>
      </c>
      <c r="F104" s="4">
        <f t="shared" si="11"/>
        <v>5.9027777777777776E-2</v>
      </c>
      <c r="G104" s="14">
        <f t="shared" si="12"/>
        <v>85</v>
      </c>
      <c r="H104" t="s">
        <v>8</v>
      </c>
      <c r="I104" s="25">
        <v>5.2083333333333336E-2</v>
      </c>
      <c r="J104" s="22">
        <f t="shared" si="10"/>
        <v>70</v>
      </c>
      <c r="K104" s="25">
        <v>0.35416666666666669</v>
      </c>
      <c r="L104" s="22">
        <f t="shared" si="7"/>
        <v>15</v>
      </c>
      <c r="M104" s="22" t="s">
        <v>89</v>
      </c>
    </row>
    <row r="105" spans="1:13" x14ac:dyDescent="0.3">
      <c r="A105" t="s">
        <v>164</v>
      </c>
      <c r="B105" s="5" t="s">
        <v>141</v>
      </c>
      <c r="C105" s="25">
        <v>3.472222222222222E-3</v>
      </c>
      <c r="D105" s="13">
        <f t="shared" si="9"/>
        <v>5</v>
      </c>
      <c r="E105" s="25">
        <v>0.39374999999999999</v>
      </c>
      <c r="F105" s="4">
        <f t="shared" si="11"/>
        <v>0.39027777777777778</v>
      </c>
      <c r="G105" s="14">
        <f t="shared" si="12"/>
        <v>562</v>
      </c>
      <c r="H105" t="s">
        <v>8</v>
      </c>
      <c r="I105" s="25">
        <v>2.9861111111111113E-2</v>
      </c>
      <c r="J105" s="22">
        <f t="shared" si="10"/>
        <v>38</v>
      </c>
      <c r="K105" s="25">
        <v>2.361111111111111E-2</v>
      </c>
      <c r="L105" s="22">
        <f t="shared" si="7"/>
        <v>524</v>
      </c>
      <c r="M105" s="22" t="s">
        <v>89</v>
      </c>
    </row>
    <row r="106" spans="1:13" x14ac:dyDescent="0.3">
      <c r="A106" t="s">
        <v>164</v>
      </c>
      <c r="B106" s="5" t="s">
        <v>142</v>
      </c>
      <c r="C106" s="25">
        <v>6.2499999999999995E-3</v>
      </c>
      <c r="D106" s="13">
        <f t="shared" si="9"/>
        <v>9</v>
      </c>
      <c r="E106" s="25">
        <v>7.4305555555555555E-2</v>
      </c>
      <c r="F106" s="4">
        <f t="shared" si="11"/>
        <v>6.805555555555555E-2</v>
      </c>
      <c r="G106" s="14">
        <f t="shared" si="12"/>
        <v>98</v>
      </c>
      <c r="H106" t="s">
        <v>8</v>
      </c>
      <c r="I106" s="25">
        <v>4.0972222222222222E-2</v>
      </c>
      <c r="J106" s="22">
        <f t="shared" si="10"/>
        <v>50</v>
      </c>
      <c r="K106" s="25">
        <v>0.3840277777777778</v>
      </c>
      <c r="L106" s="22">
        <f t="shared" si="7"/>
        <v>48</v>
      </c>
      <c r="M106" s="22" t="s">
        <v>89</v>
      </c>
    </row>
    <row r="107" spans="1:13" x14ac:dyDescent="0.3">
      <c r="A107" t="s">
        <v>164</v>
      </c>
      <c r="B107" s="5" t="s">
        <v>143</v>
      </c>
      <c r="C107" s="25">
        <v>1.3888888888888889E-3</v>
      </c>
      <c r="D107" s="13">
        <f t="shared" si="9"/>
        <v>2</v>
      </c>
      <c r="E107" t="s">
        <v>67</v>
      </c>
      <c r="F107" s="4" t="s">
        <v>67</v>
      </c>
      <c r="G107" s="14" t="s">
        <v>67</v>
      </c>
      <c r="H107" t="s">
        <v>8</v>
      </c>
      <c r="I107" s="25">
        <v>2.4999999999999998E-2</v>
      </c>
      <c r="J107" s="22">
        <f t="shared" si="10"/>
        <v>34</v>
      </c>
      <c r="K107" t="s">
        <v>67</v>
      </c>
      <c r="L107" s="22" t="e">
        <f t="shared" si="7"/>
        <v>#VALUE!</v>
      </c>
      <c r="M107" s="22" t="s">
        <v>90</v>
      </c>
    </row>
    <row r="108" spans="1:13" x14ac:dyDescent="0.3">
      <c r="A108" t="s">
        <v>164</v>
      </c>
      <c r="B108" s="5" t="s">
        <v>144</v>
      </c>
      <c r="C108" s="25">
        <v>3.472222222222222E-3</v>
      </c>
      <c r="D108" s="13">
        <f t="shared" si="9"/>
        <v>5</v>
      </c>
      <c r="E108" s="25">
        <v>0.16111111111111112</v>
      </c>
      <c r="F108" s="4">
        <f t="shared" si="11"/>
        <v>0.15763888888888891</v>
      </c>
      <c r="G108" s="14">
        <f t="shared" si="12"/>
        <v>227</v>
      </c>
      <c r="H108" t="s">
        <v>8</v>
      </c>
      <c r="I108" s="25">
        <v>2.7777777777777776E-2</v>
      </c>
      <c r="J108" s="22">
        <f t="shared" si="10"/>
        <v>35</v>
      </c>
      <c r="K108" s="25">
        <v>0.23611111111111113</v>
      </c>
      <c r="L108" s="22">
        <f t="shared" si="7"/>
        <v>192</v>
      </c>
      <c r="M108" s="22" t="s">
        <v>89</v>
      </c>
    </row>
    <row r="109" spans="1:13" x14ac:dyDescent="0.3">
      <c r="A109" t="s">
        <v>164</v>
      </c>
      <c r="B109" s="5" t="s">
        <v>145</v>
      </c>
      <c r="C109" s="25">
        <v>4.8611111111111112E-3</v>
      </c>
      <c r="D109" s="13">
        <f t="shared" si="9"/>
        <v>7</v>
      </c>
      <c r="E109" s="25">
        <v>5.2083333333333336E-2</v>
      </c>
      <c r="F109" s="4">
        <f t="shared" si="11"/>
        <v>4.7222222222222221E-2</v>
      </c>
      <c r="G109" s="14">
        <f t="shared" si="12"/>
        <v>68</v>
      </c>
      <c r="H109" t="s">
        <v>8</v>
      </c>
      <c r="I109" s="25">
        <v>4.027777777777778E-2</v>
      </c>
      <c r="J109" s="22">
        <f t="shared" si="10"/>
        <v>51</v>
      </c>
      <c r="K109" s="25">
        <v>0.34375</v>
      </c>
      <c r="L109" s="22">
        <f t="shared" si="7"/>
        <v>17</v>
      </c>
      <c r="M109" s="22" t="s">
        <v>89</v>
      </c>
    </row>
    <row r="110" spans="1:13" x14ac:dyDescent="0.3">
      <c r="A110" t="s">
        <v>164</v>
      </c>
      <c r="B110" s="5" t="s">
        <v>160</v>
      </c>
      <c r="C110" s="25">
        <v>5.5555555555555558E-3</v>
      </c>
      <c r="D110" s="13">
        <f t="shared" si="9"/>
        <v>8</v>
      </c>
      <c r="E110" s="25">
        <v>2.4999999999999998E-2</v>
      </c>
      <c r="F110" s="4">
        <f t="shared" si="11"/>
        <v>1.9444444444444441E-2</v>
      </c>
      <c r="G110" s="14">
        <f t="shared" si="12"/>
        <v>28</v>
      </c>
      <c r="H110" t="s">
        <v>8</v>
      </c>
      <c r="I110" s="25">
        <v>9.7222222222222224E-3</v>
      </c>
      <c r="J110" s="22">
        <f t="shared" si="10"/>
        <v>6</v>
      </c>
      <c r="K110" s="25">
        <v>0.36805555555555558</v>
      </c>
      <c r="L110" s="22">
        <f t="shared" si="7"/>
        <v>22</v>
      </c>
      <c r="M110" s="22" t="s">
        <v>89</v>
      </c>
    </row>
    <row r="111" spans="1:13" x14ac:dyDescent="0.3">
      <c r="A111" t="s">
        <v>164</v>
      </c>
      <c r="B111" s="5" t="s">
        <v>146</v>
      </c>
      <c r="C111" s="25">
        <v>2.0833333333333333E-3</v>
      </c>
      <c r="D111" s="13">
        <f t="shared" si="9"/>
        <v>3</v>
      </c>
      <c r="E111" s="25">
        <v>0.1451388888888889</v>
      </c>
      <c r="F111" s="4">
        <f t="shared" si="11"/>
        <v>0.14305555555555557</v>
      </c>
      <c r="G111" s="14">
        <f t="shared" si="12"/>
        <v>206</v>
      </c>
      <c r="H111" t="s">
        <v>8</v>
      </c>
      <c r="I111" s="25">
        <v>4.9999999999999996E-2</v>
      </c>
      <c r="J111" s="22">
        <f>(HOUR(I111)*60+MINUTE(I111)) - (D111)</f>
        <v>69</v>
      </c>
      <c r="K111" s="25">
        <v>0.27152777777777776</v>
      </c>
      <c r="L111" s="22">
        <f t="shared" si="7"/>
        <v>137</v>
      </c>
      <c r="M111" s="22" t="s">
        <v>89</v>
      </c>
    </row>
    <row r="112" spans="1:13" x14ac:dyDescent="0.3">
      <c r="A112" t="s">
        <v>164</v>
      </c>
      <c r="B112" s="5" t="s">
        <v>147</v>
      </c>
      <c r="C112" s="25">
        <v>5.5555555555555558E-3</v>
      </c>
      <c r="D112" s="13">
        <f t="shared" si="9"/>
        <v>8</v>
      </c>
      <c r="E112" t="s">
        <v>67</v>
      </c>
      <c r="F112" s="4" t="s">
        <v>67</v>
      </c>
      <c r="G112" s="14" t="s">
        <v>67</v>
      </c>
      <c r="H112" t="s">
        <v>8</v>
      </c>
      <c r="I112" s="25">
        <v>2.1527777777777781E-2</v>
      </c>
      <c r="J112" s="22">
        <f t="shared" si="10"/>
        <v>23</v>
      </c>
      <c r="K112" t="s">
        <v>67</v>
      </c>
      <c r="L112" s="22" t="e">
        <f t="shared" si="7"/>
        <v>#VALUE!</v>
      </c>
      <c r="M112" s="22" t="s">
        <v>90</v>
      </c>
    </row>
    <row r="113" spans="1:13" x14ac:dyDescent="0.3">
      <c r="A113" t="s">
        <v>164</v>
      </c>
      <c r="B113" s="5" t="s">
        <v>148</v>
      </c>
      <c r="C113" s="25">
        <v>3.472222222222222E-3</v>
      </c>
      <c r="D113" s="13">
        <f t="shared" si="9"/>
        <v>5</v>
      </c>
      <c r="E113" s="25">
        <v>6.3888888888888884E-2</v>
      </c>
      <c r="F113" s="4">
        <f t="shared" si="11"/>
        <v>6.041666666666666E-2</v>
      </c>
      <c r="G113" s="14">
        <f t="shared" si="12"/>
        <v>87</v>
      </c>
      <c r="H113" t="s">
        <v>8</v>
      </c>
      <c r="I113" s="25">
        <v>3.8194444444444441E-2</v>
      </c>
      <c r="J113" s="22">
        <f t="shared" si="10"/>
        <v>50</v>
      </c>
      <c r="K113" s="25">
        <v>0.34027777777777773</v>
      </c>
      <c r="L113" s="22">
        <f t="shared" si="7"/>
        <v>37</v>
      </c>
      <c r="M113" s="22" t="s">
        <v>89</v>
      </c>
    </row>
    <row r="114" spans="1:13" x14ac:dyDescent="0.3">
      <c r="A114" t="s">
        <v>164</v>
      </c>
      <c r="B114" s="5" t="s">
        <v>149</v>
      </c>
      <c r="C114" s="25">
        <v>3.472222222222222E-3</v>
      </c>
      <c r="D114" s="13">
        <f t="shared" si="9"/>
        <v>5</v>
      </c>
      <c r="E114" t="s">
        <v>67</v>
      </c>
      <c r="F114" s="4" t="s">
        <v>67</v>
      </c>
      <c r="G114" s="14" t="s">
        <v>67</v>
      </c>
      <c r="H114" t="s">
        <v>8</v>
      </c>
      <c r="I114" s="25">
        <v>3.8194444444444441E-2</v>
      </c>
      <c r="J114" s="22">
        <f t="shared" si="10"/>
        <v>50</v>
      </c>
      <c r="K114" t="s">
        <v>67</v>
      </c>
      <c r="L114" s="22" t="e">
        <f t="shared" si="7"/>
        <v>#VALUE!</v>
      </c>
      <c r="M114" s="22" t="s">
        <v>90</v>
      </c>
    </row>
  </sheetData>
  <sortState xmlns:xlrd2="http://schemas.microsoft.com/office/spreadsheetml/2017/richdata2" ref="A27:N55">
    <sortCondition ref="B27:B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8C9D-D7E2-4790-9B37-B2183E4A53CB}">
  <dimension ref="A1:J51"/>
  <sheetViews>
    <sheetView workbookViewId="0">
      <selection activeCell="L20" sqref="L20"/>
    </sheetView>
  </sheetViews>
  <sheetFormatPr defaultRowHeight="14.4" x14ac:dyDescent="0.3"/>
  <sheetData>
    <row r="1" spans="1:10" x14ac:dyDescent="0.3">
      <c r="A1" s="1" t="s">
        <v>72</v>
      </c>
      <c r="B1" s="1" t="s">
        <v>73</v>
      </c>
      <c r="C1" s="1" t="s">
        <v>69</v>
      </c>
      <c r="D1" s="1" t="s">
        <v>1</v>
      </c>
      <c r="E1" s="1" t="s">
        <v>70</v>
      </c>
      <c r="F1" s="1" t="s">
        <v>84</v>
      </c>
      <c r="G1" s="1" t="s">
        <v>3</v>
      </c>
      <c r="H1" s="1" t="s">
        <v>71</v>
      </c>
      <c r="I1" s="1" t="s">
        <v>4</v>
      </c>
      <c r="J1" s="1" t="s">
        <v>75</v>
      </c>
    </row>
    <row r="2" spans="1:10" x14ac:dyDescent="0.3">
      <c r="A2" t="s">
        <v>35</v>
      </c>
      <c r="B2" s="12" t="s">
        <v>39</v>
      </c>
      <c r="C2" s="11">
        <v>7.6388888888888886E-3</v>
      </c>
      <c r="D2" s="16" t="s">
        <v>67</v>
      </c>
      <c r="E2" s="4" t="s">
        <v>67</v>
      </c>
      <c r="F2" s="14" t="s">
        <v>67</v>
      </c>
      <c r="G2" s="16" t="s">
        <v>8</v>
      </c>
      <c r="H2" s="15">
        <v>7.4999999999999997E-2</v>
      </c>
      <c r="I2" s="17">
        <f xml:space="preserve"> 1 + (48/60)</f>
        <v>1.8</v>
      </c>
      <c r="J2">
        <v>78.878</v>
      </c>
    </row>
    <row r="3" spans="1:10" x14ac:dyDescent="0.3">
      <c r="A3" t="s">
        <v>6</v>
      </c>
      <c r="B3" s="2" t="s">
        <v>7</v>
      </c>
      <c r="C3" s="3">
        <v>1.2499999999999999E-2</v>
      </c>
      <c r="D3" s="4">
        <v>0.13402777777777777</v>
      </c>
      <c r="E3" s="4">
        <f xml:space="preserve"> D3-C3</f>
        <v>0.12152777777777778</v>
      </c>
      <c r="F3" s="14">
        <f xml:space="preserve"> 2 + (55/60)</f>
        <v>2.9166666666666665</v>
      </c>
      <c r="G3" s="2" t="s">
        <v>8</v>
      </c>
      <c r="H3" s="3">
        <v>6.3194444444444442E-2</v>
      </c>
      <c r="I3" s="13">
        <f xml:space="preserve"> 1 + (31/60)</f>
        <v>1.5166666666666666</v>
      </c>
      <c r="J3">
        <v>599.02300000000002</v>
      </c>
    </row>
    <row r="4" spans="1:10" x14ac:dyDescent="0.3">
      <c r="A4" t="s">
        <v>6</v>
      </c>
      <c r="B4" s="2" t="s">
        <v>9</v>
      </c>
      <c r="C4" s="3">
        <v>4.8611111111111112E-3</v>
      </c>
      <c r="D4" s="3" t="s">
        <v>67</v>
      </c>
      <c r="E4" s="4" t="s">
        <v>67</v>
      </c>
      <c r="F4" s="14" t="s">
        <v>67</v>
      </c>
      <c r="G4" s="2" t="s">
        <v>10</v>
      </c>
      <c r="H4" s="2" t="s">
        <v>67</v>
      </c>
      <c r="I4" s="13" t="s">
        <v>67</v>
      </c>
      <c r="J4">
        <v>72.7089</v>
      </c>
    </row>
    <row r="5" spans="1:10" x14ac:dyDescent="0.3">
      <c r="A5" t="s">
        <v>35</v>
      </c>
      <c r="B5" s="12" t="s">
        <v>57</v>
      </c>
      <c r="C5" s="11">
        <v>4.1666666666666666E-3</v>
      </c>
      <c r="D5" s="15">
        <v>6.0416666666666667E-2</v>
      </c>
      <c r="E5" s="4">
        <f xml:space="preserve"> D5-C5</f>
        <v>5.6250000000000001E-2</v>
      </c>
      <c r="F5" s="14">
        <f xml:space="preserve"> 1 + (21/60)</f>
        <v>1.35</v>
      </c>
      <c r="G5" s="16" t="s">
        <v>8</v>
      </c>
      <c r="H5" s="15">
        <v>4.583333333333333E-2</v>
      </c>
      <c r="I5" s="17">
        <f xml:space="preserve"> 1 + (6/60)</f>
        <v>1.1000000000000001</v>
      </c>
      <c r="J5">
        <v>9.9000000000000005E-2</v>
      </c>
    </row>
    <row r="6" spans="1:10" x14ac:dyDescent="0.3">
      <c r="A6" t="s">
        <v>6</v>
      </c>
      <c r="B6" s="5" t="s">
        <v>25</v>
      </c>
      <c r="C6" s="4">
        <v>4.8611111111111112E-3</v>
      </c>
      <c r="D6" s="4">
        <v>0.22500000000000001</v>
      </c>
      <c r="E6" s="4">
        <f xml:space="preserve"> D6-C6</f>
        <v>0.22013888888888888</v>
      </c>
      <c r="F6" s="14">
        <f xml:space="preserve"> 5 + (17/60)</f>
        <v>5.2833333333333332</v>
      </c>
      <c r="G6" s="5" t="s">
        <v>8</v>
      </c>
      <c r="H6" s="4">
        <v>2.1527777777777781E-2</v>
      </c>
      <c r="I6" s="14">
        <f xml:space="preserve"> 31/60</f>
        <v>0.51666666666666672</v>
      </c>
      <c r="J6">
        <v>176.46799999999999</v>
      </c>
    </row>
    <row r="7" spans="1:10" x14ac:dyDescent="0.3">
      <c r="A7" t="s">
        <v>6</v>
      </c>
      <c r="B7" s="5" t="s">
        <v>26</v>
      </c>
      <c r="C7" s="4">
        <v>5.5555555555555558E-3</v>
      </c>
      <c r="D7" s="4">
        <v>7.013888888888889E-2</v>
      </c>
      <c r="E7" s="4">
        <f xml:space="preserve"> D7-C7</f>
        <v>6.458333333333334E-2</v>
      </c>
      <c r="F7" s="14">
        <f xml:space="preserve"> 1 + (33/60)</f>
        <v>1.55</v>
      </c>
      <c r="G7" s="5" t="s">
        <v>8</v>
      </c>
      <c r="H7" s="4">
        <v>6.3888888888888884E-2</v>
      </c>
      <c r="I7" s="14">
        <f xml:space="preserve"> 1 + (32/60)</f>
        <v>1.5333333333333332</v>
      </c>
      <c r="J7">
        <v>531.19100000000003</v>
      </c>
    </row>
    <row r="8" spans="1:10" x14ac:dyDescent="0.3">
      <c r="A8" t="s">
        <v>35</v>
      </c>
      <c r="B8" s="12" t="s">
        <v>63</v>
      </c>
      <c r="C8" s="11">
        <v>4.1666666666666666E-3</v>
      </c>
      <c r="D8" s="15">
        <v>0.26874999999999999</v>
      </c>
      <c r="E8" s="4">
        <f xml:space="preserve"> D8-C8</f>
        <v>0.26458333333333334</v>
      </c>
      <c r="F8" s="14">
        <f xml:space="preserve"> 6 + (21/60)</f>
        <v>6.35</v>
      </c>
      <c r="G8" s="16" t="s">
        <v>8</v>
      </c>
      <c r="H8" s="15">
        <v>0.11527777777777778</v>
      </c>
      <c r="I8" s="17">
        <f xml:space="preserve"> 2 + (46/60)</f>
        <v>2.7666666666666666</v>
      </c>
      <c r="J8">
        <v>113.447</v>
      </c>
    </row>
    <row r="9" spans="1:10" x14ac:dyDescent="0.3">
      <c r="A9" t="s">
        <v>35</v>
      </c>
      <c r="B9" s="12" t="s">
        <v>65</v>
      </c>
      <c r="C9" s="11">
        <v>4.1666666666666666E-3</v>
      </c>
      <c r="D9" s="15" t="s">
        <v>67</v>
      </c>
      <c r="E9" s="4" t="s">
        <v>67</v>
      </c>
      <c r="F9" s="14" t="s">
        <v>67</v>
      </c>
      <c r="G9" s="16" t="s">
        <v>8</v>
      </c>
      <c r="H9" s="15">
        <v>0.10555555555555556</v>
      </c>
      <c r="I9" s="17">
        <f xml:space="preserve"> 2 + (32/60)</f>
        <v>2.5333333333333332</v>
      </c>
      <c r="J9">
        <v>3.903</v>
      </c>
    </row>
    <row r="10" spans="1:10" x14ac:dyDescent="0.3">
      <c r="A10" t="s">
        <v>35</v>
      </c>
      <c r="B10" s="12" t="s">
        <v>43</v>
      </c>
      <c r="C10" s="11">
        <v>6.9444444444444441E-3</v>
      </c>
      <c r="D10" s="15">
        <v>0.18055555555555555</v>
      </c>
      <c r="E10" s="4">
        <f xml:space="preserve"> D10-C10</f>
        <v>0.1736111111111111</v>
      </c>
      <c r="F10" s="14">
        <f xml:space="preserve"> 4 + (10/60)</f>
        <v>4.166666666666667</v>
      </c>
      <c r="G10" s="16" t="s">
        <v>8</v>
      </c>
      <c r="H10" s="15">
        <v>0.12916666666666668</v>
      </c>
      <c r="I10" s="17">
        <f xml:space="preserve"> 3 + (6/60)</f>
        <v>3.1</v>
      </c>
      <c r="J10">
        <v>6.7389999999999999</v>
      </c>
    </row>
    <row r="11" spans="1:10" x14ac:dyDescent="0.3">
      <c r="A11" t="s">
        <v>6</v>
      </c>
      <c r="B11" s="5" t="s">
        <v>29</v>
      </c>
      <c r="C11" s="4">
        <v>4.8611111111111112E-3</v>
      </c>
      <c r="D11" s="4">
        <v>0.14375000000000002</v>
      </c>
      <c r="E11" s="4">
        <f xml:space="preserve"> D11-C11</f>
        <v>0.1388888888888889</v>
      </c>
      <c r="F11" s="14">
        <f xml:space="preserve"> 3 + (20/60)</f>
        <v>3.3333333333333335</v>
      </c>
      <c r="G11" s="5" t="s">
        <v>8</v>
      </c>
      <c r="H11" s="4">
        <v>3.1944444444444449E-2</v>
      </c>
      <c r="I11" s="14">
        <f xml:space="preserve"> 46/60</f>
        <v>0.76666666666666672</v>
      </c>
      <c r="J11">
        <v>14.8421</v>
      </c>
    </row>
    <row r="12" spans="1:10" x14ac:dyDescent="0.3">
      <c r="A12" t="s">
        <v>6</v>
      </c>
      <c r="B12" s="5" t="s">
        <v>18</v>
      </c>
      <c r="C12" s="4">
        <v>6.2499999999999995E-3</v>
      </c>
      <c r="D12" s="4">
        <v>0.30902777777777779</v>
      </c>
      <c r="E12" s="4">
        <f xml:space="preserve"> D12-C12</f>
        <v>0.30277777777777781</v>
      </c>
      <c r="F12" s="14">
        <f xml:space="preserve"> 7 + 16/60</f>
        <v>7.2666666666666666</v>
      </c>
      <c r="G12" s="5" t="s">
        <v>8</v>
      </c>
      <c r="H12" s="4">
        <v>6.9444444444444441E-3</v>
      </c>
      <c r="I12" s="14">
        <f xml:space="preserve"> 10/60</f>
        <v>0.16666666666666666</v>
      </c>
      <c r="J12">
        <v>142.66900000000001</v>
      </c>
    </row>
    <row r="13" spans="1:10" x14ac:dyDescent="0.3">
      <c r="A13" t="s">
        <v>35</v>
      </c>
      <c r="B13" s="12" t="s">
        <v>38</v>
      </c>
      <c r="C13" s="11">
        <v>5.5555555555555558E-3</v>
      </c>
      <c r="D13" s="15">
        <v>0.27638888888888891</v>
      </c>
      <c r="E13" s="4">
        <f xml:space="preserve"> D13-C13</f>
        <v>0.27083333333333337</v>
      </c>
      <c r="F13" s="14">
        <f xml:space="preserve"> 6 + (30/60)</f>
        <v>6.5</v>
      </c>
      <c r="G13" s="16" t="s">
        <v>8</v>
      </c>
      <c r="H13" s="15">
        <v>0.27291666666666664</v>
      </c>
      <c r="I13" s="17">
        <f xml:space="preserve"> 6 + (33/60)</f>
        <v>6.55</v>
      </c>
      <c r="J13">
        <v>9.2420000000000009</v>
      </c>
    </row>
    <row r="14" spans="1:10" x14ac:dyDescent="0.3">
      <c r="A14" t="s">
        <v>35</v>
      </c>
      <c r="B14" s="12" t="s">
        <v>40</v>
      </c>
      <c r="C14" s="12" t="s">
        <v>41</v>
      </c>
      <c r="D14" s="16" t="s">
        <v>68</v>
      </c>
      <c r="E14" s="4" t="s">
        <v>67</v>
      </c>
      <c r="F14" s="14" t="s">
        <v>67</v>
      </c>
      <c r="G14" s="16" t="s">
        <v>10</v>
      </c>
      <c r="H14" s="16" t="s">
        <v>67</v>
      </c>
      <c r="I14" s="17" t="s">
        <v>67</v>
      </c>
      <c r="J14">
        <v>1.6E-2</v>
      </c>
    </row>
    <row r="15" spans="1:10" x14ac:dyDescent="0.3">
      <c r="A15" t="s">
        <v>6</v>
      </c>
      <c r="B15" s="2" t="s">
        <v>11</v>
      </c>
      <c r="C15" s="3">
        <v>3.472222222222222E-3</v>
      </c>
      <c r="D15" s="3" t="s">
        <v>67</v>
      </c>
      <c r="E15" s="4" t="s">
        <v>67</v>
      </c>
      <c r="F15" s="14" t="s">
        <v>67</v>
      </c>
      <c r="G15" s="2" t="s">
        <v>8</v>
      </c>
      <c r="H15" s="2" t="s">
        <v>67</v>
      </c>
      <c r="I15" s="13" t="s">
        <v>67</v>
      </c>
      <c r="J15">
        <v>599.02099999999996</v>
      </c>
    </row>
    <row r="16" spans="1:10" x14ac:dyDescent="0.3">
      <c r="A16" t="s">
        <v>35</v>
      </c>
      <c r="B16" s="12" t="s">
        <v>42</v>
      </c>
      <c r="C16" s="11">
        <v>4.8611111111111112E-3</v>
      </c>
      <c r="D16" s="15">
        <v>0.22430555555555556</v>
      </c>
      <c r="E16" s="4">
        <f xml:space="preserve"> D16-C16</f>
        <v>0.21944444444444444</v>
      </c>
      <c r="F16" s="14">
        <f xml:space="preserve"> 5 + (16/60)</f>
        <v>5.2666666666666666</v>
      </c>
      <c r="G16" s="16" t="s">
        <v>8</v>
      </c>
      <c r="H16" s="15">
        <v>0.20902777777777778</v>
      </c>
      <c r="I16" s="17">
        <f xml:space="preserve"> 5 + (1/60)</f>
        <v>5.0166666666666666</v>
      </c>
      <c r="J16">
        <v>10.159000000000001</v>
      </c>
    </row>
    <row r="17" spans="1:10" x14ac:dyDescent="0.3">
      <c r="A17" t="s">
        <v>35</v>
      </c>
      <c r="B17" s="12" t="s">
        <v>45</v>
      </c>
      <c r="C17" s="11">
        <v>5.5555555555555558E-3</v>
      </c>
      <c r="D17" s="16" t="s">
        <v>67</v>
      </c>
      <c r="E17" s="4" t="s">
        <v>67</v>
      </c>
      <c r="F17" s="14" t="s">
        <v>67</v>
      </c>
      <c r="G17" s="16" t="s">
        <v>8</v>
      </c>
      <c r="H17" s="15">
        <v>4.4444444444444446E-2</v>
      </c>
      <c r="I17" s="17">
        <f xml:space="preserve"> 1 + (4/60)</f>
        <v>1.0666666666666667</v>
      </c>
      <c r="J17">
        <v>82.248000000000005</v>
      </c>
    </row>
    <row r="18" spans="1:10" x14ac:dyDescent="0.3">
      <c r="A18" t="s">
        <v>6</v>
      </c>
      <c r="B18" s="5" t="s">
        <v>30</v>
      </c>
      <c r="C18" s="4">
        <v>7.6388888888888886E-3</v>
      </c>
      <c r="D18" s="4">
        <v>9.7222222222222224E-2</v>
      </c>
      <c r="E18" s="4">
        <f xml:space="preserve"> D18-C18</f>
        <v>8.9583333333333334E-2</v>
      </c>
      <c r="F18" s="14">
        <f xml:space="preserve"> 2 + (9/60)</f>
        <v>2.15</v>
      </c>
      <c r="G18" s="5" t="s">
        <v>8</v>
      </c>
      <c r="H18" s="4">
        <v>9.3055555555555558E-2</v>
      </c>
      <c r="I18" s="14">
        <f xml:space="preserve"> 2 + (14/60)</f>
        <v>2.2333333333333334</v>
      </c>
      <c r="J18">
        <v>451.702</v>
      </c>
    </row>
    <row r="19" spans="1:10" x14ac:dyDescent="0.3">
      <c r="A19" t="s">
        <v>6</v>
      </c>
      <c r="B19" s="5" t="s">
        <v>28</v>
      </c>
      <c r="C19" s="4">
        <v>5.5555555555555558E-3</v>
      </c>
      <c r="D19" s="4">
        <v>0.1986111111111111</v>
      </c>
      <c r="E19" s="4">
        <f xml:space="preserve"> D19-C19</f>
        <v>0.19305555555555554</v>
      </c>
      <c r="F19" s="14">
        <f xml:space="preserve"> 4 + (38/60)</f>
        <v>4.6333333333333329</v>
      </c>
      <c r="G19" s="5" t="s">
        <v>8</v>
      </c>
      <c r="H19" s="4">
        <v>0.13819444444444443</v>
      </c>
      <c r="I19" s="14">
        <f xml:space="preserve"> 3 + 19/60</f>
        <v>3.3166666666666664</v>
      </c>
      <c r="J19">
        <v>467.79899999999998</v>
      </c>
    </row>
    <row r="20" spans="1:10" x14ac:dyDescent="0.3">
      <c r="A20" t="s">
        <v>6</v>
      </c>
      <c r="B20" s="5" t="s">
        <v>27</v>
      </c>
      <c r="C20" s="4">
        <v>4.8611111111111112E-3</v>
      </c>
      <c r="D20" s="5" t="s">
        <v>67</v>
      </c>
      <c r="E20" s="4" t="s">
        <v>67</v>
      </c>
      <c r="F20" s="14" t="s">
        <v>67</v>
      </c>
      <c r="G20" s="5" t="s">
        <v>8</v>
      </c>
      <c r="H20" s="4">
        <v>1.7361111111111112E-2</v>
      </c>
      <c r="I20" s="14">
        <f xml:space="preserve"> 25/60</f>
        <v>0.41666666666666669</v>
      </c>
      <c r="J20">
        <v>165.464</v>
      </c>
    </row>
    <row r="21" spans="1:10" x14ac:dyDescent="0.3">
      <c r="A21" t="s">
        <v>35</v>
      </c>
      <c r="B21" s="12" t="s">
        <v>44</v>
      </c>
      <c r="C21" s="11">
        <v>9.7222222222222224E-3</v>
      </c>
      <c r="D21" s="15">
        <v>0.11666666666666667</v>
      </c>
      <c r="E21" s="4">
        <f xml:space="preserve"> D21-C21</f>
        <v>0.10694444444444445</v>
      </c>
      <c r="F21" s="14">
        <f xml:space="preserve"> 2 + (34/60)</f>
        <v>2.5666666666666664</v>
      </c>
      <c r="G21" s="16" t="s">
        <v>8</v>
      </c>
      <c r="H21" s="15">
        <v>6.9444444444444448E-2</v>
      </c>
      <c r="I21" s="17">
        <f xml:space="preserve"> 1 + (40/60)</f>
        <v>1.6666666666666665</v>
      </c>
      <c r="J21">
        <v>95.161000000000001</v>
      </c>
    </row>
    <row r="22" spans="1:10" x14ac:dyDescent="0.3">
      <c r="A22" t="s">
        <v>6</v>
      </c>
      <c r="B22" s="5" t="s">
        <v>20</v>
      </c>
      <c r="C22" s="4">
        <v>4.1666666666666666E-3</v>
      </c>
      <c r="D22" s="4">
        <v>6.5277777777777782E-2</v>
      </c>
      <c r="E22" s="4">
        <f xml:space="preserve"> D22-C22</f>
        <v>6.1111111111111116E-2</v>
      </c>
      <c r="F22" s="14">
        <f xml:space="preserve"> 1 + (28/60)</f>
        <v>1.4666666666666668</v>
      </c>
      <c r="G22" s="5" t="s">
        <v>8</v>
      </c>
      <c r="H22" s="4">
        <v>5.0694444444444452E-2</v>
      </c>
      <c r="I22" s="14">
        <f xml:space="preserve"> 1 + (13/60)</f>
        <v>1.2166666666666668</v>
      </c>
      <c r="J22">
        <v>62.296700000000001</v>
      </c>
    </row>
    <row r="23" spans="1:10" x14ac:dyDescent="0.3">
      <c r="A23" t="s">
        <v>35</v>
      </c>
      <c r="B23" s="12" t="s">
        <v>49</v>
      </c>
      <c r="C23" s="11">
        <v>6.2500000000000003E-3</v>
      </c>
      <c r="D23" s="15">
        <v>0.12013888888888889</v>
      </c>
      <c r="E23" s="4">
        <f xml:space="preserve"> D23-C23</f>
        <v>0.11388888888888889</v>
      </c>
      <c r="F23" s="14">
        <f xml:space="preserve"> 2 + (44/60)</f>
        <v>2.7333333333333334</v>
      </c>
      <c r="G23" s="16" t="s">
        <v>8</v>
      </c>
      <c r="H23" s="15">
        <v>7.1527777777777773E-2</v>
      </c>
      <c r="I23" s="17">
        <f xml:space="preserve"> 1 + (43/60)</f>
        <v>1.7166666666666668</v>
      </c>
      <c r="J23">
        <v>228.54400000000001</v>
      </c>
    </row>
    <row r="24" spans="1:10" x14ac:dyDescent="0.3">
      <c r="A24" t="s">
        <v>35</v>
      </c>
      <c r="B24" s="12" t="s">
        <v>46</v>
      </c>
      <c r="C24" s="11">
        <v>6.9444444444444441E-3</v>
      </c>
      <c r="D24" s="16" t="s">
        <v>67</v>
      </c>
      <c r="E24" s="4" t="s">
        <v>67</v>
      </c>
      <c r="F24" s="14" t="s">
        <v>67</v>
      </c>
      <c r="G24" s="16" t="s">
        <v>10</v>
      </c>
      <c r="H24" s="16" t="s">
        <v>67</v>
      </c>
      <c r="I24" s="17" t="s">
        <v>67</v>
      </c>
      <c r="J24">
        <v>0</v>
      </c>
    </row>
    <row r="25" spans="1:10" x14ac:dyDescent="0.3">
      <c r="A25" t="s">
        <v>35</v>
      </c>
      <c r="B25" s="12" t="s">
        <v>64</v>
      </c>
      <c r="C25" s="11">
        <v>4.1666666666666666E-3</v>
      </c>
      <c r="D25" s="15">
        <v>0.10486111111111111</v>
      </c>
      <c r="E25" s="4">
        <f xml:space="preserve"> D25-C25</f>
        <v>0.10069444444444445</v>
      </c>
      <c r="F25" s="14">
        <f xml:space="preserve"> 2 + (25/60)</f>
        <v>2.4166666666666665</v>
      </c>
      <c r="G25" s="16" t="s">
        <v>8</v>
      </c>
      <c r="H25" s="15">
        <v>3.1944444444444442E-2</v>
      </c>
      <c r="I25" s="17">
        <f xml:space="preserve"> 46/60</f>
        <v>0.76666666666666672</v>
      </c>
      <c r="J25">
        <v>67.233000000000004</v>
      </c>
    </row>
    <row r="26" spans="1:10" x14ac:dyDescent="0.3">
      <c r="A26" t="s">
        <v>35</v>
      </c>
      <c r="B26" s="10" t="s">
        <v>37</v>
      </c>
      <c r="C26" s="11">
        <v>4.1666666666666666E-3</v>
      </c>
      <c r="D26" s="8">
        <v>0.10069444444444445</v>
      </c>
      <c r="E26" s="4">
        <f xml:space="preserve"> D26-C26</f>
        <v>9.6527777777777782E-2</v>
      </c>
      <c r="F26" s="14">
        <f xml:space="preserve"> 2 + (19/60)</f>
        <v>2.3166666666666664</v>
      </c>
      <c r="G26" s="9" t="s">
        <v>8</v>
      </c>
      <c r="H26" s="8">
        <v>6.5972222222222224E-2</v>
      </c>
      <c r="I26" s="17">
        <f xml:space="preserve"> 1 + (35/60)</f>
        <v>1.5833333333333335</v>
      </c>
      <c r="J26">
        <v>13.396000000000001</v>
      </c>
    </row>
    <row r="27" spans="1:10" x14ac:dyDescent="0.3">
      <c r="A27" t="s">
        <v>35</v>
      </c>
      <c r="B27" s="12" t="s">
        <v>50</v>
      </c>
      <c r="C27" s="11">
        <v>5.5555555555555558E-3</v>
      </c>
      <c r="D27" s="9" t="s">
        <v>67</v>
      </c>
      <c r="E27" s="4" t="s">
        <v>67</v>
      </c>
      <c r="F27" s="14" t="s">
        <v>67</v>
      </c>
      <c r="G27" s="9" t="s">
        <v>8</v>
      </c>
      <c r="H27" s="8">
        <v>0.31319444444444444</v>
      </c>
      <c r="I27" s="17">
        <f xml:space="preserve"> 7 + (31/60)</f>
        <v>7.5166666666666666</v>
      </c>
      <c r="J27">
        <v>5.8049999999999997</v>
      </c>
    </row>
    <row r="28" spans="1:10" x14ac:dyDescent="0.3">
      <c r="A28" t="s">
        <v>6</v>
      </c>
      <c r="B28" s="5" t="s">
        <v>17</v>
      </c>
      <c r="C28" s="4">
        <v>4.8611111111111112E-3</v>
      </c>
      <c r="D28" s="18">
        <v>0.32847222222222222</v>
      </c>
      <c r="E28" s="4">
        <f xml:space="preserve"> D28-C28</f>
        <v>0.32361111111111113</v>
      </c>
      <c r="F28" s="14">
        <f xml:space="preserve"> 7 + 46/60</f>
        <v>7.7666666666666666</v>
      </c>
      <c r="G28" s="19" t="s">
        <v>8</v>
      </c>
      <c r="H28" s="18">
        <v>3.7499999999999999E-2</v>
      </c>
      <c r="I28" s="14">
        <f xml:space="preserve"> 54/60</f>
        <v>0.9</v>
      </c>
      <c r="J28">
        <v>5.7045399999999997</v>
      </c>
    </row>
    <row r="29" spans="1:10" x14ac:dyDescent="0.3">
      <c r="A29" t="s">
        <v>6</v>
      </c>
      <c r="B29" s="5" t="s">
        <v>31</v>
      </c>
      <c r="C29" s="4">
        <v>6.9444444444444441E-3</v>
      </c>
      <c r="D29" s="18">
        <v>0.12361111111111112</v>
      </c>
      <c r="E29" s="4">
        <f xml:space="preserve"> D29-C29</f>
        <v>0.11666666666666667</v>
      </c>
      <c r="F29" s="14">
        <f xml:space="preserve"> 2 + (48/60)</f>
        <v>2.8</v>
      </c>
      <c r="G29" s="19" t="s">
        <v>8</v>
      </c>
      <c r="H29" s="18">
        <v>0.11527777777777777</v>
      </c>
      <c r="I29" s="14">
        <f xml:space="preserve"> 2 + (46/60)</f>
        <v>2.7666666666666666</v>
      </c>
      <c r="J29">
        <v>16.8416</v>
      </c>
    </row>
    <row r="30" spans="1:10" x14ac:dyDescent="0.3">
      <c r="A30" t="s">
        <v>6</v>
      </c>
      <c r="B30" s="5" t="s">
        <v>21</v>
      </c>
      <c r="C30" s="4">
        <v>6.9444444444444441E-3</v>
      </c>
      <c r="D30" s="18">
        <v>4.6527777777777779E-2</v>
      </c>
      <c r="E30" s="4">
        <f xml:space="preserve"> D30-C30</f>
        <v>3.9583333333333331E-2</v>
      </c>
      <c r="F30" s="14">
        <f xml:space="preserve"> 57/60</f>
        <v>0.95</v>
      </c>
      <c r="G30" s="19" t="s">
        <v>8</v>
      </c>
      <c r="H30" s="18">
        <v>1.2499999999999999E-2</v>
      </c>
      <c r="I30" s="14">
        <f xml:space="preserve"> 18/60</f>
        <v>0.3</v>
      </c>
      <c r="J30">
        <v>96.257199999999997</v>
      </c>
    </row>
    <row r="31" spans="1:10" x14ac:dyDescent="0.3">
      <c r="A31" t="s">
        <v>35</v>
      </c>
      <c r="B31" s="12" t="s">
        <v>51</v>
      </c>
      <c r="C31" s="11">
        <v>8.3333333333333332E-3</v>
      </c>
      <c r="D31" s="8">
        <v>0.31041666666666667</v>
      </c>
      <c r="E31" s="4">
        <f xml:space="preserve"> D31-C31</f>
        <v>0.30208333333333331</v>
      </c>
      <c r="F31" s="14">
        <f xml:space="preserve"> 7 + (15/60)</f>
        <v>7.25</v>
      </c>
      <c r="G31" s="9" t="s">
        <v>8</v>
      </c>
      <c r="H31" s="8">
        <v>0.30416666666666664</v>
      </c>
      <c r="I31" s="17">
        <f xml:space="preserve"> 7 + (18/60)</f>
        <v>7.3</v>
      </c>
      <c r="J31">
        <v>0</v>
      </c>
    </row>
    <row r="32" spans="1:10" x14ac:dyDescent="0.3">
      <c r="A32" t="s">
        <v>35</v>
      </c>
      <c r="B32" s="6" t="s">
        <v>36</v>
      </c>
      <c r="C32" s="7">
        <v>4.8611111111111112E-3</v>
      </c>
      <c r="D32" s="8">
        <v>0.10625</v>
      </c>
      <c r="E32" s="4">
        <f xml:space="preserve"> D32-C32</f>
        <v>0.10138888888888889</v>
      </c>
      <c r="F32" s="14">
        <f xml:space="preserve"> 2 + (26/60)</f>
        <v>2.4333333333333336</v>
      </c>
      <c r="G32" s="9" t="s">
        <v>8</v>
      </c>
      <c r="H32" s="8">
        <v>4.7222222222222221E-2</v>
      </c>
      <c r="I32" s="17">
        <f xml:space="preserve"> 1 + (8/60)</f>
        <v>1.1333333333333333</v>
      </c>
      <c r="J32">
        <v>92.707999999999998</v>
      </c>
    </row>
    <row r="33" spans="1:10" x14ac:dyDescent="0.3">
      <c r="A33" t="s">
        <v>35</v>
      </c>
      <c r="B33" s="12" t="s">
        <v>62</v>
      </c>
      <c r="C33" s="11">
        <v>5.5555555555555558E-3</v>
      </c>
      <c r="D33" s="8" t="s">
        <v>67</v>
      </c>
      <c r="E33" s="4" t="s">
        <v>67</v>
      </c>
      <c r="F33" s="14" t="s">
        <v>67</v>
      </c>
      <c r="G33" s="9" t="s">
        <v>8</v>
      </c>
      <c r="H33" s="8">
        <v>0.1111111111111111</v>
      </c>
      <c r="I33" s="17">
        <f xml:space="preserve"> 2 + (40/60)</f>
        <v>2.6666666666666665</v>
      </c>
      <c r="J33">
        <v>0</v>
      </c>
    </row>
    <row r="34" spans="1:10" x14ac:dyDescent="0.3">
      <c r="A34" t="s">
        <v>6</v>
      </c>
      <c r="B34" s="5" t="s">
        <v>24</v>
      </c>
      <c r="C34" s="4">
        <v>5.5555555555555558E-3</v>
      </c>
      <c r="D34" s="19" t="s">
        <v>67</v>
      </c>
      <c r="E34" s="4" t="s">
        <v>67</v>
      </c>
      <c r="F34" s="14" t="s">
        <v>67</v>
      </c>
      <c r="G34" s="19" t="s">
        <v>8</v>
      </c>
      <c r="H34" s="18">
        <v>4.8611111111111112E-2</v>
      </c>
      <c r="I34" s="14">
        <f xml:space="preserve"> 1 + (10/60)</f>
        <v>1.1666666666666667</v>
      </c>
      <c r="J34">
        <v>68.033199999999994</v>
      </c>
    </row>
    <row r="35" spans="1:10" x14ac:dyDescent="0.3">
      <c r="A35" t="s">
        <v>35</v>
      </c>
      <c r="B35" s="12" t="s">
        <v>66</v>
      </c>
      <c r="C35" s="11">
        <v>3.472222222222222E-3</v>
      </c>
      <c r="D35" s="8">
        <v>0.16388888888888889</v>
      </c>
      <c r="E35" s="4">
        <f xml:space="preserve"> D35-C35</f>
        <v>0.16041666666666668</v>
      </c>
      <c r="F35" s="14">
        <f xml:space="preserve"> 3 + (51/60)</f>
        <v>3.85</v>
      </c>
      <c r="G35" s="9" t="s">
        <v>8</v>
      </c>
      <c r="H35" s="8">
        <v>0.14861111111111111</v>
      </c>
      <c r="I35" s="17">
        <f xml:space="preserve"> 3 + (34/60)</f>
        <v>3.5666666666666664</v>
      </c>
      <c r="J35">
        <v>0</v>
      </c>
    </row>
    <row r="36" spans="1:10" x14ac:dyDescent="0.3">
      <c r="A36" t="s">
        <v>6</v>
      </c>
      <c r="B36" s="5" t="s">
        <v>22</v>
      </c>
      <c r="C36" s="4">
        <v>6.2499999999999995E-3</v>
      </c>
      <c r="D36" s="19" t="s">
        <v>67</v>
      </c>
      <c r="E36" s="4" t="s">
        <v>67</v>
      </c>
      <c r="F36" s="14" t="s">
        <v>67</v>
      </c>
      <c r="G36" s="19" t="s">
        <v>23</v>
      </c>
      <c r="H36" s="18">
        <v>6.1805555555555558E-2</v>
      </c>
      <c r="I36" s="14">
        <f xml:space="preserve"> 1 + (29/60)</f>
        <v>1.4833333333333334</v>
      </c>
      <c r="J36">
        <v>599.02599999999995</v>
      </c>
    </row>
    <row r="37" spans="1:10" x14ac:dyDescent="0.3">
      <c r="A37" t="s">
        <v>6</v>
      </c>
      <c r="B37" s="5" t="s">
        <v>32</v>
      </c>
      <c r="C37" s="4">
        <v>5.5555555555555558E-3</v>
      </c>
      <c r="D37" s="18">
        <v>0.17430555555555557</v>
      </c>
      <c r="E37" s="4">
        <f xml:space="preserve"> D37-C37</f>
        <v>0.16875000000000001</v>
      </c>
      <c r="F37" s="14">
        <f xml:space="preserve"> 4 + (3/60)</f>
        <v>4.05</v>
      </c>
      <c r="G37" s="19" t="s">
        <v>8</v>
      </c>
      <c r="H37" s="18">
        <v>2.5694444444444447E-2</v>
      </c>
      <c r="I37" s="14">
        <f xml:space="preserve"> 37/60</f>
        <v>0.6166666666666667</v>
      </c>
      <c r="J37">
        <v>72.269900000000007</v>
      </c>
    </row>
    <row r="38" spans="1:10" x14ac:dyDescent="0.3">
      <c r="A38" t="s">
        <v>6</v>
      </c>
      <c r="B38" s="5" t="s">
        <v>33</v>
      </c>
      <c r="C38" s="4">
        <v>9.0277777777777787E-3</v>
      </c>
      <c r="D38" s="18">
        <v>0.13541666666666666</v>
      </c>
      <c r="E38" s="4">
        <f xml:space="preserve"> D38-C38</f>
        <v>0.12638888888888888</v>
      </c>
      <c r="F38" s="14">
        <f xml:space="preserve"> 3 + (2/60)</f>
        <v>3.0333333333333332</v>
      </c>
      <c r="G38" s="19" t="s">
        <v>8</v>
      </c>
      <c r="H38" s="18">
        <v>6.5972222222222224E-2</v>
      </c>
      <c r="I38" s="14">
        <f xml:space="preserve"> 1 + (35/60)</f>
        <v>1.5833333333333335</v>
      </c>
      <c r="J38">
        <v>217.30600000000001</v>
      </c>
    </row>
    <row r="39" spans="1:10" x14ac:dyDescent="0.3">
      <c r="A39" t="s">
        <v>35</v>
      </c>
      <c r="B39" s="12" t="s">
        <v>59</v>
      </c>
      <c r="C39" s="11">
        <v>5.5555555555555558E-3</v>
      </c>
      <c r="D39" s="8" t="s">
        <v>67</v>
      </c>
      <c r="E39" s="4" t="s">
        <v>67</v>
      </c>
      <c r="F39" s="14" t="s">
        <v>67</v>
      </c>
      <c r="G39" s="9" t="s">
        <v>8</v>
      </c>
      <c r="H39" s="8">
        <v>5.347222222222222E-2</v>
      </c>
      <c r="I39" s="17">
        <f xml:space="preserve"> 1 + (17/60)</f>
        <v>1.2833333333333332</v>
      </c>
      <c r="J39">
        <v>66.866</v>
      </c>
    </row>
    <row r="40" spans="1:10" x14ac:dyDescent="0.3">
      <c r="A40" t="s">
        <v>6</v>
      </c>
      <c r="B40" s="5" t="s">
        <v>16</v>
      </c>
      <c r="C40" s="4">
        <v>4.1666666666666666E-3</v>
      </c>
      <c r="D40" s="18">
        <v>0.21180555555555555</v>
      </c>
      <c r="E40" s="4">
        <f xml:space="preserve"> D40-C40</f>
        <v>0.20763888888888887</v>
      </c>
      <c r="F40" s="14">
        <f xml:space="preserve"> 4 + 59/60</f>
        <v>4.9833333333333334</v>
      </c>
      <c r="G40" s="19" t="s">
        <v>8</v>
      </c>
      <c r="H40" s="18">
        <v>7.3611111111111113E-2</v>
      </c>
      <c r="I40" s="14">
        <f xml:space="preserve"> 1 + (46/60)</f>
        <v>1.7666666666666666</v>
      </c>
      <c r="J40">
        <v>0</v>
      </c>
    </row>
    <row r="41" spans="1:10" x14ac:dyDescent="0.3">
      <c r="A41" t="s">
        <v>6</v>
      </c>
      <c r="B41" s="5" t="s">
        <v>19</v>
      </c>
      <c r="C41" s="4">
        <v>4.8611111111111112E-3</v>
      </c>
      <c r="D41" s="18">
        <v>0.10416666666666667</v>
      </c>
      <c r="E41" s="4">
        <f xml:space="preserve"> D41-C41</f>
        <v>9.9305555555555564E-2</v>
      </c>
      <c r="F41" s="14">
        <f xml:space="preserve"> 2 +23/60</f>
        <v>2.3833333333333333</v>
      </c>
      <c r="G41" s="19" t="s">
        <v>8</v>
      </c>
      <c r="H41" s="18">
        <v>5.9722222222222225E-2</v>
      </c>
      <c r="I41" s="14">
        <f xml:space="preserve"> 1 + (26/60)</f>
        <v>1.4333333333333333</v>
      </c>
      <c r="J41">
        <v>132.965</v>
      </c>
    </row>
    <row r="42" spans="1:10" x14ac:dyDescent="0.3">
      <c r="A42" t="s">
        <v>35</v>
      </c>
      <c r="B42" s="12" t="s">
        <v>58</v>
      </c>
      <c r="C42" s="11">
        <v>2.0833333333333333E-3</v>
      </c>
      <c r="D42" s="8" t="s">
        <v>67</v>
      </c>
      <c r="E42" s="4" t="s">
        <v>67</v>
      </c>
      <c r="F42" s="14" t="s">
        <v>67</v>
      </c>
      <c r="G42" s="9" t="s">
        <v>8</v>
      </c>
      <c r="H42" s="8">
        <v>0.40138888888888891</v>
      </c>
      <c r="I42" s="17">
        <f xml:space="preserve"> 9 + (38/60)</f>
        <v>9.6333333333333329</v>
      </c>
      <c r="J42">
        <v>0</v>
      </c>
    </row>
    <row r="43" spans="1:10" x14ac:dyDescent="0.3">
      <c r="A43" t="s">
        <v>6</v>
      </c>
      <c r="B43" s="2" t="s">
        <v>13</v>
      </c>
      <c r="C43" s="3">
        <v>5.5555555555555558E-3</v>
      </c>
      <c r="D43" s="20">
        <v>0.31111111111111112</v>
      </c>
      <c r="E43" s="4">
        <f xml:space="preserve"> D43-C43</f>
        <v>0.30555555555555558</v>
      </c>
      <c r="F43" s="14">
        <f xml:space="preserve"> 7 + 20/60</f>
        <v>7.333333333333333</v>
      </c>
      <c r="G43" s="21" t="s">
        <v>8</v>
      </c>
      <c r="H43" s="20">
        <v>0.1451388888888889</v>
      </c>
      <c r="I43" s="13">
        <f xml:space="preserve"> 3 + (29/60)</f>
        <v>3.4833333333333334</v>
      </c>
      <c r="J43">
        <v>599.01800000000003</v>
      </c>
    </row>
    <row r="44" spans="1:10" x14ac:dyDescent="0.3">
      <c r="A44" t="s">
        <v>35</v>
      </c>
      <c r="B44" s="10" t="s">
        <v>52</v>
      </c>
      <c r="C44" s="11">
        <v>2.7777777777777779E-3</v>
      </c>
      <c r="D44" s="8" t="s">
        <v>67</v>
      </c>
      <c r="E44" s="4" t="s">
        <v>67</v>
      </c>
      <c r="F44" s="14" t="s">
        <v>67</v>
      </c>
      <c r="G44" s="9" t="s">
        <v>8</v>
      </c>
      <c r="H44" s="8">
        <v>0.12222222222222222</v>
      </c>
      <c r="I44" s="17">
        <f xml:space="preserve"> 2 + (56/60)</f>
        <v>2.9333333333333336</v>
      </c>
      <c r="J44">
        <v>98.114000000000004</v>
      </c>
    </row>
    <row r="45" spans="1:10" x14ac:dyDescent="0.3">
      <c r="A45" t="s">
        <v>35</v>
      </c>
      <c r="B45" s="12" t="s">
        <v>53</v>
      </c>
      <c r="C45" s="11">
        <v>5.5555555555555558E-3</v>
      </c>
      <c r="D45" s="8">
        <v>0.1451388888888889</v>
      </c>
      <c r="E45" s="4">
        <f xml:space="preserve"> D45-C45</f>
        <v>0.13958333333333334</v>
      </c>
      <c r="F45" s="14">
        <f xml:space="preserve"> 3 + (21/60)</f>
        <v>3.35</v>
      </c>
      <c r="G45" s="9" t="s">
        <v>8</v>
      </c>
      <c r="H45" s="8">
        <v>0.14097222222222222</v>
      </c>
      <c r="I45" s="17">
        <f xml:space="preserve"> 3 + (23/60)</f>
        <v>3.3833333333333333</v>
      </c>
      <c r="J45">
        <v>26.459</v>
      </c>
    </row>
    <row r="46" spans="1:10" x14ac:dyDescent="0.3">
      <c r="A46" t="s">
        <v>6</v>
      </c>
      <c r="B46" s="5" t="s">
        <v>34</v>
      </c>
      <c r="C46" s="3">
        <v>7.6388888888888886E-3</v>
      </c>
      <c r="D46" s="20">
        <v>4.4444444444444446E-2</v>
      </c>
      <c r="E46" s="4">
        <f xml:space="preserve"> D46-C46</f>
        <v>3.6805555555555557E-2</v>
      </c>
      <c r="F46" s="14">
        <f xml:space="preserve"> 53/60</f>
        <v>0.8833333333333333</v>
      </c>
      <c r="G46" s="19" t="s">
        <v>8</v>
      </c>
      <c r="H46" s="20">
        <v>1.0416666666666666E-2</v>
      </c>
      <c r="I46" s="13">
        <f xml:space="preserve"> 15/60</f>
        <v>0.25</v>
      </c>
      <c r="J46">
        <v>242.08500000000001</v>
      </c>
    </row>
    <row r="47" spans="1:10" x14ac:dyDescent="0.3">
      <c r="A47" t="s">
        <v>6</v>
      </c>
      <c r="B47" s="5" t="s">
        <v>15</v>
      </c>
      <c r="C47" s="4">
        <v>4.1666666666666666E-3</v>
      </c>
      <c r="D47" s="18">
        <v>0.10416666666666667</v>
      </c>
      <c r="E47" s="4">
        <f xml:space="preserve"> D47-C47</f>
        <v>0.1</v>
      </c>
      <c r="F47" s="14">
        <f xml:space="preserve"> 2 + 24/60</f>
        <v>2.4</v>
      </c>
      <c r="G47" s="19" t="s">
        <v>8</v>
      </c>
      <c r="H47" s="18">
        <v>2.013888888888889E-2</v>
      </c>
      <c r="I47" s="14">
        <f xml:space="preserve"> 29/60</f>
        <v>0.48333333333333334</v>
      </c>
      <c r="J47">
        <v>102.884</v>
      </c>
    </row>
    <row r="48" spans="1:10" x14ac:dyDescent="0.3">
      <c r="A48" t="s">
        <v>6</v>
      </c>
      <c r="B48" s="5" t="s">
        <v>14</v>
      </c>
      <c r="C48" s="4">
        <v>4.8611111111111112E-3</v>
      </c>
      <c r="D48" s="20" t="s">
        <v>67</v>
      </c>
      <c r="E48" s="4" t="s">
        <v>67</v>
      </c>
      <c r="F48" s="14" t="s">
        <v>67</v>
      </c>
      <c r="G48" s="19" t="s">
        <v>8</v>
      </c>
      <c r="H48" s="18">
        <v>0.11527777777777777</v>
      </c>
      <c r="I48" s="14">
        <f xml:space="preserve"> 2 + (46/60)</f>
        <v>2.7666666666666666</v>
      </c>
      <c r="J48">
        <v>599.02200000000005</v>
      </c>
    </row>
    <row r="49" spans="1:10" x14ac:dyDescent="0.3">
      <c r="A49" t="s">
        <v>35</v>
      </c>
      <c r="B49" s="12" t="s">
        <v>54</v>
      </c>
      <c r="C49" s="11">
        <v>3.472222222222222E-3</v>
      </c>
      <c r="D49" s="8">
        <v>5.9027777777777776E-2</v>
      </c>
      <c r="E49" s="4">
        <f xml:space="preserve"> D49-C49</f>
        <v>5.5555555555555552E-2</v>
      </c>
      <c r="F49" s="14">
        <f xml:space="preserve"> 1 + (20/60)</f>
        <v>1.3333333333333333</v>
      </c>
      <c r="G49" s="9" t="s">
        <v>8</v>
      </c>
      <c r="H49" s="8">
        <v>5.2777777777777778E-2</v>
      </c>
      <c r="I49" s="17">
        <f xml:space="preserve"> 1 + (16/60)</f>
        <v>1.2666666666666666</v>
      </c>
      <c r="J49">
        <v>0</v>
      </c>
    </row>
    <row r="50" spans="1:10" x14ac:dyDescent="0.3">
      <c r="A50" t="s">
        <v>35</v>
      </c>
      <c r="B50" s="12" t="s">
        <v>55</v>
      </c>
      <c r="C50" s="11">
        <v>2.7777777777777779E-3</v>
      </c>
      <c r="D50" s="8">
        <v>0.3576388888888889</v>
      </c>
      <c r="E50" s="4">
        <f xml:space="preserve"> D50-C50</f>
        <v>0.35486111111111113</v>
      </c>
      <c r="F50" s="14">
        <f xml:space="preserve"> 8 + (31/60)</f>
        <v>8.5166666666666675</v>
      </c>
      <c r="G50" s="9" t="s">
        <v>8</v>
      </c>
      <c r="H50" s="8">
        <v>3.8194444444444448E-2</v>
      </c>
      <c r="I50" s="17">
        <f xml:space="preserve"> 55/60</f>
        <v>0.91666666666666663</v>
      </c>
      <c r="J50">
        <v>39.655000000000001</v>
      </c>
    </row>
    <row r="51" spans="1:10" x14ac:dyDescent="0.3">
      <c r="A51" t="s">
        <v>35</v>
      </c>
      <c r="B51" s="12" t="s">
        <v>56</v>
      </c>
      <c r="C51" s="11">
        <v>2.7777777777777779E-3</v>
      </c>
      <c r="D51" s="8" t="s">
        <v>67</v>
      </c>
      <c r="E51" s="4" t="s">
        <v>67</v>
      </c>
      <c r="F51" s="14" t="s">
        <v>67</v>
      </c>
      <c r="G51" s="9" t="s">
        <v>8</v>
      </c>
      <c r="H51" s="8">
        <v>0.11319444444444444</v>
      </c>
      <c r="I51" s="17">
        <f xml:space="preserve"> 2 + (43/60)</f>
        <v>2.7166666666666668</v>
      </c>
      <c r="J51">
        <v>6.5389999999999997</v>
      </c>
    </row>
  </sheetData>
  <sortState xmlns:xlrd2="http://schemas.microsoft.com/office/spreadsheetml/2017/richdata2" ref="A2:J51">
    <sortCondition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A89E-44AA-4DE3-A20B-66FAE7D13536}">
  <dimension ref="A1:J56"/>
  <sheetViews>
    <sheetView topLeftCell="A30" workbookViewId="0">
      <selection activeCell="C2" sqref="C2:F56"/>
    </sheetView>
  </sheetViews>
  <sheetFormatPr defaultRowHeight="14.4" x14ac:dyDescent="0.3"/>
  <sheetData>
    <row r="1" spans="1:10" x14ac:dyDescent="0.3">
      <c r="A1" s="1" t="s">
        <v>0</v>
      </c>
      <c r="B1" s="1" t="s">
        <v>74</v>
      </c>
      <c r="C1" s="1" t="s">
        <v>69</v>
      </c>
      <c r="D1" s="1" t="s">
        <v>1</v>
      </c>
      <c r="E1" s="1" t="s">
        <v>70</v>
      </c>
      <c r="F1" s="1" t="s">
        <v>2</v>
      </c>
      <c r="G1" s="1" t="s">
        <v>3</v>
      </c>
      <c r="H1" s="1" t="s">
        <v>71</v>
      </c>
      <c r="I1" s="1" t="s">
        <v>4</v>
      </c>
    </row>
    <row r="2" spans="1:10" x14ac:dyDescent="0.3">
      <c r="A2" t="s">
        <v>35</v>
      </c>
      <c r="B2" t="s">
        <v>7</v>
      </c>
      <c r="C2" s="11">
        <v>7.6388888888888886E-3</v>
      </c>
      <c r="D2" s="16" t="s">
        <v>67</v>
      </c>
      <c r="E2" s="4" t="s">
        <v>67</v>
      </c>
      <c r="F2" s="14" t="s">
        <v>67</v>
      </c>
      <c r="G2" s="16" t="s">
        <v>8</v>
      </c>
      <c r="H2" s="15">
        <v>7.4999999999999997E-2</v>
      </c>
      <c r="I2" s="17">
        <f xml:space="preserve"> 1 + (48/60)</f>
        <v>1.8</v>
      </c>
      <c r="J2">
        <v>599.02300000000002</v>
      </c>
    </row>
    <row r="3" spans="1:10" x14ac:dyDescent="0.3">
      <c r="A3" t="s">
        <v>6</v>
      </c>
      <c r="B3" t="s">
        <v>18</v>
      </c>
      <c r="C3" s="3">
        <v>1.2499999999999999E-2</v>
      </c>
      <c r="D3" s="4">
        <v>0.13402777777777777</v>
      </c>
      <c r="E3" s="4">
        <f xml:space="preserve"> D3-C3</f>
        <v>0.12152777777777778</v>
      </c>
      <c r="F3" s="14">
        <f xml:space="preserve"> 2 + (55/60)</f>
        <v>2.9166666666666665</v>
      </c>
      <c r="G3" s="2" t="s">
        <v>8</v>
      </c>
      <c r="H3" s="3">
        <v>6.3194444444444442E-2</v>
      </c>
      <c r="I3" s="13">
        <f xml:space="preserve"> 1 + (31/60)</f>
        <v>1.5166666666666666</v>
      </c>
      <c r="J3">
        <v>78.878</v>
      </c>
    </row>
    <row r="4" spans="1:10" x14ac:dyDescent="0.3">
      <c r="A4" t="s">
        <v>6</v>
      </c>
      <c r="B4" t="s">
        <v>9</v>
      </c>
      <c r="C4" s="3">
        <v>4.8611111111111112E-3</v>
      </c>
      <c r="D4" s="3" t="s">
        <v>67</v>
      </c>
      <c r="E4" s="4" t="s">
        <v>67</v>
      </c>
      <c r="F4" s="14" t="s">
        <v>67</v>
      </c>
      <c r="G4" s="2" t="s">
        <v>10</v>
      </c>
      <c r="H4" s="2" t="s">
        <v>67</v>
      </c>
      <c r="I4" s="13" t="s">
        <v>67</v>
      </c>
      <c r="J4">
        <v>72.7089</v>
      </c>
    </row>
    <row r="5" spans="1:10" x14ac:dyDescent="0.3">
      <c r="A5" t="s">
        <v>35</v>
      </c>
      <c r="B5" t="s">
        <v>16</v>
      </c>
      <c r="C5" s="11">
        <v>4.1666666666666666E-3</v>
      </c>
      <c r="D5" s="15">
        <v>6.0416666666666667E-2</v>
      </c>
      <c r="E5" s="4">
        <f xml:space="preserve"> D5-C5</f>
        <v>5.6250000000000001E-2</v>
      </c>
      <c r="F5" s="14">
        <f xml:space="preserve"> 1 + (21/60)</f>
        <v>1.35</v>
      </c>
      <c r="G5" s="16" t="s">
        <v>8</v>
      </c>
      <c r="H5" s="15">
        <v>4.583333333333333E-2</v>
      </c>
      <c r="I5" s="17">
        <f xml:space="preserve"> 1 + (6/60)</f>
        <v>1.1000000000000001</v>
      </c>
      <c r="J5">
        <v>9.9000000000000005E-2</v>
      </c>
    </row>
    <row r="6" spans="1:10" x14ac:dyDescent="0.3">
      <c r="A6" t="s">
        <v>6</v>
      </c>
      <c r="B6" t="s">
        <v>17</v>
      </c>
      <c r="C6" s="4">
        <v>4.8611111111111112E-3</v>
      </c>
      <c r="D6" s="4">
        <v>0.22500000000000001</v>
      </c>
      <c r="E6" s="4">
        <f xml:space="preserve"> D6-C6</f>
        <v>0.22013888888888888</v>
      </c>
      <c r="F6" s="14">
        <f xml:space="preserve"> 5 + (17/60)</f>
        <v>5.2833333333333332</v>
      </c>
      <c r="G6" s="5" t="s">
        <v>8</v>
      </c>
      <c r="H6" s="4">
        <v>2.1527777777777781E-2</v>
      </c>
      <c r="I6" s="14">
        <f xml:space="preserve"> 31/60</f>
        <v>0.51666666666666672</v>
      </c>
      <c r="J6">
        <v>113.447</v>
      </c>
    </row>
    <row r="7" spans="1:10" x14ac:dyDescent="0.3">
      <c r="A7" t="s">
        <v>6</v>
      </c>
      <c r="B7" t="s">
        <v>76</v>
      </c>
      <c r="C7" s="4">
        <v>5.5555555555555558E-3</v>
      </c>
      <c r="D7" s="4">
        <v>7.013888888888889E-2</v>
      </c>
      <c r="E7" s="4">
        <f xml:space="preserve"> D7-C7</f>
        <v>6.458333333333334E-2</v>
      </c>
      <c r="F7" s="14">
        <f xml:space="preserve"> 1 + (33/60)</f>
        <v>1.55</v>
      </c>
      <c r="G7" s="5" t="s">
        <v>8</v>
      </c>
      <c r="H7" s="4">
        <v>6.3888888888888884E-2</v>
      </c>
      <c r="I7" s="14">
        <f xml:space="preserve"> 1 + (32/60)</f>
        <v>1.5333333333333332</v>
      </c>
      <c r="J7">
        <v>3.903</v>
      </c>
    </row>
    <row r="8" spans="1:10" x14ac:dyDescent="0.3">
      <c r="A8" t="s">
        <v>35</v>
      </c>
      <c r="B8" t="s">
        <v>77</v>
      </c>
      <c r="C8" s="11">
        <v>4.1666666666666666E-3</v>
      </c>
      <c r="D8" s="15">
        <v>0.26874999999999999</v>
      </c>
      <c r="E8" s="4">
        <f xml:space="preserve"> D8-C8</f>
        <v>0.26458333333333334</v>
      </c>
      <c r="F8" s="14">
        <f xml:space="preserve"> 6 + (21/60)</f>
        <v>6.35</v>
      </c>
      <c r="G8" s="16" t="s">
        <v>8</v>
      </c>
      <c r="H8" s="15">
        <v>0.11527777777777778</v>
      </c>
      <c r="I8" s="17">
        <f xml:space="preserve"> 2 + (46/60)</f>
        <v>2.7666666666666666</v>
      </c>
      <c r="J8">
        <v>6.7389999999999999</v>
      </c>
    </row>
    <row r="9" spans="1:10" x14ac:dyDescent="0.3">
      <c r="A9" t="s">
        <v>35</v>
      </c>
      <c r="B9" t="s">
        <v>78</v>
      </c>
      <c r="C9" s="11">
        <v>4.1666666666666666E-3</v>
      </c>
      <c r="D9" s="15" t="s">
        <v>67</v>
      </c>
      <c r="E9" s="4" t="s">
        <v>67</v>
      </c>
      <c r="F9" s="14" t="s">
        <v>67</v>
      </c>
      <c r="G9" s="16" t="s">
        <v>8</v>
      </c>
      <c r="H9" s="15">
        <v>0.10555555555555556</v>
      </c>
      <c r="I9" s="17">
        <f xml:space="preserve"> 2 + (32/60)</f>
        <v>2.5333333333333332</v>
      </c>
      <c r="J9">
        <v>142.66900000000001</v>
      </c>
    </row>
    <row r="10" spans="1:10" x14ac:dyDescent="0.3">
      <c r="A10" t="s">
        <v>35</v>
      </c>
      <c r="B10" t="s">
        <v>11</v>
      </c>
      <c r="C10" s="11">
        <v>6.9444444444444441E-3</v>
      </c>
      <c r="D10" s="15">
        <v>0.18055555555555555</v>
      </c>
      <c r="E10" s="4">
        <f xml:space="preserve"> D10-C10</f>
        <v>0.1736111111111111</v>
      </c>
      <c r="F10" s="14">
        <f xml:space="preserve"> 4 + (10/60)</f>
        <v>4.166666666666667</v>
      </c>
      <c r="G10" s="16" t="s">
        <v>8</v>
      </c>
      <c r="H10" s="15">
        <v>0.12916666666666668</v>
      </c>
      <c r="I10" s="17">
        <f xml:space="preserve"> 3 + (6/60)</f>
        <v>3.1</v>
      </c>
      <c r="J10">
        <v>22.3109</v>
      </c>
    </row>
    <row r="11" spans="1:10" x14ac:dyDescent="0.3">
      <c r="A11" t="s">
        <v>6</v>
      </c>
      <c r="B11" t="s">
        <v>79</v>
      </c>
      <c r="C11" s="4">
        <v>4.8611111111111112E-3</v>
      </c>
      <c r="D11" s="4">
        <v>0.14375000000000002</v>
      </c>
      <c r="E11" s="4">
        <f xml:space="preserve"> D11-C11</f>
        <v>0.1388888888888889</v>
      </c>
      <c r="F11" s="14">
        <f xml:space="preserve"> 3 + (20/60)</f>
        <v>3.3333333333333335</v>
      </c>
      <c r="G11" s="5" t="s">
        <v>8</v>
      </c>
      <c r="H11" s="4">
        <v>3.1944444444444449E-2</v>
      </c>
      <c r="I11" s="14">
        <f xml:space="preserve"> 46/60</f>
        <v>0.76666666666666672</v>
      </c>
      <c r="J11">
        <v>9.2420000000000009</v>
      </c>
    </row>
    <row r="12" spans="1:10" x14ac:dyDescent="0.3">
      <c r="A12" t="s">
        <v>6</v>
      </c>
      <c r="B12" t="s">
        <v>80</v>
      </c>
      <c r="C12" s="4">
        <v>6.2499999999999995E-3</v>
      </c>
      <c r="D12" s="4">
        <v>0.30902777777777779</v>
      </c>
      <c r="E12" s="4">
        <f xml:space="preserve"> D12-C12</f>
        <v>0.30277777777777781</v>
      </c>
      <c r="F12" s="14">
        <f xml:space="preserve"> 7 + 16/60</f>
        <v>7.2666666666666666</v>
      </c>
      <c r="G12" s="5" t="s">
        <v>8</v>
      </c>
      <c r="H12" s="4">
        <v>6.9444444444444441E-3</v>
      </c>
      <c r="I12" s="14">
        <f xml:space="preserve"> 10/60</f>
        <v>0.16666666666666666</v>
      </c>
      <c r="J12">
        <v>1.6E-2</v>
      </c>
    </row>
    <row r="13" spans="1:10" x14ac:dyDescent="0.3">
      <c r="A13" t="s">
        <v>35</v>
      </c>
      <c r="B13" t="s">
        <v>81</v>
      </c>
      <c r="C13" s="11">
        <v>5.5555555555555558E-3</v>
      </c>
      <c r="D13" s="15">
        <v>0.27638888888888891</v>
      </c>
      <c r="E13" s="4">
        <f xml:space="preserve"> D13-C13</f>
        <v>0.27083333333333337</v>
      </c>
      <c r="F13" s="14">
        <f xml:space="preserve"> 6 + (30/60)</f>
        <v>6.5</v>
      </c>
      <c r="G13" s="16" t="s">
        <v>8</v>
      </c>
      <c r="H13" s="15">
        <v>0.27291666666666664</v>
      </c>
      <c r="I13" s="17">
        <f xml:space="preserve"> 6 + (33/60)</f>
        <v>6.55</v>
      </c>
      <c r="J13">
        <v>599.02099999999996</v>
      </c>
    </row>
    <row r="14" spans="1:10" x14ac:dyDescent="0.3">
      <c r="A14" t="s">
        <v>35</v>
      </c>
      <c r="B14" t="s">
        <v>82</v>
      </c>
      <c r="C14" s="12" t="s">
        <v>41</v>
      </c>
      <c r="D14" s="16" t="s">
        <v>68</v>
      </c>
      <c r="E14" s="4" t="s">
        <v>67</v>
      </c>
      <c r="F14" s="14" t="s">
        <v>67</v>
      </c>
      <c r="G14" s="16" t="s">
        <v>10</v>
      </c>
      <c r="H14" s="16" t="s">
        <v>67</v>
      </c>
      <c r="I14" s="17" t="s">
        <v>67</v>
      </c>
      <c r="J14">
        <v>46.589399999999998</v>
      </c>
    </row>
    <row r="15" spans="1:10" x14ac:dyDescent="0.3">
      <c r="A15" t="s">
        <v>6</v>
      </c>
      <c r="B15" t="s">
        <v>83</v>
      </c>
      <c r="C15" s="3">
        <v>3.472222222222222E-3</v>
      </c>
      <c r="D15" s="3" t="s">
        <v>67</v>
      </c>
      <c r="E15" s="4" t="s">
        <v>67</v>
      </c>
      <c r="F15" s="14" t="s">
        <v>67</v>
      </c>
      <c r="G15" s="2" t="s">
        <v>8</v>
      </c>
      <c r="H15" s="2" t="s">
        <v>67</v>
      </c>
      <c r="I15" s="13" t="s">
        <v>67</v>
      </c>
      <c r="J15">
        <v>10.159000000000001</v>
      </c>
    </row>
    <row r="16" spans="1:10" x14ac:dyDescent="0.3">
      <c r="A16" t="s">
        <v>35</v>
      </c>
      <c r="B16" t="s">
        <v>19</v>
      </c>
      <c r="C16" s="11">
        <v>4.8611111111111112E-3</v>
      </c>
      <c r="D16" s="15">
        <v>0.22430555555555556</v>
      </c>
      <c r="E16" s="4">
        <f xml:space="preserve"> D16-C16</f>
        <v>0.21944444444444444</v>
      </c>
      <c r="F16" s="14">
        <f xml:space="preserve"> 5 + (16/60)</f>
        <v>5.2666666666666666</v>
      </c>
      <c r="G16" s="16" t="s">
        <v>8</v>
      </c>
      <c r="H16" s="15">
        <v>0.20902777777777778</v>
      </c>
      <c r="I16" s="17">
        <f xml:space="preserve"> 5 + (1/60)</f>
        <v>5.0166666666666666</v>
      </c>
      <c r="J16">
        <v>82.248000000000005</v>
      </c>
    </row>
    <row r="17" spans="1:10" x14ac:dyDescent="0.3">
      <c r="A17" t="s">
        <v>35</v>
      </c>
      <c r="B17" t="s">
        <v>22</v>
      </c>
      <c r="C17" s="11">
        <v>5.5555555555555558E-3</v>
      </c>
      <c r="D17" s="16" t="s">
        <v>67</v>
      </c>
      <c r="E17" s="4" t="s">
        <v>67</v>
      </c>
      <c r="F17" s="14" t="s">
        <v>67</v>
      </c>
      <c r="G17" s="16" t="s">
        <v>8</v>
      </c>
      <c r="H17" s="15">
        <v>4.4444444444444446E-2</v>
      </c>
      <c r="I17" s="17">
        <f xml:space="preserve"> 1 + (4/60)</f>
        <v>1.0666666666666667</v>
      </c>
      <c r="J17">
        <v>451.702</v>
      </c>
    </row>
    <row r="18" spans="1:10" x14ac:dyDescent="0.3">
      <c r="A18" t="s">
        <v>6</v>
      </c>
      <c r="B18" t="s">
        <v>24</v>
      </c>
      <c r="C18" s="4">
        <v>7.6388888888888886E-3</v>
      </c>
      <c r="D18" s="4">
        <v>9.7222222222222224E-2</v>
      </c>
      <c r="E18" s="4">
        <f xml:space="preserve"> D18-C18</f>
        <v>8.9583333333333334E-2</v>
      </c>
      <c r="F18" s="14">
        <f xml:space="preserve"> 2 + (9/60)</f>
        <v>2.15</v>
      </c>
      <c r="G18" s="5" t="s">
        <v>8</v>
      </c>
      <c r="H18" s="4">
        <v>9.3055555555555558E-2</v>
      </c>
      <c r="I18" s="14">
        <f xml:space="preserve"> 2 + (14/60)</f>
        <v>2.2333333333333334</v>
      </c>
      <c r="J18">
        <v>95.161000000000001</v>
      </c>
    </row>
    <row r="19" spans="1:10" x14ac:dyDescent="0.3">
      <c r="A19" t="s">
        <v>6</v>
      </c>
      <c r="B19" t="s">
        <v>21</v>
      </c>
      <c r="C19" s="4">
        <v>5.5555555555555558E-3</v>
      </c>
      <c r="D19" s="4">
        <v>0.1986111111111111</v>
      </c>
      <c r="E19" s="4">
        <f xml:space="preserve"> D19-C19</f>
        <v>0.19305555555555554</v>
      </c>
      <c r="F19" s="14">
        <f xml:space="preserve"> 4 + (38/60)</f>
        <v>4.6333333333333329</v>
      </c>
      <c r="G19" s="5" t="s">
        <v>8</v>
      </c>
      <c r="H19" s="4">
        <v>0.13819444444444443</v>
      </c>
      <c r="I19" s="14">
        <f xml:space="preserve"> 3 + 19/60</f>
        <v>3.3166666666666664</v>
      </c>
      <c r="J19">
        <v>62.296700000000001</v>
      </c>
    </row>
    <row r="20" spans="1:10" x14ac:dyDescent="0.3">
      <c r="A20" t="s">
        <v>6</v>
      </c>
      <c r="B20" t="s">
        <v>20</v>
      </c>
      <c r="C20" s="4">
        <v>4.8611111111111112E-3</v>
      </c>
      <c r="D20" s="5" t="s">
        <v>67</v>
      </c>
      <c r="E20" s="4" t="s">
        <v>67</v>
      </c>
      <c r="F20" s="14" t="s">
        <v>67</v>
      </c>
      <c r="G20" s="5" t="s">
        <v>8</v>
      </c>
      <c r="H20" s="4">
        <v>1.7361111111111112E-2</v>
      </c>
      <c r="I20" s="14">
        <f xml:space="preserve"> 25/60</f>
        <v>0.41666666666666669</v>
      </c>
      <c r="J20">
        <v>228.54400000000001</v>
      </c>
    </row>
    <row r="21" spans="1:10" x14ac:dyDescent="0.3">
      <c r="A21" t="s">
        <v>35</v>
      </c>
      <c r="B21" s="12" t="s">
        <v>44</v>
      </c>
      <c r="C21" s="11">
        <v>9.7222222222222224E-3</v>
      </c>
      <c r="D21" s="15">
        <v>0.11666666666666667</v>
      </c>
      <c r="E21" s="4">
        <f xml:space="preserve"> D21-C21</f>
        <v>0.10694444444444445</v>
      </c>
      <c r="F21" s="14">
        <f xml:space="preserve"> 2 + (34/60)</f>
        <v>2.5666666666666664</v>
      </c>
      <c r="G21" s="16" t="s">
        <v>8</v>
      </c>
      <c r="H21" s="15">
        <v>6.9444444444444448E-2</v>
      </c>
      <c r="I21" s="17">
        <f xml:space="preserve"> 1 + (40/60)</f>
        <v>1.6666666666666665</v>
      </c>
      <c r="J21">
        <v>0</v>
      </c>
    </row>
    <row r="22" spans="1:10" x14ac:dyDescent="0.3">
      <c r="A22" t="s">
        <v>35</v>
      </c>
      <c r="B22" s="12" t="s">
        <v>48</v>
      </c>
      <c r="C22" s="12">
        <v>0.13</v>
      </c>
      <c r="D22" s="16" t="s">
        <v>67</v>
      </c>
      <c r="E22" s="4" t="s">
        <v>67</v>
      </c>
      <c r="F22" s="14" t="s">
        <v>67</v>
      </c>
      <c r="G22" s="16" t="s">
        <v>8</v>
      </c>
      <c r="H22" s="15">
        <v>0.12916666666666668</v>
      </c>
      <c r="I22" s="17">
        <f xml:space="preserve"> 3 + (6/60)</f>
        <v>3.1</v>
      </c>
      <c r="J22">
        <v>67.233000000000004</v>
      </c>
    </row>
    <row r="23" spans="1:10" x14ac:dyDescent="0.3">
      <c r="A23" t="s">
        <v>6</v>
      </c>
      <c r="B23" s="5" t="s">
        <v>20</v>
      </c>
      <c r="C23" s="4">
        <v>4.1666666666666666E-3</v>
      </c>
      <c r="D23" s="4">
        <v>6.5277777777777782E-2</v>
      </c>
      <c r="E23" s="4">
        <f xml:space="preserve"> D23-C23</f>
        <v>6.1111111111111116E-2</v>
      </c>
      <c r="F23" s="14">
        <f xml:space="preserve"> 1 + (28/60)</f>
        <v>1.4666666666666668</v>
      </c>
      <c r="G23" s="5" t="s">
        <v>8</v>
      </c>
      <c r="H23" s="4">
        <v>5.0694444444444452E-2</v>
      </c>
      <c r="I23" s="14">
        <f xml:space="preserve"> 1 + (13/60)</f>
        <v>1.2166666666666668</v>
      </c>
      <c r="J23">
        <v>13.396000000000001</v>
      </c>
    </row>
    <row r="24" spans="1:10" x14ac:dyDescent="0.3">
      <c r="A24" t="s">
        <v>35</v>
      </c>
      <c r="B24" s="12" t="s">
        <v>49</v>
      </c>
      <c r="C24" s="11">
        <v>6.2500000000000003E-3</v>
      </c>
      <c r="D24" s="15">
        <v>0.12013888888888889</v>
      </c>
      <c r="E24" s="4">
        <f xml:space="preserve"> D24-C24</f>
        <v>0.11388888888888889</v>
      </c>
      <c r="F24" s="14">
        <f xml:space="preserve"> 2 + (44/60)</f>
        <v>2.7333333333333334</v>
      </c>
      <c r="G24" s="16" t="s">
        <v>8</v>
      </c>
      <c r="H24" s="15">
        <v>7.1527777777777773E-2</v>
      </c>
      <c r="I24" s="17">
        <f xml:space="preserve"> 1 + (43/60)</f>
        <v>1.7166666666666668</v>
      </c>
      <c r="J24">
        <v>5.8049999999999997</v>
      </c>
    </row>
    <row r="25" spans="1:10" x14ac:dyDescent="0.3">
      <c r="A25" t="s">
        <v>35</v>
      </c>
      <c r="B25" s="12" t="s">
        <v>46</v>
      </c>
      <c r="C25" s="11">
        <v>6.9444444444444441E-3</v>
      </c>
      <c r="D25" s="16" t="s">
        <v>67</v>
      </c>
      <c r="E25" s="4" t="s">
        <v>67</v>
      </c>
      <c r="F25" s="14" t="s">
        <v>67</v>
      </c>
      <c r="G25" s="16" t="s">
        <v>10</v>
      </c>
      <c r="H25" s="16" t="s">
        <v>67</v>
      </c>
      <c r="I25" s="17" t="s">
        <v>67</v>
      </c>
      <c r="J25">
        <v>5.7045399999999997</v>
      </c>
    </row>
    <row r="26" spans="1:10" x14ac:dyDescent="0.3">
      <c r="A26" t="s">
        <v>35</v>
      </c>
      <c r="B26" s="12" t="s">
        <v>64</v>
      </c>
      <c r="C26" s="11">
        <v>4.1666666666666666E-3</v>
      </c>
      <c r="D26" s="15">
        <v>0.10486111111111111</v>
      </c>
      <c r="E26" s="4">
        <f xml:space="preserve"> D26-C26</f>
        <v>0.10069444444444445</v>
      </c>
      <c r="F26" s="14">
        <f xml:space="preserve"> 2 + (25/60)</f>
        <v>2.4166666666666665</v>
      </c>
      <c r="G26" s="16" t="s">
        <v>8</v>
      </c>
      <c r="H26" s="15">
        <v>3.1944444444444442E-2</v>
      </c>
      <c r="I26" s="17">
        <f xml:space="preserve"> 46/60</f>
        <v>0.76666666666666672</v>
      </c>
      <c r="J26">
        <v>16.8416</v>
      </c>
    </row>
    <row r="27" spans="1:10" x14ac:dyDescent="0.3">
      <c r="A27" t="s">
        <v>35</v>
      </c>
      <c r="B27" s="10" t="s">
        <v>37</v>
      </c>
      <c r="C27" s="11">
        <v>4.1666666666666666E-3</v>
      </c>
      <c r="D27" s="8">
        <v>0.10069444444444445</v>
      </c>
      <c r="E27" s="4">
        <f xml:space="preserve"> D27-C27</f>
        <v>9.6527777777777782E-2</v>
      </c>
      <c r="F27" s="14">
        <f xml:space="preserve"> 2 + (19/60)</f>
        <v>2.3166666666666664</v>
      </c>
      <c r="G27" s="9" t="s">
        <v>8</v>
      </c>
      <c r="H27" s="8">
        <v>6.5972222222222224E-2</v>
      </c>
      <c r="I27" s="17">
        <f xml:space="preserve"> 1 + (35/60)</f>
        <v>1.5833333333333335</v>
      </c>
      <c r="J27">
        <v>168.548</v>
      </c>
    </row>
    <row r="28" spans="1:10" x14ac:dyDescent="0.3">
      <c r="A28" t="s">
        <v>35</v>
      </c>
      <c r="B28" s="12" t="s">
        <v>50</v>
      </c>
      <c r="C28" s="11">
        <v>5.5555555555555558E-3</v>
      </c>
      <c r="D28" s="9" t="s">
        <v>67</v>
      </c>
      <c r="E28" s="4" t="s">
        <v>67</v>
      </c>
      <c r="F28" s="14" t="s">
        <v>67</v>
      </c>
      <c r="G28" s="9" t="s">
        <v>8</v>
      </c>
      <c r="H28" s="8">
        <v>0.31319444444444444</v>
      </c>
      <c r="I28" s="17">
        <f xml:space="preserve"> 7 + (31/60)</f>
        <v>7.5166666666666666</v>
      </c>
      <c r="J28">
        <v>96.257199999999997</v>
      </c>
    </row>
    <row r="29" spans="1:10" x14ac:dyDescent="0.3">
      <c r="A29" t="s">
        <v>6</v>
      </c>
      <c r="B29" s="5" t="s">
        <v>17</v>
      </c>
      <c r="C29" s="4">
        <v>4.8611111111111112E-3</v>
      </c>
      <c r="D29" s="18">
        <v>0.32847222222222222</v>
      </c>
      <c r="E29" s="4">
        <f t="shared" ref="E29:E34" si="0" xml:space="preserve"> D29-C29</f>
        <v>0.32361111111111113</v>
      </c>
      <c r="F29" s="14">
        <f xml:space="preserve"> 7 + 46/60</f>
        <v>7.7666666666666666</v>
      </c>
      <c r="G29" s="19" t="s">
        <v>8</v>
      </c>
      <c r="H29" s="18">
        <v>3.7499999999999999E-2</v>
      </c>
      <c r="I29" s="14">
        <f xml:space="preserve"> 54/60</f>
        <v>0.9</v>
      </c>
      <c r="J29">
        <v>0</v>
      </c>
    </row>
    <row r="30" spans="1:10" x14ac:dyDescent="0.3">
      <c r="A30" t="s">
        <v>6</v>
      </c>
      <c r="B30" s="5" t="s">
        <v>31</v>
      </c>
      <c r="C30" s="4">
        <v>6.9444444444444441E-3</v>
      </c>
      <c r="D30" s="18">
        <v>0.12361111111111112</v>
      </c>
      <c r="E30" s="4">
        <f t="shared" si="0"/>
        <v>0.11666666666666667</v>
      </c>
      <c r="F30" s="14">
        <f xml:space="preserve"> 2 + (48/60)</f>
        <v>2.8</v>
      </c>
      <c r="G30" s="19" t="s">
        <v>8</v>
      </c>
      <c r="H30" s="18">
        <v>0.11527777777777777</v>
      </c>
      <c r="I30" s="14">
        <f xml:space="preserve"> 2 + (46/60)</f>
        <v>2.7666666666666666</v>
      </c>
      <c r="J30">
        <v>92.707999999999998</v>
      </c>
    </row>
    <row r="31" spans="1:10" x14ac:dyDescent="0.3">
      <c r="A31" t="s">
        <v>6</v>
      </c>
      <c r="B31" s="5" t="s">
        <v>21</v>
      </c>
      <c r="C31" s="4">
        <v>6.9444444444444441E-3</v>
      </c>
      <c r="D31" s="18">
        <v>4.6527777777777779E-2</v>
      </c>
      <c r="E31" s="4">
        <f t="shared" si="0"/>
        <v>3.9583333333333331E-2</v>
      </c>
      <c r="F31" s="14">
        <f xml:space="preserve"> 57/60</f>
        <v>0.95</v>
      </c>
      <c r="G31" s="19" t="s">
        <v>8</v>
      </c>
      <c r="H31" s="18">
        <v>1.2499999999999999E-2</v>
      </c>
      <c r="I31" s="14">
        <f xml:space="preserve"> 18/60</f>
        <v>0.3</v>
      </c>
      <c r="J31">
        <v>0</v>
      </c>
    </row>
    <row r="32" spans="1:10" x14ac:dyDescent="0.3">
      <c r="A32" t="s">
        <v>35</v>
      </c>
      <c r="B32" s="12" t="s">
        <v>47</v>
      </c>
      <c r="C32" s="11">
        <v>6.2500000000000003E-3</v>
      </c>
      <c r="D32" s="8">
        <v>0.10555555555555556</v>
      </c>
      <c r="E32" s="4">
        <f t="shared" si="0"/>
        <v>9.930555555555555E-2</v>
      </c>
      <c r="F32" s="14">
        <f xml:space="preserve"> 2 + (23/60)</f>
        <v>2.3833333333333333</v>
      </c>
      <c r="G32" s="9" t="s">
        <v>8</v>
      </c>
      <c r="H32" s="8">
        <v>4.3055555555555555E-2</v>
      </c>
      <c r="I32" s="17">
        <f xml:space="preserve"> 1 + (2/60)</f>
        <v>1.0333333333333334</v>
      </c>
      <c r="J32">
        <v>68.033199999999994</v>
      </c>
    </row>
    <row r="33" spans="1:10" x14ac:dyDescent="0.3">
      <c r="A33" t="s">
        <v>35</v>
      </c>
      <c r="B33" s="12" t="s">
        <v>51</v>
      </c>
      <c r="C33" s="11">
        <v>8.3333333333333332E-3</v>
      </c>
      <c r="D33" s="8">
        <v>0.31041666666666667</v>
      </c>
      <c r="E33" s="4">
        <f t="shared" si="0"/>
        <v>0.30208333333333331</v>
      </c>
      <c r="F33" s="14">
        <f xml:space="preserve"> 7 + (15/60)</f>
        <v>7.25</v>
      </c>
      <c r="G33" s="9" t="s">
        <v>8</v>
      </c>
      <c r="H33" s="8">
        <v>0.30416666666666664</v>
      </c>
      <c r="I33" s="17">
        <f xml:space="preserve"> 7 + (18/60)</f>
        <v>7.3</v>
      </c>
      <c r="J33">
        <v>0</v>
      </c>
    </row>
    <row r="34" spans="1:10" x14ac:dyDescent="0.3">
      <c r="A34" t="s">
        <v>35</v>
      </c>
      <c r="B34" s="6" t="s">
        <v>36</v>
      </c>
      <c r="C34" s="7">
        <v>4.8611111111111112E-3</v>
      </c>
      <c r="D34" s="8">
        <v>0.10625</v>
      </c>
      <c r="E34" s="4">
        <f t="shared" si="0"/>
        <v>0.10138888888888889</v>
      </c>
      <c r="F34" s="14">
        <f xml:space="preserve"> 2 + (26/60)</f>
        <v>2.4333333333333336</v>
      </c>
      <c r="G34" s="9" t="s">
        <v>8</v>
      </c>
      <c r="H34" s="8">
        <v>4.7222222222222221E-2</v>
      </c>
      <c r="I34" s="17">
        <f xml:space="preserve"> 1 + (8/60)</f>
        <v>1.1333333333333333</v>
      </c>
      <c r="J34">
        <v>599.02599999999995</v>
      </c>
    </row>
    <row r="35" spans="1:10" x14ac:dyDescent="0.3">
      <c r="A35" t="s">
        <v>35</v>
      </c>
      <c r="B35" s="12" t="s">
        <v>62</v>
      </c>
      <c r="C35" s="11">
        <v>5.5555555555555558E-3</v>
      </c>
      <c r="D35" s="8" t="s">
        <v>67</v>
      </c>
      <c r="E35" s="4" t="s">
        <v>67</v>
      </c>
      <c r="F35" s="14" t="s">
        <v>67</v>
      </c>
      <c r="G35" s="9" t="s">
        <v>8</v>
      </c>
      <c r="H35" s="8">
        <v>0.1111111111111111</v>
      </c>
      <c r="I35" s="17">
        <f xml:space="preserve"> 2 + (40/60)</f>
        <v>2.6666666666666665</v>
      </c>
      <c r="J35">
        <v>8.4040700000000008</v>
      </c>
    </row>
    <row r="36" spans="1:10" x14ac:dyDescent="0.3">
      <c r="A36" t="s">
        <v>6</v>
      </c>
      <c r="B36" s="5" t="s">
        <v>24</v>
      </c>
      <c r="C36" s="4">
        <v>5.5555555555555558E-3</v>
      </c>
      <c r="D36" s="19" t="s">
        <v>67</v>
      </c>
      <c r="E36" s="4" t="s">
        <v>67</v>
      </c>
      <c r="F36" s="14" t="s">
        <v>67</v>
      </c>
      <c r="G36" s="19" t="s">
        <v>8</v>
      </c>
      <c r="H36" s="18">
        <v>4.8611111111111112E-2</v>
      </c>
      <c r="I36" s="14">
        <f xml:space="preserve"> 1 + (10/60)</f>
        <v>1.1666666666666667</v>
      </c>
      <c r="J36">
        <v>72.269900000000007</v>
      </c>
    </row>
    <row r="37" spans="1:10" x14ac:dyDescent="0.3">
      <c r="A37" t="s">
        <v>35</v>
      </c>
      <c r="B37" s="12" t="s">
        <v>66</v>
      </c>
      <c r="C37" s="11">
        <v>3.472222222222222E-3</v>
      </c>
      <c r="D37" s="8">
        <v>0.16388888888888889</v>
      </c>
      <c r="E37" s="4">
        <f xml:space="preserve"> D37-C37</f>
        <v>0.16041666666666668</v>
      </c>
      <c r="F37" s="14">
        <f xml:space="preserve"> 3 + (51/60)</f>
        <v>3.85</v>
      </c>
      <c r="G37" s="9" t="s">
        <v>8</v>
      </c>
      <c r="H37" s="8">
        <v>0.14861111111111111</v>
      </c>
      <c r="I37" s="17">
        <f xml:space="preserve"> 3 + (34/60)</f>
        <v>3.5666666666666664</v>
      </c>
      <c r="J37">
        <v>65.004999999999995</v>
      </c>
    </row>
    <row r="38" spans="1:10" x14ac:dyDescent="0.3">
      <c r="A38" t="s">
        <v>35</v>
      </c>
      <c r="B38" s="12" t="s">
        <v>60</v>
      </c>
      <c r="C38" s="11">
        <v>9.7222222222222224E-3</v>
      </c>
      <c r="D38" s="8">
        <v>0.27500000000000002</v>
      </c>
      <c r="E38" s="4">
        <f xml:space="preserve"> D38-C38</f>
        <v>0.26527777777777778</v>
      </c>
      <c r="F38" s="14">
        <f xml:space="preserve"> 6 + (22/60)</f>
        <v>6.3666666666666663</v>
      </c>
      <c r="G38" s="9" t="s">
        <v>8</v>
      </c>
      <c r="H38" s="8">
        <v>0.22847222222222222</v>
      </c>
      <c r="I38" s="17">
        <f xml:space="preserve"> 5 + (29/60)</f>
        <v>5.4833333333333334</v>
      </c>
      <c r="J38">
        <v>217.30600000000001</v>
      </c>
    </row>
    <row r="39" spans="1:10" x14ac:dyDescent="0.3">
      <c r="A39" t="s">
        <v>6</v>
      </c>
      <c r="B39" s="5" t="s">
        <v>22</v>
      </c>
      <c r="C39" s="4">
        <v>6.2499999999999995E-3</v>
      </c>
      <c r="D39" s="19" t="s">
        <v>67</v>
      </c>
      <c r="E39" s="4" t="s">
        <v>67</v>
      </c>
      <c r="F39" s="14" t="s">
        <v>67</v>
      </c>
      <c r="G39" s="19" t="s">
        <v>23</v>
      </c>
      <c r="H39" s="18">
        <v>6.1805555555555558E-2</v>
      </c>
      <c r="I39" s="14">
        <f xml:space="preserve"> 1 + (29/60)</f>
        <v>1.4833333333333334</v>
      </c>
      <c r="J39">
        <v>66.866</v>
      </c>
    </row>
    <row r="40" spans="1:10" x14ac:dyDescent="0.3">
      <c r="A40" t="s">
        <v>35</v>
      </c>
      <c r="B40" s="12" t="s">
        <v>61</v>
      </c>
      <c r="C40" s="11">
        <v>2.7777777777777779E-3</v>
      </c>
      <c r="D40" s="8" t="s">
        <v>67</v>
      </c>
      <c r="E40" s="4" t="s">
        <v>67</v>
      </c>
      <c r="F40" s="14" t="s">
        <v>67</v>
      </c>
      <c r="G40" s="9" t="s">
        <v>8</v>
      </c>
      <c r="H40" s="8">
        <v>0.14305555555555555</v>
      </c>
      <c r="I40" s="17">
        <f xml:space="preserve"> 3 + (26/60)</f>
        <v>3.4333333333333336</v>
      </c>
      <c r="J40">
        <v>0</v>
      </c>
    </row>
    <row r="41" spans="1:10" x14ac:dyDescent="0.3">
      <c r="A41" t="s">
        <v>6</v>
      </c>
      <c r="B41" s="5" t="s">
        <v>32</v>
      </c>
      <c r="C41" s="4">
        <v>5.5555555555555558E-3</v>
      </c>
      <c r="D41" s="18">
        <v>0.17430555555555557</v>
      </c>
      <c r="E41" s="4">
        <f xml:space="preserve"> D41-C41</f>
        <v>0.16875000000000001</v>
      </c>
      <c r="F41" s="14">
        <f xml:space="preserve"> 4 + (3/60)</f>
        <v>4.05</v>
      </c>
      <c r="G41" s="19" t="s">
        <v>8</v>
      </c>
      <c r="H41" s="18">
        <v>2.5694444444444447E-2</v>
      </c>
      <c r="I41" s="14">
        <f xml:space="preserve"> 37/60</f>
        <v>0.6166666666666667</v>
      </c>
      <c r="J41">
        <v>132.965</v>
      </c>
    </row>
    <row r="42" spans="1:10" x14ac:dyDescent="0.3">
      <c r="A42" t="s">
        <v>6</v>
      </c>
      <c r="B42" s="2" t="s">
        <v>12</v>
      </c>
      <c r="C42" s="3">
        <v>4.1666666666666666E-3</v>
      </c>
      <c r="D42" s="20">
        <v>0.11180555555555556</v>
      </c>
      <c r="E42" s="4">
        <f xml:space="preserve"> D42-C42</f>
        <v>0.1076388888888889</v>
      </c>
      <c r="F42" s="14">
        <f xml:space="preserve"> 2 + 35/60</f>
        <v>2.5833333333333335</v>
      </c>
      <c r="G42" s="21" t="s">
        <v>8</v>
      </c>
      <c r="H42" s="20">
        <v>9.7222222222222224E-2</v>
      </c>
      <c r="I42" s="13">
        <f xml:space="preserve"> 2 + (20/60)</f>
        <v>2.3333333333333335</v>
      </c>
      <c r="J42">
        <v>0</v>
      </c>
    </row>
    <row r="43" spans="1:10" x14ac:dyDescent="0.3">
      <c r="A43" t="s">
        <v>6</v>
      </c>
      <c r="B43" s="5" t="s">
        <v>33</v>
      </c>
      <c r="C43" s="4">
        <v>9.0277777777777787E-3</v>
      </c>
      <c r="D43" s="18">
        <v>0.13541666666666666</v>
      </c>
      <c r="E43" s="4">
        <f xml:space="preserve"> D43-C43</f>
        <v>0.12638888888888888</v>
      </c>
      <c r="F43" s="14">
        <f xml:space="preserve"> 3 + (2/60)</f>
        <v>3.0333333333333332</v>
      </c>
      <c r="G43" s="19" t="s">
        <v>8</v>
      </c>
      <c r="H43" s="18">
        <v>6.5972222222222224E-2</v>
      </c>
      <c r="I43" s="14">
        <f xml:space="preserve"> 1 + (35/60)</f>
        <v>1.5833333333333335</v>
      </c>
      <c r="J43">
        <v>599.01800000000003</v>
      </c>
    </row>
    <row r="44" spans="1:10" x14ac:dyDescent="0.3">
      <c r="A44" t="s">
        <v>35</v>
      </c>
      <c r="B44" s="12" t="s">
        <v>59</v>
      </c>
      <c r="C44" s="11">
        <v>5.5555555555555558E-3</v>
      </c>
      <c r="D44" s="8" t="s">
        <v>67</v>
      </c>
      <c r="E44" s="4" t="s">
        <v>67</v>
      </c>
      <c r="F44" s="14" t="s">
        <v>67</v>
      </c>
      <c r="G44" s="9" t="s">
        <v>8</v>
      </c>
      <c r="H44" s="8">
        <v>5.347222222222222E-2</v>
      </c>
      <c r="I44" s="17">
        <f xml:space="preserve"> 1 + (17/60)</f>
        <v>1.2833333333333332</v>
      </c>
      <c r="J44">
        <v>98.114000000000004</v>
      </c>
    </row>
    <row r="45" spans="1:10" x14ac:dyDescent="0.3">
      <c r="A45" t="s">
        <v>6</v>
      </c>
      <c r="B45" s="5" t="s">
        <v>16</v>
      </c>
      <c r="C45" s="4">
        <v>4.1666666666666666E-3</v>
      </c>
      <c r="D45" s="18">
        <v>0.21180555555555555</v>
      </c>
      <c r="E45" s="4">
        <f xml:space="preserve"> D45-C45</f>
        <v>0.20763888888888887</v>
      </c>
      <c r="F45" s="14">
        <f xml:space="preserve"> 4 + 59/60</f>
        <v>4.9833333333333334</v>
      </c>
      <c r="G45" s="19" t="s">
        <v>8</v>
      </c>
      <c r="H45" s="18">
        <v>7.3611111111111113E-2</v>
      </c>
      <c r="I45" s="14">
        <f xml:space="preserve"> 1 + (46/60)</f>
        <v>1.7666666666666666</v>
      </c>
      <c r="J45">
        <v>26.459</v>
      </c>
    </row>
    <row r="46" spans="1:10" x14ac:dyDescent="0.3">
      <c r="A46" t="s">
        <v>6</v>
      </c>
      <c r="B46" s="5" t="s">
        <v>19</v>
      </c>
      <c r="C46" s="4">
        <v>4.8611111111111112E-3</v>
      </c>
      <c r="D46" s="18">
        <v>0.10416666666666667</v>
      </c>
      <c r="E46" s="4">
        <f xml:space="preserve"> D46-C46</f>
        <v>9.9305555555555564E-2</v>
      </c>
      <c r="F46" s="14">
        <f xml:space="preserve"> 2 +23/60</f>
        <v>2.3833333333333333</v>
      </c>
      <c r="G46" s="19" t="s">
        <v>8</v>
      </c>
      <c r="H46" s="18">
        <v>5.9722222222222225E-2</v>
      </c>
      <c r="I46" s="14">
        <f xml:space="preserve"> 1 + (26/60)</f>
        <v>1.4333333333333333</v>
      </c>
      <c r="J46">
        <v>242.08500000000001</v>
      </c>
    </row>
    <row r="47" spans="1:10" x14ac:dyDescent="0.3">
      <c r="A47" t="s">
        <v>35</v>
      </c>
      <c r="B47" s="12" t="s">
        <v>58</v>
      </c>
      <c r="C47" s="11">
        <v>2.0833333333333333E-3</v>
      </c>
      <c r="D47" s="8" t="s">
        <v>67</v>
      </c>
      <c r="E47" s="4" t="s">
        <v>67</v>
      </c>
      <c r="F47" s="14" t="s">
        <v>67</v>
      </c>
      <c r="G47" s="9" t="s">
        <v>8</v>
      </c>
      <c r="H47" s="8">
        <v>0.40138888888888891</v>
      </c>
      <c r="I47" s="17">
        <f xml:space="preserve"> 9 + (38/60)</f>
        <v>9.6333333333333329</v>
      </c>
      <c r="J47">
        <v>102.884</v>
      </c>
    </row>
    <row r="48" spans="1:10" x14ac:dyDescent="0.3">
      <c r="A48" t="s">
        <v>6</v>
      </c>
      <c r="B48" s="2" t="s">
        <v>13</v>
      </c>
      <c r="C48" s="3">
        <v>5.5555555555555558E-3</v>
      </c>
      <c r="D48" s="20">
        <v>0.31111111111111112</v>
      </c>
      <c r="E48" s="4">
        <f xml:space="preserve"> D48-C48</f>
        <v>0.30555555555555558</v>
      </c>
      <c r="F48" s="14">
        <f xml:space="preserve"> 7 + 20/60</f>
        <v>7.333333333333333</v>
      </c>
      <c r="G48" s="21" t="s">
        <v>8</v>
      </c>
      <c r="H48" s="20">
        <v>0.1451388888888889</v>
      </c>
      <c r="I48" s="13">
        <f xml:space="preserve"> 3 + (29/60)</f>
        <v>3.4833333333333334</v>
      </c>
      <c r="J48">
        <v>599.02200000000005</v>
      </c>
    </row>
    <row r="49" spans="1:10" x14ac:dyDescent="0.3">
      <c r="A49" t="s">
        <v>35</v>
      </c>
      <c r="B49" s="10" t="s">
        <v>52</v>
      </c>
      <c r="C49" s="11">
        <v>2.7777777777777779E-3</v>
      </c>
      <c r="D49" s="8" t="s">
        <v>67</v>
      </c>
      <c r="E49" s="4" t="s">
        <v>67</v>
      </c>
      <c r="F49" s="14" t="s">
        <v>67</v>
      </c>
      <c r="G49" s="9" t="s">
        <v>8</v>
      </c>
      <c r="H49" s="8">
        <v>0.12222222222222222</v>
      </c>
      <c r="I49" s="17">
        <f xml:space="preserve"> 2 + (56/60)</f>
        <v>2.9333333333333336</v>
      </c>
      <c r="J49">
        <v>0</v>
      </c>
    </row>
    <row r="50" spans="1:10" x14ac:dyDescent="0.3">
      <c r="A50" t="s">
        <v>35</v>
      </c>
      <c r="B50" s="12" t="s">
        <v>53</v>
      </c>
      <c r="C50" s="11">
        <v>5.5555555555555558E-3</v>
      </c>
      <c r="D50" s="8">
        <v>0.1451388888888889</v>
      </c>
      <c r="E50" s="4">
        <f xml:space="preserve"> D50-C50</f>
        <v>0.13958333333333334</v>
      </c>
      <c r="F50" s="14">
        <f xml:space="preserve"> 3 + (21/60)</f>
        <v>3.35</v>
      </c>
      <c r="G50" s="9" t="s">
        <v>8</v>
      </c>
      <c r="H50" s="8">
        <v>0.14097222222222222</v>
      </c>
      <c r="I50" s="17">
        <f xml:space="preserve"> 3 + (23/60)</f>
        <v>3.3833333333333333</v>
      </c>
      <c r="J50">
        <v>39.655000000000001</v>
      </c>
    </row>
    <row r="51" spans="1:10" x14ac:dyDescent="0.3">
      <c r="A51" t="s">
        <v>6</v>
      </c>
      <c r="B51" s="5" t="s">
        <v>34</v>
      </c>
      <c r="C51" s="3">
        <v>7.6388888888888886E-3</v>
      </c>
      <c r="D51" s="20">
        <v>4.4444444444444446E-2</v>
      </c>
      <c r="E51" s="4">
        <f xml:space="preserve"> D51-C51</f>
        <v>3.6805555555555557E-2</v>
      </c>
      <c r="F51" s="14">
        <f xml:space="preserve"> 53/60</f>
        <v>0.8833333333333333</v>
      </c>
      <c r="G51" s="19" t="s">
        <v>8</v>
      </c>
      <c r="H51" s="20">
        <v>1.0416666666666666E-2</v>
      </c>
      <c r="I51" s="13">
        <f xml:space="preserve"> 15/60</f>
        <v>0.25</v>
      </c>
      <c r="J51">
        <v>6.5389999999999997</v>
      </c>
    </row>
    <row r="52" spans="1:10" x14ac:dyDescent="0.3">
      <c r="A52" t="s">
        <v>6</v>
      </c>
      <c r="B52" s="5" t="s">
        <v>15</v>
      </c>
      <c r="C52" s="4">
        <v>4.1666666666666666E-3</v>
      </c>
      <c r="D52" s="18">
        <v>0.10416666666666667</v>
      </c>
      <c r="E52" s="4">
        <f xml:space="preserve"> D52-C52</f>
        <v>0.1</v>
      </c>
      <c r="F52" s="14">
        <f xml:space="preserve"> 2 + 24/60</f>
        <v>2.4</v>
      </c>
      <c r="G52" s="19" t="s">
        <v>8</v>
      </c>
      <c r="H52" s="18">
        <v>2.013888888888889E-2</v>
      </c>
      <c r="I52" s="14">
        <f xml:space="preserve"> 29/60</f>
        <v>0.48333333333333334</v>
      </c>
    </row>
    <row r="53" spans="1:10" x14ac:dyDescent="0.3">
      <c r="A53" t="s">
        <v>6</v>
      </c>
      <c r="B53" s="5" t="s">
        <v>14</v>
      </c>
      <c r="C53" s="4">
        <v>4.8611111111111112E-3</v>
      </c>
      <c r="D53" s="20" t="s">
        <v>67</v>
      </c>
      <c r="E53" s="4" t="s">
        <v>67</v>
      </c>
      <c r="F53" s="14" t="s">
        <v>67</v>
      </c>
      <c r="G53" s="19" t="s">
        <v>8</v>
      </c>
      <c r="H53" s="18">
        <v>0.11527777777777777</v>
      </c>
      <c r="I53" s="14">
        <f xml:space="preserve"> 2 + (46/60)</f>
        <v>2.7666666666666666</v>
      </c>
    </row>
    <row r="54" spans="1:10" x14ac:dyDescent="0.3">
      <c r="A54" t="s">
        <v>35</v>
      </c>
      <c r="B54" s="12" t="s">
        <v>54</v>
      </c>
      <c r="C54" s="11">
        <v>3.472222222222222E-3</v>
      </c>
      <c r="D54" s="8">
        <v>5.9027777777777776E-2</v>
      </c>
      <c r="E54" s="4">
        <f xml:space="preserve"> D54-C54</f>
        <v>5.5555555555555552E-2</v>
      </c>
      <c r="F54" s="14">
        <f xml:space="preserve"> 1 + (20/60)</f>
        <v>1.3333333333333333</v>
      </c>
      <c r="G54" s="9" t="s">
        <v>8</v>
      </c>
      <c r="H54" s="8">
        <v>5.2777777777777778E-2</v>
      </c>
      <c r="I54" s="17">
        <f xml:space="preserve"> 1 + (16/60)</f>
        <v>1.2666666666666666</v>
      </c>
    </row>
    <row r="55" spans="1:10" x14ac:dyDescent="0.3">
      <c r="A55" t="s">
        <v>35</v>
      </c>
      <c r="B55" s="12" t="s">
        <v>55</v>
      </c>
      <c r="C55" s="11">
        <v>2.7777777777777779E-3</v>
      </c>
      <c r="D55" s="8">
        <v>0.3576388888888889</v>
      </c>
      <c r="E55" s="4">
        <f xml:space="preserve"> D55-C55</f>
        <v>0.35486111111111113</v>
      </c>
      <c r="F55" s="14">
        <f xml:space="preserve"> 8 + (31/60)</f>
        <v>8.5166666666666675</v>
      </c>
      <c r="G55" s="9" t="s">
        <v>8</v>
      </c>
      <c r="H55" s="8">
        <v>3.8194444444444448E-2</v>
      </c>
      <c r="I55" s="17">
        <f xml:space="preserve"> 55/60</f>
        <v>0.91666666666666663</v>
      </c>
    </row>
    <row r="56" spans="1:10" x14ac:dyDescent="0.3">
      <c r="A56" t="s">
        <v>35</v>
      </c>
      <c r="B56" s="12" t="s">
        <v>56</v>
      </c>
      <c r="C56" s="11">
        <v>2.7777777777777779E-3</v>
      </c>
      <c r="D56" s="8" t="s">
        <v>67</v>
      </c>
      <c r="E56" s="4" t="s">
        <v>67</v>
      </c>
      <c r="F56" s="14" t="s">
        <v>67</v>
      </c>
      <c r="G56" s="9" t="s">
        <v>8</v>
      </c>
      <c r="H56" s="8">
        <v>0.11319444444444444</v>
      </c>
      <c r="I56" s="17">
        <f xml:space="preserve"> 2 + (43/60)</f>
        <v>2.7166666666666668</v>
      </c>
    </row>
  </sheetData>
  <sortState xmlns:xlrd2="http://schemas.microsoft.com/office/spreadsheetml/2017/richdata2" ref="A2:I56">
    <sortCondition ref="B2:B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Detour combined</vt:lpstr>
      <vt:lpstr>Scototaxis + Detour (</vt:lpstr>
      <vt:lpstr>Scototaxis+Detour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Callen Inman</dc:creator>
  <cp:lastModifiedBy>Callen Inman</cp:lastModifiedBy>
  <dcterms:created xsi:type="dcterms:W3CDTF">2021-06-30T18:23:13Z</dcterms:created>
  <dcterms:modified xsi:type="dcterms:W3CDTF">2021-10-03T21:54:42Z</dcterms:modified>
</cp:coreProperties>
</file>