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47\Documents\Документы, инвестиции, личные финансы\2024.07.03_Альфа-банк\Магистратура ВШЭ\14_Курсовая работа\"/>
    </mc:Choice>
  </mc:AlternateContent>
  <xr:revisionPtr revIDLastSave="0" documentId="13_ncr:1_{30B2EED4-2372-4AC2-BB79-745AC7C7D9F8}" xr6:coauthVersionLast="47" xr6:coauthVersionMax="47" xr10:uidLastSave="{00000000-0000-0000-0000-000000000000}"/>
  <bookViews>
    <workbookView xWindow="-120" yWindow="-120" windowWidth="20730" windowHeight="11040" tabRatio="902" activeTab="3" xr2:uid="{0CAB3E12-073B-4377-B92F-E494B73B05C6}"/>
  </bookViews>
  <sheets>
    <sheet name="FPA_четкая модель" sheetId="7" r:id="rId1"/>
    <sheet name="FPA_нечеткая модель (трапеции)" sheetId="8" r:id="rId2"/>
    <sheet name="FPA_неч модель (колебл.ч.)" sheetId="9" r:id="rId3"/>
    <sheet name="Четкая COCOMO II" sheetId="10" r:id="rId4"/>
    <sheet name="Нечеткая COCOMO (трапеции)" sheetId="4" r:id="rId5"/>
    <sheet name="Нечеткая COCOMO (колебл. числа)" sheetId="11" r:id="rId6"/>
    <sheet name="Четкая модель UCP" sheetId="12" r:id="rId7"/>
    <sheet name="Нечеткая UCP (трапеции)" sheetId="1" r:id="rId8"/>
    <sheet name="Нечеткая UCP (колебл. числа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C84" i="8"/>
  <c r="C152" i="4" l="1"/>
  <c r="D69" i="1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H19" i="13"/>
  <c r="G19" i="13"/>
  <c r="I20" i="13"/>
  <c r="H20" i="13"/>
  <c r="G20" i="13"/>
  <c r="I19" i="13"/>
  <c r="H14" i="13"/>
  <c r="G14" i="13"/>
  <c r="F14" i="13"/>
  <c r="E14" i="13"/>
  <c r="H6" i="13"/>
  <c r="H7" i="13"/>
  <c r="I7" i="13"/>
  <c r="H8" i="13"/>
  <c r="I8" i="13"/>
  <c r="I6" i="13"/>
  <c r="E36" i="11"/>
  <c r="G7" i="13"/>
  <c r="G8" i="13"/>
  <c r="G6" i="13"/>
  <c r="D48" i="13"/>
  <c r="D51" i="13" s="1"/>
  <c r="D32" i="13"/>
  <c r="D35" i="13" s="1"/>
  <c r="D14" i="13"/>
  <c r="D9" i="13"/>
  <c r="K71" i="1"/>
  <c r="G71" i="1"/>
  <c r="F71" i="1"/>
  <c r="E71" i="1"/>
  <c r="D71" i="1"/>
  <c r="G70" i="1"/>
  <c r="F70" i="1"/>
  <c r="E70" i="1"/>
  <c r="D70" i="1"/>
  <c r="J16" i="1"/>
  <c r="K16" i="1" s="1"/>
  <c r="I16" i="1"/>
  <c r="H16" i="1" s="1"/>
  <c r="F16" i="1"/>
  <c r="G16" i="1" s="1"/>
  <c r="E16" i="1"/>
  <c r="D16" i="1" s="1"/>
  <c r="D46" i="12"/>
  <c r="D49" i="12" s="1"/>
  <c r="D30" i="12"/>
  <c r="D33" i="12" s="1"/>
  <c r="D12" i="12"/>
  <c r="D9" i="12"/>
  <c r="D44" i="11"/>
  <c r="D43" i="11"/>
  <c r="D42" i="11"/>
  <c r="D41" i="11"/>
  <c r="D40" i="11"/>
  <c r="D39" i="11"/>
  <c r="D38" i="11"/>
  <c r="F36" i="11"/>
  <c r="G36" i="11"/>
  <c r="D76" i="9"/>
  <c r="D32" i="11"/>
  <c r="D31" i="11"/>
  <c r="D30" i="11"/>
  <c r="D29" i="11"/>
  <c r="D28" i="11"/>
  <c r="C20" i="4"/>
  <c r="E156" i="4" l="1"/>
  <c r="I156" i="4"/>
  <c r="F156" i="4"/>
  <c r="J156" i="4"/>
  <c r="G156" i="4"/>
  <c r="C156" i="4"/>
  <c r="D156" i="4"/>
  <c r="D159" i="4" s="1"/>
  <c r="H156" i="4"/>
  <c r="D15" i="13"/>
  <c r="D53" i="13" s="1"/>
  <c r="D13" i="12"/>
  <c r="D51" i="12" s="1"/>
  <c r="D46" i="11"/>
  <c r="D34" i="11"/>
  <c r="D36" i="11" s="1"/>
  <c r="D44" i="10"/>
  <c r="D43" i="10"/>
  <c r="D42" i="10"/>
  <c r="D41" i="10"/>
  <c r="D40" i="10"/>
  <c r="D39" i="10"/>
  <c r="D38" i="10"/>
  <c r="D31" i="10"/>
  <c r="C159" i="4" l="1"/>
  <c r="E159" i="4"/>
  <c r="F159" i="4" s="1"/>
  <c r="D46" i="10"/>
  <c r="F48" i="11"/>
  <c r="F50" i="11" s="1"/>
  <c r="E48" i="11"/>
  <c r="E50" i="11" s="1"/>
  <c r="D48" i="11"/>
  <c r="D50" i="11" s="1"/>
  <c r="D51" i="11" s="1"/>
  <c r="D32" i="10"/>
  <c r="D30" i="10"/>
  <c r="D29" i="10"/>
  <c r="D28" i="10"/>
  <c r="D34" i="10" s="1"/>
  <c r="D36" i="10" s="1"/>
  <c r="D49" i="10" s="1"/>
  <c r="F81" i="9"/>
  <c r="D81" i="9"/>
  <c r="D49" i="7"/>
  <c r="C55" i="9"/>
  <c r="D77" i="9"/>
  <c r="D79" i="9" s="1"/>
  <c r="E77" i="9"/>
  <c r="E79" i="9" s="1"/>
  <c r="F77" i="9"/>
  <c r="F79" i="9" s="1"/>
  <c r="C77" i="9"/>
  <c r="E76" i="9"/>
  <c r="F76" i="9"/>
  <c r="G76" i="9"/>
  <c r="H76" i="9"/>
  <c r="C73" i="9"/>
  <c r="C76" i="9" s="1"/>
  <c r="H77" i="8"/>
  <c r="D77" i="8"/>
  <c r="J73" i="8"/>
  <c r="I73" i="8"/>
  <c r="I76" i="8" s="1"/>
  <c r="H73" i="8"/>
  <c r="G73" i="8"/>
  <c r="D73" i="8"/>
  <c r="D76" i="8" s="1"/>
  <c r="D79" i="8" s="1"/>
  <c r="E73" i="8"/>
  <c r="E76" i="8" s="1"/>
  <c r="F73" i="8"/>
  <c r="C73" i="8"/>
  <c r="H76" i="8"/>
  <c r="H79" i="8" s="1"/>
  <c r="F76" i="8"/>
  <c r="C76" i="8"/>
  <c r="J55" i="8"/>
  <c r="J77" i="8" s="1"/>
  <c r="I55" i="8"/>
  <c r="I77" i="8" s="1"/>
  <c r="H55" i="8"/>
  <c r="G55" i="8"/>
  <c r="G77" i="8" s="1"/>
  <c r="F55" i="8"/>
  <c r="F77" i="8" s="1"/>
  <c r="E55" i="8"/>
  <c r="E77" i="8" s="1"/>
  <c r="D55" i="8"/>
  <c r="C55" i="8"/>
  <c r="C77" i="8" s="1"/>
  <c r="C68" i="7"/>
  <c r="C70" i="7" s="1"/>
  <c r="D122" i="4"/>
  <c r="D121" i="4"/>
  <c r="D120" i="4"/>
  <c r="D119" i="4"/>
  <c r="D118" i="4"/>
  <c r="D115" i="4"/>
  <c r="D114" i="4"/>
  <c r="D113" i="4"/>
  <c r="D112" i="4"/>
  <c r="D111" i="4"/>
  <c r="D110" i="4"/>
  <c r="D109" i="4"/>
  <c r="D107" i="4"/>
  <c r="D106" i="4"/>
  <c r="D105" i="4"/>
  <c r="D104" i="4"/>
  <c r="D103" i="4"/>
  <c r="D102" i="4"/>
  <c r="D101" i="4"/>
  <c r="D99" i="4"/>
  <c r="D98" i="4"/>
  <c r="D97" i="4"/>
  <c r="D96" i="4"/>
  <c r="D95" i="4"/>
  <c r="D91" i="4"/>
  <c r="D90" i="4"/>
  <c r="D89" i="4"/>
  <c r="D88" i="4"/>
  <c r="D87" i="4"/>
  <c r="D83" i="4"/>
  <c r="D82" i="4"/>
  <c r="D81" i="4"/>
  <c r="D80" i="4"/>
  <c r="D79" i="4"/>
  <c r="D78" i="4"/>
  <c r="D77" i="4"/>
  <c r="D75" i="4"/>
  <c r="D74" i="4"/>
  <c r="D73" i="4"/>
  <c r="D72" i="4"/>
  <c r="D71" i="4"/>
  <c r="D70" i="4"/>
  <c r="H70" i="4" s="1"/>
  <c r="D69" i="4"/>
  <c r="D48" i="4"/>
  <c r="D47" i="4"/>
  <c r="D46" i="4"/>
  <c r="D45" i="4"/>
  <c r="D44" i="4"/>
  <c r="D41" i="4"/>
  <c r="D40" i="4"/>
  <c r="D39" i="4"/>
  <c r="D38" i="4"/>
  <c r="D37" i="4"/>
  <c r="D34" i="4"/>
  <c r="D33" i="4"/>
  <c r="D32" i="4"/>
  <c r="D31" i="4"/>
  <c r="D30" i="4"/>
  <c r="D27" i="4"/>
  <c r="D26" i="4"/>
  <c r="D25" i="4"/>
  <c r="D24" i="4"/>
  <c r="D23" i="4"/>
  <c r="D16" i="4"/>
  <c r="I35" i="4"/>
  <c r="I28" i="4"/>
  <c r="I49" i="4"/>
  <c r="I42" i="4"/>
  <c r="I21" i="4"/>
  <c r="D20" i="4"/>
  <c r="D19" i="4"/>
  <c r="D18" i="4"/>
  <c r="D17" i="4"/>
  <c r="I128" i="4"/>
  <c r="J128" i="4" s="1"/>
  <c r="H128" i="4"/>
  <c r="G128" i="4" s="1"/>
  <c r="E128" i="4"/>
  <c r="F128" i="4" s="1"/>
  <c r="D128" i="4"/>
  <c r="D131" i="4" s="1"/>
  <c r="D134" i="4" s="1"/>
  <c r="D137" i="4" s="1"/>
  <c r="D140" i="4" s="1"/>
  <c r="D143" i="4" s="1"/>
  <c r="C72" i="7" l="1"/>
  <c r="H79" i="9"/>
  <c r="G79" i="9"/>
  <c r="I79" i="9"/>
  <c r="C79" i="8"/>
  <c r="L79" i="9"/>
  <c r="K79" i="9"/>
  <c r="J79" i="9"/>
  <c r="C79" i="9"/>
  <c r="C81" i="9" s="1"/>
  <c r="E81" i="9"/>
  <c r="F51" i="11"/>
  <c r="J51" i="11"/>
  <c r="N51" i="11"/>
  <c r="R51" i="11"/>
  <c r="H51" i="11"/>
  <c r="P51" i="11"/>
  <c r="Q51" i="11"/>
  <c r="G51" i="11"/>
  <c r="K51" i="11"/>
  <c r="O51" i="11"/>
  <c r="E51" i="11"/>
  <c r="L51" i="11"/>
  <c r="I51" i="11"/>
  <c r="M51" i="11"/>
  <c r="J76" i="8"/>
  <c r="G76" i="8"/>
  <c r="G79" i="8" s="1"/>
  <c r="F82" i="8" s="1"/>
  <c r="E79" i="8"/>
  <c r="C82" i="8"/>
  <c r="I79" i="8"/>
  <c r="C128" i="4"/>
  <c r="C131" i="4" s="1"/>
  <c r="C134" i="4" s="1"/>
  <c r="C137" i="4" s="1"/>
  <c r="C140" i="4" s="1"/>
  <c r="C143" i="4" s="1"/>
  <c r="E131" i="4"/>
  <c r="F131" i="4" s="1"/>
  <c r="I131" i="4"/>
  <c r="H131" i="4"/>
  <c r="H134" i="4" s="1"/>
  <c r="H137" i="4" s="1"/>
  <c r="H140" i="4" s="1"/>
  <c r="H143" i="4" s="1"/>
  <c r="D51" i="4"/>
  <c r="E122" i="4"/>
  <c r="I122" i="4" s="1"/>
  <c r="E121" i="4"/>
  <c r="I121" i="4" s="1"/>
  <c r="E120" i="4"/>
  <c r="I120" i="4" s="1"/>
  <c r="E119" i="4"/>
  <c r="C118" i="4" s="1"/>
  <c r="E118" i="4"/>
  <c r="F119" i="4" s="1"/>
  <c r="E115" i="4"/>
  <c r="C114" i="4" s="1"/>
  <c r="E114" i="4"/>
  <c r="F115" i="4" s="1"/>
  <c r="E113" i="4"/>
  <c r="C112" i="4" s="1"/>
  <c r="E112" i="4"/>
  <c r="C111" i="4" s="1"/>
  <c r="E111" i="4"/>
  <c r="C110" i="4" s="1"/>
  <c r="E110" i="4"/>
  <c r="F111" i="4" s="1"/>
  <c r="E109" i="4"/>
  <c r="F110" i="4" s="1"/>
  <c r="E101" i="4"/>
  <c r="I101" i="4" s="1"/>
  <c r="E102" i="4"/>
  <c r="E103" i="4"/>
  <c r="F104" i="4" s="1"/>
  <c r="E104" i="4"/>
  <c r="F105" i="4" s="1"/>
  <c r="E105" i="4"/>
  <c r="C104" i="4" s="1"/>
  <c r="E106" i="4"/>
  <c r="E107" i="4"/>
  <c r="I107" i="4" s="1"/>
  <c r="E96" i="4"/>
  <c r="F95" i="4" s="1"/>
  <c r="E97" i="4"/>
  <c r="I97" i="4" s="1"/>
  <c r="E98" i="4"/>
  <c r="E99" i="4"/>
  <c r="I99" i="4" s="1"/>
  <c r="E95" i="4"/>
  <c r="C96" i="4" s="1"/>
  <c r="E88" i="4"/>
  <c r="I88" i="4" s="1"/>
  <c r="E89" i="4"/>
  <c r="I89" i="4" s="1"/>
  <c r="E90" i="4"/>
  <c r="E91" i="4"/>
  <c r="F90" i="4" s="1"/>
  <c r="E87" i="4"/>
  <c r="C88" i="4" s="1"/>
  <c r="E83" i="4"/>
  <c r="I83" i="4" s="1"/>
  <c r="E82" i="4"/>
  <c r="I82" i="4" s="1"/>
  <c r="E81" i="4"/>
  <c r="E80" i="4"/>
  <c r="F79" i="4" s="1"/>
  <c r="E79" i="4"/>
  <c r="F78" i="4" s="1"/>
  <c r="E78" i="4"/>
  <c r="F77" i="4" s="1"/>
  <c r="E77" i="4"/>
  <c r="E69" i="4"/>
  <c r="I69" i="4" s="1"/>
  <c r="E70" i="4"/>
  <c r="I70" i="4" s="1"/>
  <c r="E71" i="4"/>
  <c r="E72" i="4"/>
  <c r="F73" i="4" s="1"/>
  <c r="E73" i="4"/>
  <c r="I73" i="4" s="1"/>
  <c r="E74" i="4"/>
  <c r="I74" i="4" s="1"/>
  <c r="E75" i="4"/>
  <c r="H49" i="4"/>
  <c r="H48" i="4"/>
  <c r="H47" i="4"/>
  <c r="H46" i="4"/>
  <c r="H45" i="4"/>
  <c r="H44" i="4"/>
  <c r="H42" i="4"/>
  <c r="G42" i="4" s="1"/>
  <c r="H41" i="4"/>
  <c r="H40" i="4"/>
  <c r="H39" i="4"/>
  <c r="H38" i="4"/>
  <c r="H37" i="4"/>
  <c r="H35" i="4"/>
  <c r="G35" i="4" s="1"/>
  <c r="H34" i="4"/>
  <c r="H33" i="4"/>
  <c r="H32" i="4"/>
  <c r="H31" i="4"/>
  <c r="H30" i="4"/>
  <c r="H28" i="4"/>
  <c r="G28" i="4" s="1"/>
  <c r="H27" i="4"/>
  <c r="H26" i="4"/>
  <c r="H25" i="4"/>
  <c r="H24" i="4"/>
  <c r="H23" i="4"/>
  <c r="H17" i="4"/>
  <c r="H18" i="4"/>
  <c r="H19" i="4"/>
  <c r="H20" i="4"/>
  <c r="H21" i="4"/>
  <c r="G21" i="4" s="1"/>
  <c r="H16" i="4"/>
  <c r="H122" i="4"/>
  <c r="H121" i="4"/>
  <c r="H120" i="4"/>
  <c r="H119" i="4"/>
  <c r="H118" i="4"/>
  <c r="H115" i="4"/>
  <c r="H114" i="4"/>
  <c r="H113" i="4"/>
  <c r="H112" i="4"/>
  <c r="H111" i="4"/>
  <c r="H110" i="4"/>
  <c r="H109" i="4"/>
  <c r="H107" i="4"/>
  <c r="H106" i="4"/>
  <c r="H105" i="4"/>
  <c r="H104" i="4"/>
  <c r="H103" i="4"/>
  <c r="H102" i="4"/>
  <c r="H101" i="4"/>
  <c r="H99" i="4"/>
  <c r="H98" i="4"/>
  <c r="H97" i="4"/>
  <c r="H96" i="4"/>
  <c r="H95" i="4"/>
  <c r="H91" i="4"/>
  <c r="H90" i="4"/>
  <c r="H89" i="4"/>
  <c r="H88" i="4"/>
  <c r="H87" i="4"/>
  <c r="H83" i="4"/>
  <c r="H82" i="4"/>
  <c r="H81" i="4"/>
  <c r="H80" i="4"/>
  <c r="H79" i="4"/>
  <c r="H78" i="4"/>
  <c r="H77" i="4"/>
  <c r="H71" i="4"/>
  <c r="H72" i="4"/>
  <c r="H73" i="4"/>
  <c r="H74" i="4"/>
  <c r="H75" i="4"/>
  <c r="H69" i="4"/>
  <c r="C48" i="4"/>
  <c r="E48" i="4"/>
  <c r="E47" i="4"/>
  <c r="E46" i="4"/>
  <c r="E45" i="4"/>
  <c r="C44" i="4" s="1"/>
  <c r="E44" i="4"/>
  <c r="C41" i="4"/>
  <c r="E41" i="4"/>
  <c r="E40" i="4"/>
  <c r="E39" i="4"/>
  <c r="E38" i="4"/>
  <c r="E37" i="4"/>
  <c r="C34" i="4"/>
  <c r="E34" i="4"/>
  <c r="E33" i="4"/>
  <c r="E32" i="4"/>
  <c r="E31" i="4"/>
  <c r="E30" i="4"/>
  <c r="C27" i="4"/>
  <c r="E27" i="4"/>
  <c r="E26" i="4"/>
  <c r="E25" i="4"/>
  <c r="E24" i="4"/>
  <c r="E23" i="4"/>
  <c r="E17" i="4"/>
  <c r="E18" i="4"/>
  <c r="E19" i="4"/>
  <c r="E20" i="4"/>
  <c r="E16" i="4"/>
  <c r="G34" i="4" l="1"/>
  <c r="D53" i="4"/>
  <c r="F71" i="4"/>
  <c r="C119" i="4"/>
  <c r="G119" i="4" s="1"/>
  <c r="E134" i="4"/>
  <c r="F134" i="4" s="1"/>
  <c r="C115" i="4"/>
  <c r="G115" i="4" s="1"/>
  <c r="F114" i="4"/>
  <c r="F79" i="8"/>
  <c r="D82" i="8" s="1"/>
  <c r="C83" i="8" s="1"/>
  <c r="J79" i="8"/>
  <c r="G82" i="8" s="1"/>
  <c r="F83" i="8" s="1"/>
  <c r="F118" i="4"/>
  <c r="J131" i="4"/>
  <c r="I134" i="4"/>
  <c r="F20" i="4"/>
  <c r="I19" i="4"/>
  <c r="F17" i="4"/>
  <c r="I16" i="4"/>
  <c r="C17" i="4"/>
  <c r="G17" i="4" s="1"/>
  <c r="I18" i="4"/>
  <c r="C16" i="4"/>
  <c r="F16" i="4" s="1"/>
  <c r="I17" i="4"/>
  <c r="G131" i="4"/>
  <c r="G134" i="4" s="1"/>
  <c r="G137" i="4" s="1"/>
  <c r="G140" i="4" s="1"/>
  <c r="G143" i="4" s="1"/>
  <c r="C19" i="4"/>
  <c r="G19" i="4" s="1"/>
  <c r="I20" i="4"/>
  <c r="C103" i="4"/>
  <c r="G103" i="4" s="1"/>
  <c r="C102" i="4"/>
  <c r="G102" i="4" s="1"/>
  <c r="F98" i="4"/>
  <c r="C97" i="4"/>
  <c r="G97" i="4" s="1"/>
  <c r="F82" i="4"/>
  <c r="I80" i="4"/>
  <c r="F70" i="4"/>
  <c r="J70" i="4" s="1"/>
  <c r="C69" i="4"/>
  <c r="F69" i="4" s="1"/>
  <c r="F49" i="4"/>
  <c r="J49" i="4" s="1"/>
  <c r="I48" i="4"/>
  <c r="F48" i="4"/>
  <c r="I47" i="4"/>
  <c r="C45" i="4"/>
  <c r="G45" i="4" s="1"/>
  <c r="I46" i="4"/>
  <c r="I45" i="4"/>
  <c r="F45" i="4"/>
  <c r="I44" i="4"/>
  <c r="C40" i="4"/>
  <c r="G40" i="4" s="1"/>
  <c r="I41" i="4"/>
  <c r="C39" i="4"/>
  <c r="G39" i="4" s="1"/>
  <c r="I40" i="4"/>
  <c r="C38" i="4"/>
  <c r="G38" i="4" s="1"/>
  <c r="I39" i="4"/>
  <c r="F39" i="4"/>
  <c r="I38" i="4"/>
  <c r="F38" i="4"/>
  <c r="I37" i="4"/>
  <c r="H51" i="4"/>
  <c r="C33" i="4"/>
  <c r="G33" i="4" s="1"/>
  <c r="I34" i="4"/>
  <c r="F34" i="4"/>
  <c r="I33" i="4"/>
  <c r="F33" i="4"/>
  <c r="I32" i="4"/>
  <c r="F32" i="4"/>
  <c r="I31" i="4"/>
  <c r="F31" i="4"/>
  <c r="I30" i="4"/>
  <c r="F28" i="4"/>
  <c r="J28" i="4" s="1"/>
  <c r="I27" i="4"/>
  <c r="F27" i="4"/>
  <c r="I26" i="4"/>
  <c r="F26" i="4"/>
  <c r="I25" i="4"/>
  <c r="F25" i="4"/>
  <c r="I24" i="4"/>
  <c r="F24" i="4"/>
  <c r="I23" i="4"/>
  <c r="E51" i="4"/>
  <c r="E53" i="4" s="1"/>
  <c r="E147" i="4" s="1"/>
  <c r="F106" i="4"/>
  <c r="G114" i="4"/>
  <c r="F87" i="4"/>
  <c r="C87" i="4" s="1"/>
  <c r="G87" i="4" s="1"/>
  <c r="F81" i="4"/>
  <c r="C72" i="4"/>
  <c r="C95" i="4"/>
  <c r="G95" i="4" s="1"/>
  <c r="C106" i="4"/>
  <c r="G106" i="4" s="1"/>
  <c r="I79" i="4"/>
  <c r="J79" i="4" s="1"/>
  <c r="I96" i="4"/>
  <c r="I104" i="4"/>
  <c r="J104" i="4" s="1"/>
  <c r="G49" i="4"/>
  <c r="C73" i="4"/>
  <c r="G73" i="4" s="1"/>
  <c r="C83" i="4"/>
  <c r="G83" i="4" s="1"/>
  <c r="F75" i="4"/>
  <c r="C75" i="4" s="1"/>
  <c r="G75" i="4" s="1"/>
  <c r="F102" i="4"/>
  <c r="I91" i="4"/>
  <c r="I95" i="4"/>
  <c r="J95" i="4" s="1"/>
  <c r="I103" i="4"/>
  <c r="I105" i="4"/>
  <c r="J105" i="4" s="1"/>
  <c r="C80" i="4"/>
  <c r="G80" i="4" s="1"/>
  <c r="C90" i="4"/>
  <c r="G90" i="4" s="1"/>
  <c r="F96" i="4"/>
  <c r="I87" i="4"/>
  <c r="J87" i="4" s="1"/>
  <c r="I71" i="4"/>
  <c r="F72" i="4"/>
  <c r="F89" i="4"/>
  <c r="J89" i="4" s="1"/>
  <c r="I90" i="4"/>
  <c r="J90" i="4" s="1"/>
  <c r="C91" i="4"/>
  <c r="F91" i="4" s="1"/>
  <c r="I81" i="4"/>
  <c r="F80" i="4"/>
  <c r="C82" i="4"/>
  <c r="C74" i="4"/>
  <c r="I75" i="4"/>
  <c r="C70" i="4"/>
  <c r="I77" i="4"/>
  <c r="J77" i="4" s="1"/>
  <c r="C78" i="4"/>
  <c r="C81" i="4"/>
  <c r="G81" i="4" s="1"/>
  <c r="C71" i="4"/>
  <c r="I72" i="4"/>
  <c r="C77" i="4"/>
  <c r="G77" i="4" s="1"/>
  <c r="I98" i="4"/>
  <c r="C99" i="4"/>
  <c r="G99" i="4" s="1"/>
  <c r="F97" i="4"/>
  <c r="J97" i="4" s="1"/>
  <c r="I106" i="4"/>
  <c r="C105" i="4"/>
  <c r="G105" i="4" s="1"/>
  <c r="F107" i="4"/>
  <c r="C107" i="4" s="1"/>
  <c r="G107" i="4" s="1"/>
  <c r="I102" i="4"/>
  <c r="F103" i="4"/>
  <c r="C101" i="4"/>
  <c r="F101" i="4" s="1"/>
  <c r="C113" i="4"/>
  <c r="G113" i="4" s="1"/>
  <c r="F88" i="4"/>
  <c r="J88" i="4" s="1"/>
  <c r="C98" i="4"/>
  <c r="G98" i="4" s="1"/>
  <c r="I78" i="4"/>
  <c r="J78" i="4" s="1"/>
  <c r="C79" i="4"/>
  <c r="C89" i="4"/>
  <c r="G89" i="4" s="1"/>
  <c r="I119" i="4"/>
  <c r="J119" i="4" s="1"/>
  <c r="F120" i="4"/>
  <c r="J120" i="4" s="1"/>
  <c r="I118" i="4"/>
  <c r="I115" i="4"/>
  <c r="J115" i="4" s="1"/>
  <c r="I114" i="4"/>
  <c r="I113" i="4"/>
  <c r="I112" i="4"/>
  <c r="F113" i="4"/>
  <c r="F112" i="4"/>
  <c r="I111" i="4"/>
  <c r="J111" i="4" s="1"/>
  <c r="C109" i="4"/>
  <c r="F109" i="4" s="1"/>
  <c r="I110" i="4"/>
  <c r="J110" i="4" s="1"/>
  <c r="I109" i="4"/>
  <c r="G88" i="4"/>
  <c r="J73" i="4"/>
  <c r="F74" i="4"/>
  <c r="F21" i="4"/>
  <c r="G118" i="4"/>
  <c r="C24" i="4"/>
  <c r="G24" i="4" s="1"/>
  <c r="C46" i="4"/>
  <c r="G46" i="4" s="1"/>
  <c r="C30" i="4"/>
  <c r="G30" i="4" s="1"/>
  <c r="F40" i="4"/>
  <c r="G20" i="4"/>
  <c r="G27" i="4"/>
  <c r="G41" i="4"/>
  <c r="G44" i="4"/>
  <c r="F44" i="4"/>
  <c r="G48" i="4"/>
  <c r="F35" i="4"/>
  <c r="J35" i="4" s="1"/>
  <c r="C18" i="4"/>
  <c r="C25" i="4"/>
  <c r="C31" i="4"/>
  <c r="C37" i="4"/>
  <c r="C47" i="4"/>
  <c r="F41" i="4"/>
  <c r="F46" i="4"/>
  <c r="G112" i="4"/>
  <c r="C26" i="4"/>
  <c r="C32" i="4"/>
  <c r="F19" i="4"/>
  <c r="F42" i="4"/>
  <c r="J42" i="4" s="1"/>
  <c r="F47" i="4"/>
  <c r="C23" i="4"/>
  <c r="F18" i="4"/>
  <c r="G104" i="4"/>
  <c r="D47" i="1"/>
  <c r="E47" i="1"/>
  <c r="F47" i="1"/>
  <c r="G47" i="1"/>
  <c r="I47" i="1"/>
  <c r="J47" i="1"/>
  <c r="D36" i="1"/>
  <c r="E36" i="1"/>
  <c r="F36" i="1"/>
  <c r="G36" i="1"/>
  <c r="I36" i="1"/>
  <c r="J36" i="1"/>
  <c r="D37" i="1"/>
  <c r="E37" i="1"/>
  <c r="F37" i="1"/>
  <c r="G37" i="1"/>
  <c r="I37" i="1"/>
  <c r="J37" i="1"/>
  <c r="D38" i="1"/>
  <c r="E38" i="1"/>
  <c r="F38" i="1"/>
  <c r="G38" i="1"/>
  <c r="I38" i="1"/>
  <c r="J38" i="1"/>
  <c r="D39" i="1"/>
  <c r="E39" i="1"/>
  <c r="F39" i="1"/>
  <c r="G39" i="1"/>
  <c r="I39" i="1"/>
  <c r="J39" i="1"/>
  <c r="D40" i="1"/>
  <c r="E40" i="1"/>
  <c r="F40" i="1"/>
  <c r="G40" i="1"/>
  <c r="I40" i="1"/>
  <c r="J40" i="1"/>
  <c r="D41" i="1"/>
  <c r="E41" i="1"/>
  <c r="F41" i="1"/>
  <c r="G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I43" i="1"/>
  <c r="J43" i="1"/>
  <c r="D44" i="1"/>
  <c r="E44" i="1"/>
  <c r="F44" i="1"/>
  <c r="G44" i="1"/>
  <c r="I44" i="1"/>
  <c r="J44" i="1"/>
  <c r="D45" i="1"/>
  <c r="E45" i="1"/>
  <c r="F45" i="1"/>
  <c r="G45" i="1"/>
  <c r="I45" i="1"/>
  <c r="J45" i="1"/>
  <c r="D46" i="1"/>
  <c r="E46" i="1"/>
  <c r="F46" i="1"/>
  <c r="G46" i="1"/>
  <c r="I46" i="1"/>
  <c r="J46" i="1"/>
  <c r="E35" i="1"/>
  <c r="F35" i="1"/>
  <c r="G35" i="1"/>
  <c r="I35" i="1"/>
  <c r="J35" i="1"/>
  <c r="D35" i="1"/>
  <c r="K23" i="1"/>
  <c r="K24" i="1"/>
  <c r="K25" i="1"/>
  <c r="K26" i="1"/>
  <c r="K39" i="1" s="1"/>
  <c r="K27" i="1"/>
  <c r="K28" i="1"/>
  <c r="K29" i="1"/>
  <c r="K42" i="1" s="1"/>
  <c r="K30" i="1"/>
  <c r="K31" i="1"/>
  <c r="K32" i="1"/>
  <c r="K33" i="1"/>
  <c r="K34" i="1"/>
  <c r="K22" i="1"/>
  <c r="H23" i="1"/>
  <c r="H24" i="1"/>
  <c r="H27" i="1"/>
  <c r="H28" i="1"/>
  <c r="H30" i="1"/>
  <c r="H31" i="1"/>
  <c r="H32" i="1"/>
  <c r="H33" i="1"/>
  <c r="H22" i="1"/>
  <c r="D9" i="1"/>
  <c r="E9" i="1"/>
  <c r="F9" i="1"/>
  <c r="G9" i="1"/>
  <c r="D10" i="1"/>
  <c r="E10" i="1"/>
  <c r="F10" i="1"/>
  <c r="G10" i="1"/>
  <c r="E8" i="1"/>
  <c r="F8" i="1"/>
  <c r="G8" i="1"/>
  <c r="D8" i="1"/>
  <c r="K10" i="1"/>
  <c r="K9" i="1"/>
  <c r="K8" i="1"/>
  <c r="K57" i="1"/>
  <c r="K65" i="1" s="1"/>
  <c r="K58" i="1"/>
  <c r="K66" i="1" s="1"/>
  <c r="K59" i="1"/>
  <c r="K67" i="1" s="1"/>
  <c r="K60" i="1"/>
  <c r="K68" i="1" s="1"/>
  <c r="K61" i="1"/>
  <c r="K69" i="1" s="1"/>
  <c r="K62" i="1"/>
  <c r="H70" i="1" s="1"/>
  <c r="K63" i="1"/>
  <c r="H71" i="1" s="1"/>
  <c r="K56" i="1"/>
  <c r="K64" i="1" s="1"/>
  <c r="H10" i="1"/>
  <c r="H9" i="1"/>
  <c r="H8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E69" i="1"/>
  <c r="F69" i="1"/>
  <c r="G69" i="1"/>
  <c r="E64" i="1"/>
  <c r="F64" i="1"/>
  <c r="G64" i="1"/>
  <c r="D64" i="1"/>
  <c r="D72" i="1" s="1"/>
  <c r="G75" i="1" s="1"/>
  <c r="G83" i="1" s="1"/>
  <c r="H57" i="1"/>
  <c r="H65" i="1" s="1"/>
  <c r="H58" i="1"/>
  <c r="H66" i="1" s="1"/>
  <c r="H67" i="1"/>
  <c r="H68" i="1"/>
  <c r="H61" i="1"/>
  <c r="H69" i="1" s="1"/>
  <c r="H62" i="1"/>
  <c r="K70" i="1" s="1"/>
  <c r="H56" i="1"/>
  <c r="H64" i="1" s="1"/>
  <c r="J56" i="1"/>
  <c r="J64" i="1" s="1"/>
  <c r="J57" i="1"/>
  <c r="J65" i="1" s="1"/>
  <c r="J58" i="1"/>
  <c r="J66" i="1" s="1"/>
  <c r="J59" i="1"/>
  <c r="J67" i="1" s="1"/>
  <c r="J60" i="1"/>
  <c r="J68" i="1" s="1"/>
  <c r="J61" i="1"/>
  <c r="J69" i="1" s="1"/>
  <c r="J62" i="1"/>
  <c r="I70" i="1" s="1"/>
  <c r="J63" i="1"/>
  <c r="I71" i="1" s="1"/>
  <c r="I57" i="1"/>
  <c r="I65" i="1" s="1"/>
  <c r="I58" i="1"/>
  <c r="I66" i="1" s="1"/>
  <c r="I59" i="1"/>
  <c r="I67" i="1" s="1"/>
  <c r="I60" i="1"/>
  <c r="I68" i="1" s="1"/>
  <c r="I61" i="1"/>
  <c r="I69" i="1" s="1"/>
  <c r="I62" i="1"/>
  <c r="J70" i="1" s="1"/>
  <c r="I63" i="1"/>
  <c r="J71" i="1" s="1"/>
  <c r="I56" i="1"/>
  <c r="I64" i="1" s="1"/>
  <c r="J40" i="4" l="1"/>
  <c r="H53" i="4"/>
  <c r="J114" i="4"/>
  <c r="J71" i="4"/>
  <c r="J17" i="4"/>
  <c r="D147" i="4"/>
  <c r="J27" i="4"/>
  <c r="G48" i="1"/>
  <c r="D48" i="1"/>
  <c r="D51" i="1" s="1"/>
  <c r="D80" i="1" s="1"/>
  <c r="F48" i="1"/>
  <c r="F51" i="1" s="1"/>
  <c r="F80" i="1" s="1"/>
  <c r="E48" i="1"/>
  <c r="E51" i="1" s="1"/>
  <c r="E80" i="1" s="1"/>
  <c r="D11" i="1"/>
  <c r="D18" i="1" s="1"/>
  <c r="D79" i="1" s="1"/>
  <c r="H41" i="1"/>
  <c r="K38" i="1"/>
  <c r="H45" i="1"/>
  <c r="H40" i="1"/>
  <c r="H36" i="1"/>
  <c r="K45" i="1"/>
  <c r="K41" i="1"/>
  <c r="K37" i="1"/>
  <c r="H46" i="1"/>
  <c r="H35" i="1"/>
  <c r="H44" i="1"/>
  <c r="H39" i="1"/>
  <c r="K35" i="1"/>
  <c r="K44" i="1"/>
  <c r="K40" i="1"/>
  <c r="K36" i="1"/>
  <c r="H37" i="1"/>
  <c r="K46" i="1"/>
  <c r="H47" i="1"/>
  <c r="H43" i="1"/>
  <c r="H38" i="1"/>
  <c r="K47" i="1"/>
  <c r="K43" i="1"/>
  <c r="J10" i="1"/>
  <c r="J9" i="1"/>
  <c r="J8" i="1"/>
  <c r="I9" i="1"/>
  <c r="I8" i="1"/>
  <c r="I10" i="1"/>
  <c r="F83" i="4"/>
  <c r="J83" i="4" s="1"/>
  <c r="J118" i="4"/>
  <c r="J81" i="4"/>
  <c r="J44" i="4"/>
  <c r="J25" i="4"/>
  <c r="J31" i="4"/>
  <c r="J33" i="4"/>
  <c r="J41" i="4"/>
  <c r="J48" i="4"/>
  <c r="E137" i="4"/>
  <c r="F137" i="4" s="1"/>
  <c r="J47" i="4"/>
  <c r="C51" i="4"/>
  <c r="C53" i="4" s="1"/>
  <c r="C147" i="4" s="1"/>
  <c r="J39" i="4"/>
  <c r="J45" i="4"/>
  <c r="G69" i="4"/>
  <c r="J38" i="4"/>
  <c r="J24" i="4"/>
  <c r="J32" i="4"/>
  <c r="J98" i="4"/>
  <c r="J20" i="4"/>
  <c r="J26" i="4"/>
  <c r="J34" i="4"/>
  <c r="J106" i="4"/>
  <c r="G16" i="4"/>
  <c r="J46" i="4"/>
  <c r="J82" i="4"/>
  <c r="J91" i="4"/>
  <c r="F99" i="4"/>
  <c r="J99" i="4" s="1"/>
  <c r="J134" i="4"/>
  <c r="I137" i="4"/>
  <c r="I140" i="4" s="1"/>
  <c r="I143" i="4" s="1"/>
  <c r="J96" i="4"/>
  <c r="J109" i="4"/>
  <c r="J113" i="4"/>
  <c r="J103" i="4"/>
  <c r="J102" i="4"/>
  <c r="G82" i="4"/>
  <c r="I51" i="4"/>
  <c r="I53" i="4" s="1"/>
  <c r="I147" i="4" s="1"/>
  <c r="F30" i="4"/>
  <c r="J30" i="4" s="1"/>
  <c r="J21" i="4"/>
  <c r="G79" i="4"/>
  <c r="J75" i="4"/>
  <c r="G91" i="4"/>
  <c r="J72" i="4"/>
  <c r="G72" i="4"/>
  <c r="J80" i="4"/>
  <c r="G71" i="4"/>
  <c r="J112" i="4"/>
  <c r="G74" i="4"/>
  <c r="G70" i="4"/>
  <c r="G78" i="4"/>
  <c r="G109" i="4"/>
  <c r="J107" i="4"/>
  <c r="J74" i="4"/>
  <c r="F122" i="4"/>
  <c r="J122" i="4" s="1"/>
  <c r="F121" i="4"/>
  <c r="J121" i="4" s="1"/>
  <c r="C120" i="4"/>
  <c r="J69" i="4"/>
  <c r="G96" i="4"/>
  <c r="G25" i="4"/>
  <c r="G32" i="4"/>
  <c r="G47" i="4"/>
  <c r="G18" i="4"/>
  <c r="G26" i="4"/>
  <c r="G37" i="4"/>
  <c r="F37" i="4"/>
  <c r="J37" i="4" s="1"/>
  <c r="J16" i="4"/>
  <c r="J19" i="4"/>
  <c r="G110" i="4"/>
  <c r="G23" i="4"/>
  <c r="F23" i="4"/>
  <c r="J23" i="4" s="1"/>
  <c r="G111" i="4"/>
  <c r="G31" i="4"/>
  <c r="J18" i="4"/>
  <c r="I48" i="1"/>
  <c r="I51" i="1" s="1"/>
  <c r="I80" i="1" s="1"/>
  <c r="G51" i="1"/>
  <c r="G80" i="1" s="1"/>
  <c r="J48" i="1"/>
  <c r="J51" i="1" s="1"/>
  <c r="J80" i="1" s="1"/>
  <c r="E11" i="1"/>
  <c r="E18" i="1" s="1"/>
  <c r="E79" i="1" s="1"/>
  <c r="G11" i="1"/>
  <c r="G18" i="1" s="1"/>
  <c r="G79" i="1" s="1"/>
  <c r="F11" i="1"/>
  <c r="F18" i="1" s="1"/>
  <c r="F79" i="1" s="1"/>
  <c r="H11" i="1"/>
  <c r="H18" i="1" s="1"/>
  <c r="H79" i="1" s="1"/>
  <c r="K11" i="1"/>
  <c r="K18" i="1" s="1"/>
  <c r="K79" i="1" s="1"/>
  <c r="F72" i="1"/>
  <c r="E75" i="1" s="1"/>
  <c r="E83" i="1" s="1"/>
  <c r="E72" i="1"/>
  <c r="F75" i="1" s="1"/>
  <c r="F83" i="1" s="1"/>
  <c r="G72" i="1"/>
  <c r="D75" i="1" s="1"/>
  <c r="D83" i="1" s="1"/>
  <c r="I72" i="1"/>
  <c r="J75" i="1" s="1"/>
  <c r="J83" i="1" s="1"/>
  <c r="H72" i="1"/>
  <c r="K75" i="1" s="1"/>
  <c r="K83" i="1" s="1"/>
  <c r="K72" i="1"/>
  <c r="H75" i="1" s="1"/>
  <c r="H83" i="1" s="1"/>
  <c r="J72" i="1"/>
  <c r="I75" i="1" s="1"/>
  <c r="I83" i="1" s="1"/>
  <c r="F82" i="1" l="1"/>
  <c r="E82" i="1"/>
  <c r="E85" i="1" s="1"/>
  <c r="H147" i="4"/>
  <c r="C150" i="4"/>
  <c r="J11" i="1"/>
  <c r="J18" i="1" s="1"/>
  <c r="J79" i="1" s="1"/>
  <c r="J82" i="1" s="1"/>
  <c r="H48" i="1"/>
  <c r="H51" i="1" s="1"/>
  <c r="H80" i="1" s="1"/>
  <c r="I11" i="1"/>
  <c r="I18" i="1" s="1"/>
  <c r="I79" i="1" s="1"/>
  <c r="I82" i="1" s="1"/>
  <c r="I85" i="1" s="1"/>
  <c r="K48" i="1"/>
  <c r="K51" i="1" s="1"/>
  <c r="K80" i="1" s="1"/>
  <c r="J51" i="4"/>
  <c r="J53" i="4" s="1"/>
  <c r="J147" i="4" s="1"/>
  <c r="G150" i="4" s="1"/>
  <c r="E140" i="4"/>
  <c r="E143" i="4" s="1"/>
  <c r="J137" i="4"/>
  <c r="J140" i="4" s="1"/>
  <c r="J143" i="4" s="1"/>
  <c r="G51" i="4"/>
  <c r="G53" i="4" s="1"/>
  <c r="G147" i="4" s="1"/>
  <c r="F51" i="4"/>
  <c r="F53" i="4" s="1"/>
  <c r="F147" i="4" s="1"/>
  <c r="D150" i="4" s="1"/>
  <c r="C151" i="4" s="1"/>
  <c r="C122" i="4"/>
  <c r="G122" i="4" s="1"/>
  <c r="G120" i="4"/>
  <c r="C121" i="4"/>
  <c r="G121" i="4" s="1"/>
  <c r="D82" i="1" l="1"/>
  <c r="D85" i="1" s="1"/>
  <c r="F150" i="4"/>
  <c r="H82" i="1"/>
  <c r="H85" i="1" s="1"/>
  <c r="G88" i="1" s="1"/>
  <c r="D88" i="1"/>
  <c r="K82" i="1"/>
  <c r="J85" i="1"/>
  <c r="F85" i="1"/>
  <c r="G82" i="1"/>
  <c r="G85" i="1" s="1"/>
  <c r="E88" i="1" s="1"/>
  <c r="F151" i="4"/>
  <c r="F140" i="4"/>
  <c r="F143" i="4" s="1"/>
  <c r="J101" i="4"/>
  <c r="G101" i="4"/>
  <c r="D89" i="1" l="1"/>
  <c r="K85" i="1"/>
  <c r="H88" i="1" s="1"/>
  <c r="G89" i="1" s="1"/>
  <c r="H159" i="4"/>
  <c r="G159" i="4" s="1"/>
  <c r="C162" i="4" l="1"/>
  <c r="F162" i="4"/>
  <c r="I159" i="4"/>
  <c r="J159" i="4" s="1"/>
  <c r="D162" i="4" l="1"/>
  <c r="C163" i="4" s="1"/>
  <c r="G162" i="4"/>
  <c r="F163" i="4" s="1"/>
  <c r="C164" i="4" l="1"/>
</calcChain>
</file>

<file path=xl/sharedStrings.xml><?xml version="1.0" encoding="utf-8"?>
<sst xmlns="http://schemas.openxmlformats.org/spreadsheetml/2006/main" count="827" uniqueCount="201">
  <si>
    <t>Удельный вес</t>
  </si>
  <si>
    <t>1. Расчет коэффициента A</t>
  </si>
  <si>
    <t>2. Расчет UCP</t>
  </si>
  <si>
    <t>3. Расчет UUCP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</si>
  <si>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</si>
  <si>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</si>
  <si>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</si>
  <si>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</si>
  <si>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</si>
  <si>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</si>
  <si>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</si>
  <si>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</si>
  <si>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</si>
  <si>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</si>
  <si>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</si>
  <si>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</si>
  <si>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</si>
  <si>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7. Расчет EF</t>
  </si>
  <si>
    <t>Верхний альфа -срез</t>
  </si>
  <si>
    <t>Нижний альфа-срез</t>
  </si>
  <si>
    <t>UFP</t>
  </si>
  <si>
    <t>UFP_ILF</t>
  </si>
  <si>
    <t>UFP_EIF</t>
  </si>
  <si>
    <t>UFP_EI</t>
  </si>
  <si>
    <t>UFP_EO</t>
  </si>
  <si>
    <t>UFP_EQ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</si>
  <si>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</si>
  <si>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</si>
  <si>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</si>
  <si>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</si>
  <si>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</si>
  <si>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</si>
  <si>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</si>
  <si>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</si>
  <si>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</si>
  <si>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</si>
  <si>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</si>
  <si>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</si>
  <si>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</si>
  <si>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</si>
  <si>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TDI</t>
  </si>
  <si>
    <t>VAF</t>
  </si>
  <si>
    <t>Фактор масштаба</t>
  </si>
  <si>
    <t>Оценка уровня фактора</t>
  </si>
  <si>
    <t>Very Low</t>
  </si>
  <si>
    <t>Low</t>
  </si>
  <si>
    <t>High</t>
  </si>
  <si>
    <t>Very High</t>
  </si>
  <si>
    <t>Extra High</t>
  </si>
  <si>
    <t>PREC</t>
  </si>
  <si>
    <t>FLEX</t>
  </si>
  <si>
    <t>RESL</t>
  </si>
  <si>
    <t>TEAM</t>
  </si>
  <si>
    <t>PMAT</t>
  </si>
  <si>
    <t xml:space="preserve"> 1. PREC</t>
  </si>
  <si>
    <t>2. FLEX</t>
  </si>
  <si>
    <t>3. RESL</t>
  </si>
  <si>
    <t>4. TEAM</t>
  </si>
  <si>
    <t>5. PMAT</t>
  </si>
  <si>
    <t>Верхняя функция принадлежности</t>
  </si>
  <si>
    <t>Very Low (0)</t>
  </si>
  <si>
    <t>Low (1)</t>
  </si>
  <si>
    <t>High (3)</t>
  </si>
  <si>
    <t>Very High (4)</t>
  </si>
  <si>
    <t>Extra High (5)</t>
  </si>
  <si>
    <t>2.  Значение множителей трудоемкости EMi</t>
  </si>
  <si>
    <t>Extra Low</t>
  </si>
  <si>
    <t>PERS</t>
  </si>
  <si>
    <t>RCPX</t>
  </si>
  <si>
    <t>RUSE</t>
  </si>
  <si>
    <t>n/a</t>
  </si>
  <si>
    <t>PDIF</t>
  </si>
  <si>
    <t>PREX</t>
  </si>
  <si>
    <t>FCIL</t>
  </si>
  <si>
    <t>SCED</t>
  </si>
  <si>
    <t>Нижняя функция принадлежности</t>
  </si>
  <si>
    <t>Нечеткие коэффициенты EMi</t>
  </si>
  <si>
    <t xml:space="preserve"> 1. PERS</t>
  </si>
  <si>
    <t>2. RCPX</t>
  </si>
  <si>
    <t>3. RUSE</t>
  </si>
  <si>
    <t>4. PDIF</t>
  </si>
  <si>
    <t>5. PREX</t>
  </si>
  <si>
    <t>6. FCIL</t>
  </si>
  <si>
    <t>7. SCED</t>
  </si>
  <si>
    <t>Extra Low (0)</t>
  </si>
  <si>
    <t>Very Low (1)</t>
  </si>
  <si>
    <t>Low (2)</t>
  </si>
  <si>
    <t>High (4)</t>
  </si>
  <si>
    <t>Very High (5)</t>
  </si>
  <si>
    <t>Extra High (6)</t>
  </si>
  <si>
    <t>-</t>
  </si>
  <si>
    <t>1*2</t>
  </si>
  <si>
    <t>1*2*3</t>
  </si>
  <si>
    <t>1*2*3*4</t>
  </si>
  <si>
    <t>1*2*3*4*5</t>
  </si>
  <si>
    <t>1*2*3*4*5*6</t>
  </si>
  <si>
    <t>1*2*3*4*5*6*7</t>
  </si>
  <si>
    <t>SIZE</t>
  </si>
  <si>
    <t>E</t>
  </si>
  <si>
    <t>A</t>
  </si>
  <si>
    <t>Множитель трудоемкости</t>
  </si>
  <si>
    <t>Nominal (2)</t>
  </si>
  <si>
    <t>Nominal (3)</t>
  </si>
  <si>
    <t>Nominal</t>
  </si>
  <si>
    <t>Метод функциональных точек (Function Points Analysis, FPA)</t>
  </si>
  <si>
    <t>1 – 19 DET</t>
  </si>
  <si>
    <t>20 – 50 DET</t>
  </si>
  <si>
    <t>50+ DET</t>
  </si>
  <si>
    <t>1 RET</t>
  </si>
  <si>
    <t>Average</t>
  </si>
  <si>
    <t>2 – 5 RET</t>
  </si>
  <si>
    <t>6+ RET</t>
  </si>
  <si>
    <t>1. Матрица сложности данных</t>
  </si>
  <si>
    <t>2. Оценка данных в невыровненных функциональных точках (UFP) для внутренних логических файлов (ILFs) и внешних интерфейсиых файлов (EIFs)</t>
  </si>
  <si>
    <t>Количество UFP (ILF)</t>
  </si>
  <si>
    <t>Количество UFP (EIF)</t>
  </si>
  <si>
    <t>3. Матрица сложности внешних входных транзакций</t>
  </si>
  <si>
    <t>EI</t>
  </si>
  <si>
    <t>1 – 4 DET</t>
  </si>
  <si>
    <t>5 – 15 DET</t>
  </si>
  <si>
    <t>16+ DET</t>
  </si>
  <si>
    <t>0-1 FTR</t>
  </si>
  <si>
    <t>2 FTR</t>
  </si>
  <si>
    <t>3+ FTR</t>
  </si>
  <si>
    <t>4. Матрица сложности внешних входных транзакций и внешних запросов 
(EO &amp; EQ)</t>
  </si>
  <si>
    <t>1 – 5 DET</t>
  </si>
  <si>
    <t>6 – 19 DET</t>
  </si>
  <si>
    <t>20+ DET</t>
  </si>
  <si>
    <t>2-3 FTR</t>
  </si>
  <si>
    <t>4+ FTR</t>
  </si>
  <si>
    <t>5. Сложность транзакций в невыровненных функциональных точках (UFP)</t>
  </si>
  <si>
    <t>Сложность транзакции</t>
  </si>
  <si>
    <t xml:space="preserve">Количество UFP </t>
  </si>
  <si>
    <t>Количество UFP (EO)</t>
  </si>
  <si>
    <r>
      <t>(</t>
    </r>
    <r>
      <rPr>
        <sz val="14"/>
        <color theme="1"/>
        <rFont val="Calibri"/>
        <family val="2"/>
        <charset val="204"/>
        <scheme val="minor"/>
      </rPr>
      <t>EO &amp; EQ</t>
    </r>
    <r>
      <rPr>
        <sz val="12"/>
        <color theme="1"/>
        <rFont val="Calibri"/>
        <family val="2"/>
        <charset val="204"/>
        <scheme val="minor"/>
      </rPr>
      <t>)</t>
    </r>
  </si>
  <si>
    <t>Пример:</t>
  </si>
  <si>
    <t>DET</t>
  </si>
  <si>
    <t>RET</t>
  </si>
  <si>
    <t>невыровненных функциональных точек</t>
  </si>
  <si>
    <t>Сложность данных</t>
  </si>
  <si>
    <t>Сложность внешних входных транзакций</t>
  </si>
  <si>
    <t>FTR</t>
  </si>
  <si>
    <t>Параметры фактора выравнивания FAV</t>
  </si>
  <si>
    <t>AFP</t>
  </si>
  <si>
    <t>выровненных функциональных точек</t>
  </si>
  <si>
    <t>Среднее значение</t>
  </si>
  <si>
    <t>Метод функциональных точек (Function Points Analysis, FPA). Применение трапециевидных нечетких чисел 2 типа</t>
  </si>
  <si>
    <t>Метод функциональных точек (Function Points Analysis, FPA). Применение колеблющихся нечетких чисел</t>
  </si>
  <si>
    <t>Значение нечеткого числа</t>
  </si>
  <si>
    <t>Нижняя степень принадлежности</t>
  </si>
  <si>
    <t>Верхняя степень принадлежности</t>
  </si>
  <si>
    <t>AFP_итог</t>
  </si>
  <si>
    <t>Модель COCOMO II</t>
  </si>
  <si>
    <t>SFj_sum</t>
  </si>
  <si>
    <t>1.  Факторы масштаба SFj</t>
  </si>
  <si>
    <t>PM</t>
  </si>
  <si>
    <t>B</t>
  </si>
  <si>
    <t>чел*мес</t>
  </si>
  <si>
    <t>Нечеткие коэффициенты SFj</t>
  </si>
  <si>
    <t>EMi_mult</t>
  </si>
  <si>
    <t>Расчет среднего значения E</t>
  </si>
  <si>
    <t>A*((SIZE)^E)</t>
  </si>
  <si>
    <t>2. Если SIZE - нечеткое число и применяем приближенные вычисления возведения в степень</t>
  </si>
  <si>
    <t>SIZE^E</t>
  </si>
  <si>
    <t>A*SIZE^E</t>
  </si>
  <si>
    <t>Нечеткая модель COCOMO II. Применение трапециевидных нечетких чисел 2 типа</t>
  </si>
  <si>
    <t>Нечеткая модель COCOMO II. Применение колеблющихся нечетких чисел</t>
  </si>
  <si>
    <t>Ai</t>
  </si>
  <si>
    <t>A1</t>
  </si>
  <si>
    <t>A2</t>
  </si>
  <si>
    <t>A3</t>
  </si>
  <si>
    <t>V1</t>
  </si>
  <si>
    <t>UUCP</t>
  </si>
  <si>
    <t>UCP</t>
  </si>
  <si>
    <t>4. Расчет STi_sum</t>
  </si>
  <si>
    <t xml:space="preserve"> STi_sum</t>
  </si>
  <si>
    <t>5. Расчет TCF</t>
  </si>
  <si>
    <t>6. Расчет SFi_sum</t>
  </si>
  <si>
    <t>F1</t>
  </si>
  <si>
    <t>F2</t>
  </si>
  <si>
    <t>F3</t>
  </si>
  <si>
    <t>F4</t>
  </si>
  <si>
    <t>F5</t>
  </si>
  <si>
    <t>F6</t>
  </si>
  <si>
    <t>F7</t>
  </si>
  <si>
    <t>F8</t>
  </si>
  <si>
    <t>SFi_sum</t>
  </si>
  <si>
    <t>8. Окончательное значение UCP</t>
  </si>
  <si>
    <t>Метод Use Case Points (UCP)</t>
  </si>
  <si>
    <t>Нечеткий метод Use Case Points (UCP).  Применение трапециевидных нечетких чисел 2 типа</t>
  </si>
  <si>
    <t>STi_sum</t>
  </si>
  <si>
    <t xml:space="preserve"> SFi_sum</t>
  </si>
  <si>
    <t>TCF</t>
  </si>
  <si>
    <t>UUCP*TCF</t>
  </si>
  <si>
    <t>EF</t>
  </si>
  <si>
    <t>Окончательное значение UCP</t>
  </si>
  <si>
    <t>Метод Use Case Points (UCP). Применение колеблющихся нечетких чисел</t>
  </si>
  <si>
    <t>Среднее значение ФП</t>
  </si>
  <si>
    <t>Итоговое ср. значение E</t>
  </si>
  <si>
    <t>PM_итог</t>
  </si>
  <si>
    <t>UCP_итог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</si>
</sst>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"/>
    <numFmt numFmtId="166" formatCode="0.0"/>
    <numFmt numFmtId="167" formatCode="#,##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0" borderId="0" xfId="0" applyFont="1" applyAlignment="1">
      <alignment vertical="center" wrapText="1"/>
    </xf>
    <xf numFmtId="0" fontId="0" fillId="7" borderId="9" xfId="0" applyFill="1" applyBorder="1"/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justify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9" borderId="9" xfId="0" applyFont="1" applyFill="1" applyBorder="1"/>
    <xf numFmtId="0" fontId="1" fillId="9" borderId="10" xfId="0" applyFont="1" applyFill="1" applyBorder="1"/>
    <xf numFmtId="0" fontId="1" fillId="9" borderId="11" xfId="0" applyFont="1" applyFill="1" applyBorder="1"/>
    <xf numFmtId="0" fontId="1" fillId="9" borderId="0" xfId="0" applyFont="1" applyFill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7" borderId="10" xfId="0" applyFill="1" applyBorder="1"/>
    <xf numFmtId="0" fontId="0" fillId="7" borderId="11" xfId="0" applyFill="1" applyBorder="1"/>
    <xf numFmtId="2" fontId="1" fillId="4" borderId="9" xfId="0" applyNumberFormat="1" applyFont="1" applyFill="1" applyBorder="1"/>
    <xf numFmtId="2" fontId="1" fillId="4" borderId="11" xfId="0" applyNumberFormat="1" applyFont="1" applyFill="1" applyBorder="1"/>
    <xf numFmtId="2" fontId="1" fillId="0" borderId="0" xfId="0" applyNumberFormat="1" applyFont="1"/>
    <xf numFmtId="2" fontId="1" fillId="4" borderId="10" xfId="0" applyNumberFormat="1" applyFont="1" applyFill="1" applyBorder="1"/>
    <xf numFmtId="2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0" fontId="1" fillId="9" borderId="6" xfId="0" applyFont="1" applyFill="1" applyBorder="1"/>
    <xf numFmtId="0" fontId="1" fillId="9" borderId="7" xfId="0" applyFont="1" applyFill="1" applyBorder="1"/>
    <xf numFmtId="0" fontId="0" fillId="9" borderId="0" xfId="0" applyFill="1"/>
    <xf numFmtId="166" fontId="1" fillId="8" borderId="9" xfId="0" applyNumberFormat="1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2" fontId="1" fillId="2" borderId="9" xfId="0" applyNumberFormat="1" applyFont="1" applyFill="1" applyBorder="1"/>
    <xf numFmtId="2" fontId="1" fillId="2" borderId="10" xfId="0" applyNumberFormat="1" applyFont="1" applyFill="1" applyBorder="1"/>
    <xf numFmtId="164" fontId="1" fillId="2" borderId="11" xfId="0" applyNumberFormat="1" applyFont="1" applyFill="1" applyBorder="1"/>
    <xf numFmtId="2" fontId="0" fillId="0" borderId="0" xfId="0" applyNumberFormat="1"/>
    <xf numFmtId="2" fontId="1" fillId="5" borderId="9" xfId="0" applyNumberFormat="1" applyFont="1" applyFill="1" applyBorder="1"/>
    <xf numFmtId="2" fontId="1" fillId="5" borderId="10" xfId="0" applyNumberFormat="1" applyFont="1" applyFill="1" applyBorder="1"/>
    <xf numFmtId="0" fontId="1" fillId="5" borderId="11" xfId="0" applyFont="1" applyFill="1" applyBorder="1"/>
    <xf numFmtId="0" fontId="0" fillId="9" borderId="12" xfId="0" applyFill="1" applyBorder="1"/>
    <xf numFmtId="0" fontId="0" fillId="0" borderId="0" xfId="0" applyAlignment="1">
      <alignment horizontal="right"/>
    </xf>
    <xf numFmtId="0" fontId="0" fillId="8" borderId="12" xfId="0" applyFill="1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4" xfId="0" applyNumberFormat="1" applyBorder="1"/>
    <xf numFmtId="166" fontId="0" fillId="0" borderId="0" xfId="0" applyNumberFormat="1"/>
    <xf numFmtId="166" fontId="0" fillId="0" borderId="5" xfId="0" applyNumberFormat="1" applyBorder="1"/>
    <xf numFmtId="165" fontId="0" fillId="9" borderId="9" xfId="0" applyNumberFormat="1" applyFill="1" applyBorder="1"/>
    <xf numFmtId="165" fontId="0" fillId="9" borderId="10" xfId="0" applyNumberFormat="1" applyFill="1" applyBorder="1"/>
    <xf numFmtId="165" fontId="0" fillId="9" borderId="11" xfId="0" applyNumberFormat="1" applyFill="1" applyBorder="1"/>
    <xf numFmtId="4" fontId="0" fillId="9" borderId="1" xfId="0" applyNumberFormat="1" applyFill="1" applyBorder="1"/>
    <xf numFmtId="4" fontId="0" fillId="9" borderId="2" xfId="0" applyNumberFormat="1" applyFill="1" applyBorder="1"/>
    <xf numFmtId="4" fontId="0" fillId="9" borderId="3" xfId="0" applyNumberFormat="1" applyFill="1" applyBorder="1"/>
    <xf numFmtId="4" fontId="0" fillId="7" borderId="9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6" fontId="0" fillId="0" borderId="3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165" fontId="0" fillId="8" borderId="26" xfId="0" applyNumberFormat="1" applyFill="1" applyBorder="1"/>
    <xf numFmtId="4" fontId="0" fillId="8" borderId="9" xfId="0" applyNumberFormat="1" applyFill="1" applyBorder="1"/>
    <xf numFmtId="4" fontId="0" fillId="8" borderId="10" xfId="0" applyNumberFormat="1" applyFill="1" applyBorder="1"/>
    <xf numFmtId="4" fontId="0" fillId="8" borderId="11" xfId="0" applyNumberFormat="1" applyFill="1" applyBorder="1"/>
    <xf numFmtId="4" fontId="0" fillId="9" borderId="9" xfId="0" applyNumberFormat="1" applyFill="1" applyBorder="1"/>
    <xf numFmtId="4" fontId="0" fillId="9" borderId="10" xfId="0" applyNumberFormat="1" applyFill="1" applyBorder="1"/>
    <xf numFmtId="4" fontId="0" fillId="9" borderId="11" xfId="0" applyNumberFormat="1" applyFill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" fontId="0" fillId="0" borderId="5" xfId="0" applyNumberFormat="1" applyBorder="1"/>
    <xf numFmtId="0" fontId="0" fillId="9" borderId="3" xfId="0" applyFill="1" applyBorder="1"/>
    <xf numFmtId="4" fontId="0" fillId="9" borderId="5" xfId="0" applyNumberFormat="1" applyFill="1" applyBorder="1"/>
    <xf numFmtId="0" fontId="0" fillId="9" borderId="5" xfId="0" applyFill="1" applyBorder="1"/>
    <xf numFmtId="0" fontId="0" fillId="9" borderId="8" xfId="0" applyFill="1" applyBorder="1"/>
    <xf numFmtId="0" fontId="0" fillId="8" borderId="3" xfId="0" applyFill="1" applyBorder="1"/>
    <xf numFmtId="4" fontId="0" fillId="8" borderId="5" xfId="0" applyNumberFormat="1" applyFill="1" applyBorder="1"/>
    <xf numFmtId="0" fontId="0" fillId="8" borderId="5" xfId="0" applyFill="1" applyBorder="1"/>
    <xf numFmtId="0" fontId="0" fillId="8" borderId="8" xfId="0" applyFill="1" applyBorder="1"/>
    <xf numFmtId="0" fontId="0" fillId="0" borderId="0" xfId="0" applyAlignment="1">
      <alignment vertical="center" wrapText="1"/>
    </xf>
    <xf numFmtId="0" fontId="0" fillId="6" borderId="17" xfId="0" applyFill="1" applyBorder="1"/>
    <xf numFmtId="0" fontId="0" fillId="6" borderId="2" xfId="0" applyFill="1" applyBorder="1"/>
    <xf numFmtId="4" fontId="0" fillId="0" borderId="1" xfId="0" applyNumberFormat="1" applyBorder="1"/>
    <xf numFmtId="4" fontId="0" fillId="0" borderId="3" xfId="0" applyNumberFormat="1" applyBorder="1"/>
    <xf numFmtId="0" fontId="0" fillId="6" borderId="0" xfId="0" applyFill="1"/>
    <xf numFmtId="4" fontId="0" fillId="0" borderId="4" xfId="0" applyNumberFormat="1" applyBorder="1"/>
    <xf numFmtId="0" fontId="0" fillId="3" borderId="17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4" fontId="0" fillId="3" borderId="4" xfId="0" applyNumberFormat="1" applyFill="1" applyBorder="1"/>
    <xf numFmtId="4" fontId="0" fillId="3" borderId="5" xfId="0" applyNumberFormat="1" applyFill="1" applyBorder="1"/>
    <xf numFmtId="0" fontId="0" fillId="6" borderId="7" xfId="0" applyFill="1" applyBorder="1"/>
    <xf numFmtId="4" fontId="0" fillId="0" borderId="6" xfId="0" applyNumberFormat="1" applyBorder="1"/>
    <xf numFmtId="4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" fontId="0" fillId="3" borderId="1" xfId="0" applyNumberFormat="1" applyFill="1" applyBorder="1"/>
    <xf numFmtId="4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" fontId="0" fillId="3" borderId="6" xfId="0" applyNumberFormat="1" applyFill="1" applyBorder="1"/>
    <xf numFmtId="4" fontId="0" fillId="3" borderId="8" xfId="0" applyNumberFormat="1" applyFill="1" applyBorder="1"/>
    <xf numFmtId="0" fontId="0" fillId="7" borderId="17" xfId="0" applyFill="1" applyBorder="1"/>
    <xf numFmtId="0" fontId="0" fillId="7" borderId="2" xfId="0" applyFill="1" applyBorder="1"/>
    <xf numFmtId="0" fontId="0" fillId="7" borderId="0" xfId="0" applyFill="1"/>
    <xf numFmtId="0" fontId="0" fillId="2" borderId="17" xfId="0" applyFill="1" applyBorder="1"/>
    <xf numFmtId="4" fontId="0" fillId="2" borderId="4" xfId="0" applyNumberFormat="1" applyFill="1" applyBorder="1"/>
    <xf numFmtId="4" fontId="0" fillId="2" borderId="5" xfId="0" applyNumberFormat="1" applyFill="1" applyBorder="1"/>
    <xf numFmtId="0" fontId="0" fillId="7" borderId="7" xfId="0" applyFill="1" applyBorder="1"/>
    <xf numFmtId="0" fontId="0" fillId="7" borderId="19" xfId="0" applyFill="1" applyBorder="1"/>
    <xf numFmtId="0" fontId="0" fillId="0" borderId="3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7" borderId="21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7" borderId="20" xfId="0" applyFill="1" applyBorder="1"/>
    <xf numFmtId="0" fontId="0" fillId="7" borderId="22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7" borderId="18" xfId="0" applyFill="1" applyBorder="1"/>
    <xf numFmtId="4" fontId="0" fillId="8" borderId="4" xfId="0" applyNumberFormat="1" applyFill="1" applyBorder="1"/>
    <xf numFmtId="0" fontId="1" fillId="7" borderId="26" xfId="0" applyFont="1" applyFill="1" applyBorder="1"/>
    <xf numFmtId="0" fontId="1" fillId="0" borderId="0" xfId="0" applyFont="1" applyAlignment="1">
      <alignment horizontal="right" vertical="center" wrapText="1"/>
    </xf>
    <xf numFmtId="167" fontId="1" fillId="7" borderId="26" xfId="0" applyNumberFormat="1" applyFont="1" applyFill="1" applyBorder="1"/>
    <xf numFmtId="0" fontId="3" fillId="0" borderId="26" xfId="0" applyFont="1" applyBorder="1" applyAlignment="1">
      <alignment vertical="center" wrapText="1"/>
    </xf>
    <xf numFmtId="0" fontId="0" fillId="9" borderId="13" xfId="0" applyFill="1" applyBorder="1"/>
    <xf numFmtId="0" fontId="0" fillId="9" borderId="28" xfId="0" applyFill="1" applyBorder="1"/>
    <xf numFmtId="0" fontId="0" fillId="9" borderId="16" xfId="0" applyFill="1" applyBorder="1"/>
    <xf numFmtId="0" fontId="0" fillId="8" borderId="13" xfId="0" applyFill="1" applyBorder="1"/>
    <xf numFmtId="0" fontId="0" fillId="8" borderId="28" xfId="0" applyFill="1" applyBorder="1"/>
    <xf numFmtId="0" fontId="0" fillId="8" borderId="16" xfId="0" applyFill="1" applyBorder="1"/>
    <xf numFmtId="0" fontId="1" fillId="9" borderId="26" xfId="0" applyFont="1" applyFill="1" applyBorder="1"/>
    <xf numFmtId="4" fontId="1" fillId="7" borderId="26" xfId="0" applyNumberFormat="1" applyFont="1" applyFill="1" applyBorder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9" borderId="26" xfId="0" applyNumberFormat="1" applyFont="1" applyFill="1" applyBorder="1"/>
    <xf numFmtId="0" fontId="1" fillId="5" borderId="12" xfId="0" applyFont="1" applyFill="1" applyBorder="1"/>
    <xf numFmtId="2" fontId="1" fillId="5" borderId="16" xfId="0" applyNumberFormat="1" applyFont="1" applyFill="1" applyBorder="1"/>
    <xf numFmtId="4" fontId="1" fillId="5" borderId="26" xfId="0" applyNumberFormat="1" applyFont="1" applyFill="1" applyBorder="1"/>
    <xf numFmtId="4" fontId="0" fillId="8" borderId="0" xfId="0" applyNumberFormat="1" applyFill="1"/>
    <xf numFmtId="4" fontId="0" fillId="8" borderId="1" xfId="0" applyNumberFormat="1" applyFill="1" applyBorder="1"/>
    <xf numFmtId="4" fontId="0" fillId="8" borderId="2" xfId="0" applyNumberFormat="1" applyFill="1" applyBorder="1"/>
    <xf numFmtId="4" fontId="0" fillId="8" borderId="3" xfId="0" applyNumberFormat="1" applyFill="1" applyBorder="1"/>
    <xf numFmtId="4" fontId="0" fillId="6" borderId="4" xfId="0" applyNumberFormat="1" applyFill="1" applyBorder="1"/>
    <xf numFmtId="4" fontId="0" fillId="6" borderId="0" xfId="0" applyNumberFormat="1" applyFill="1"/>
    <xf numFmtId="4" fontId="0" fillId="6" borderId="5" xfId="0" applyNumberFormat="1" applyFill="1" applyBorder="1"/>
    <xf numFmtId="4" fontId="0" fillId="8" borderId="6" xfId="0" applyNumberFormat="1" applyFill="1" applyBorder="1"/>
    <xf numFmtId="4" fontId="0" fillId="8" borderId="7" xfId="0" applyNumberFormat="1" applyFill="1" applyBorder="1"/>
    <xf numFmtId="4" fontId="0" fillId="8" borderId="8" xfId="0" applyNumberFormat="1" applyFill="1" applyBorder="1"/>
    <xf numFmtId="4" fontId="0" fillId="4" borderId="9" xfId="0" applyNumberFormat="1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0" fillId="9" borderId="1" xfId="0" applyFill="1" applyBorder="1"/>
    <xf numFmtId="0" fontId="0" fillId="9" borderId="2" xfId="0" applyFill="1" applyBorder="1"/>
    <xf numFmtId="0" fontId="1" fillId="0" borderId="0" xfId="0" applyFont="1" applyAlignment="1">
      <alignment horizontal="left"/>
    </xf>
    <xf numFmtId="0" fontId="1" fillId="9" borderId="26" xfId="0" applyFont="1" applyFill="1" applyBorder="1" applyAlignment="1">
      <alignment horizontal="center"/>
    </xf>
    <xf numFmtId="4" fontId="1" fillId="2" borderId="9" xfId="0" applyNumberFormat="1" applyFont="1" applyFill="1" applyBorder="1"/>
    <xf numFmtId="4" fontId="1" fillId="2" borderId="10" xfId="0" applyNumberFormat="1" applyFont="1" applyFill="1" applyBorder="1"/>
    <xf numFmtId="4" fontId="1" fillId="2" borderId="11" xfId="0" applyNumberFormat="1" applyFont="1" applyFill="1" applyBorder="1"/>
    <xf numFmtId="4" fontId="1" fillId="7" borderId="9" xfId="0" applyNumberFormat="1" applyFont="1" applyFill="1" applyBorder="1"/>
    <xf numFmtId="4" fontId="1" fillId="7" borderId="10" xfId="0" applyNumberFormat="1" applyFont="1" applyFill="1" applyBorder="1"/>
    <xf numFmtId="4" fontId="1" fillId="7" borderId="11" xfId="0" applyNumberFormat="1" applyFont="1" applyFill="1" applyBorder="1"/>
    <xf numFmtId="2" fontId="1" fillId="2" borderId="11" xfId="0" applyNumberFormat="1" applyFont="1" applyFill="1" applyBorder="1"/>
    <xf numFmtId="0" fontId="1" fillId="0" borderId="0" xfId="0" applyFont="1" applyAlignment="1">
      <alignment vertical="center"/>
    </xf>
    <xf numFmtId="0" fontId="0" fillId="8" borderId="1" xfId="0" applyFill="1" applyBorder="1"/>
    <xf numFmtId="0" fontId="0" fillId="8" borderId="4" xfId="0" applyFill="1" applyBorder="1"/>
    <xf numFmtId="0" fontId="0" fillId="8" borderId="6" xfId="0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2" fontId="1" fillId="7" borderId="9" xfId="0" applyNumberFormat="1" applyFont="1" applyFill="1" applyBorder="1"/>
    <xf numFmtId="2" fontId="1" fillId="7" borderId="11" xfId="0" applyNumberFormat="1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2" fontId="1" fillId="5" borderId="11" xfId="0" applyNumberFormat="1" applyFont="1" applyFill="1" applyBorder="1"/>
    <xf numFmtId="0" fontId="1" fillId="9" borderId="13" xfId="0" applyFont="1" applyFill="1" applyBorder="1"/>
    <xf numFmtId="0" fontId="1" fillId="9" borderId="28" xfId="0" applyFont="1" applyFill="1" applyBorder="1"/>
    <xf numFmtId="0" fontId="1" fillId="9" borderId="16" xfId="0" applyFont="1" applyFill="1" applyBorder="1"/>
    <xf numFmtId="0" fontId="0" fillId="9" borderId="26" xfId="0" applyFill="1" applyBorder="1"/>
    <xf numFmtId="0" fontId="0" fillId="7" borderId="26" xfId="0" applyFill="1" applyBorder="1"/>
    <xf numFmtId="0" fontId="0" fillId="9" borderId="4" xfId="0" applyFill="1" applyBorder="1"/>
    <xf numFmtId="0" fontId="1" fillId="3" borderId="26" xfId="0" applyFont="1" applyFill="1" applyBorder="1"/>
    <xf numFmtId="2" fontId="1" fillId="5" borderId="26" xfId="0" applyNumberFormat="1" applyFont="1" applyFill="1" applyBorder="1"/>
    <xf numFmtId="0" fontId="0" fillId="9" borderId="6" xfId="0" applyFill="1" applyBorder="1"/>
    <xf numFmtId="0" fontId="0" fillId="9" borderId="7" xfId="0" applyFill="1" applyBorder="1"/>
    <xf numFmtId="2" fontId="0" fillId="9" borderId="9" xfId="0" applyNumberFormat="1" applyFill="1" applyBorder="1"/>
    <xf numFmtId="2" fontId="0" fillId="9" borderId="10" xfId="0" applyNumberFormat="1" applyFill="1" applyBorder="1"/>
    <xf numFmtId="2" fontId="0" fillId="9" borderId="11" xfId="0" applyNumberFormat="1" applyFill="1" applyBorder="1"/>
    <xf numFmtId="4" fontId="1" fillId="3" borderId="9" xfId="0" applyNumberFormat="1" applyFont="1" applyFill="1" applyBorder="1"/>
    <xf numFmtId="0" fontId="1" fillId="3" borderId="10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2" fontId="1" fillId="3" borderId="9" xfId="0" applyNumberFormat="1" applyFont="1" applyFill="1" applyBorder="1"/>
    <xf numFmtId="2" fontId="1" fillId="3" borderId="10" xfId="0" applyNumberFormat="1" applyFont="1" applyFill="1" applyBorder="1"/>
    <xf numFmtId="2" fontId="1" fillId="3" borderId="11" xfId="0" applyNumberFormat="1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9" borderId="1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8" borderId="13" xfId="0" applyFont="1" applyFill="1" applyBorder="1"/>
    <xf numFmtId="0" fontId="1" fillId="8" borderId="1" xfId="0" applyFont="1" applyFill="1" applyBorder="1"/>
    <xf numFmtId="0" fontId="1" fillId="8" borderId="3" xfId="0" applyFont="1" applyFill="1" applyBorder="1"/>
    <xf numFmtId="0" fontId="1" fillId="8" borderId="28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16" xfId="0" applyFont="1" applyFill="1" applyBorder="1"/>
    <xf numFmtId="0" fontId="1" fillId="8" borderId="6" xfId="0" applyFont="1" applyFill="1" applyBorder="1"/>
    <xf numFmtId="0" fontId="1" fillId="8" borderId="8" xfId="0" applyFont="1" applyFill="1" applyBorder="1"/>
    <xf numFmtId="0" fontId="1" fillId="9" borderId="2" xfId="0" applyFont="1" applyFill="1" applyBorder="1"/>
    <xf numFmtId="166" fontId="1" fillId="8" borderId="28" xfId="0" applyNumberFormat="1" applyFont="1" applyFill="1" applyBorder="1"/>
    <xf numFmtId="166" fontId="1" fillId="8" borderId="16" xfId="0" applyNumberFormat="1" applyFont="1" applyFill="1" applyBorder="1"/>
    <xf numFmtId="2" fontId="1" fillId="8" borderId="1" xfId="0" applyNumberFormat="1" applyFont="1" applyFill="1" applyBorder="1"/>
    <xf numFmtId="2" fontId="1" fillId="8" borderId="3" xfId="0" applyNumberFormat="1" applyFont="1" applyFill="1" applyBorder="1"/>
    <xf numFmtId="2" fontId="1" fillId="8" borderId="4" xfId="0" applyNumberFormat="1" applyFont="1" applyFill="1" applyBorder="1"/>
    <xf numFmtId="2" fontId="1" fillId="8" borderId="5" xfId="0" applyNumberFormat="1" applyFont="1" applyFill="1" applyBorder="1"/>
    <xf numFmtId="2" fontId="1" fillId="8" borderId="6" xfId="0" applyNumberFormat="1" applyFont="1" applyFill="1" applyBorder="1"/>
    <xf numFmtId="2" fontId="1" fillId="8" borderId="8" xfId="0" applyNumberFormat="1" applyFont="1" applyFill="1" applyBorder="1"/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0" borderId="25" xfId="0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2" xfId="0" applyNumberFormat="1" applyBorder="1" applyAlignment="1">
      <alignment horizontal="right"/>
    </xf>
    <xf numFmtId="1" fontId="0" fillId="0" borderId="2" xfId="0" applyNumberFormat="1" applyBorder="1"/>
    <xf numFmtId="1" fontId="0" fillId="0" borderId="3" xfId="0" applyNumberFormat="1" applyBorder="1"/>
    <xf numFmtId="1" fontId="0" fillId="0" borderId="6" xfId="0" applyNumberFormat="1" applyBorder="1"/>
    <xf numFmtId="1" fontId="0" fillId="0" borderId="7" xfId="0" applyNumberFormat="1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  <xf numFmtId="2" fontId="1" fillId="3" borderId="16" xfId="0" applyNumberFormat="1" applyFont="1" applyFill="1" applyBorder="1"/>
    <xf numFmtId="2" fontId="1" fillId="5" borderId="12" xfId="0" applyNumberFormat="1" applyFont="1" applyFill="1" applyBorder="1"/>
    <xf numFmtId="1" fontId="0" fillId="9" borderId="1" xfId="0" applyNumberFormat="1" applyFill="1" applyBorder="1"/>
    <xf numFmtId="1" fontId="0" fillId="9" borderId="2" xfId="0" applyNumberFormat="1" applyFill="1" applyBorder="1"/>
    <xf numFmtId="1" fontId="0" fillId="9" borderId="3" xfId="0" applyNumberFormat="1" applyFill="1" applyBorder="1"/>
    <xf numFmtId="1" fontId="0" fillId="9" borderId="4" xfId="0" applyNumberFormat="1" applyFill="1" applyBorder="1"/>
    <xf numFmtId="1" fontId="0" fillId="9" borderId="0" xfId="0" applyNumberFormat="1" applyFill="1"/>
    <xf numFmtId="1" fontId="0" fillId="9" borderId="5" xfId="0" applyNumberFormat="1" applyFill="1" applyBorder="1"/>
    <xf numFmtId="1" fontId="0" fillId="9" borderId="6" xfId="0" applyNumberFormat="1" applyFill="1" applyBorder="1"/>
    <xf numFmtId="1" fontId="0" fillId="9" borderId="7" xfId="0" applyNumberFormat="1" applyFill="1" applyBorder="1"/>
    <xf numFmtId="1" fontId="0" fillId="9" borderId="8" xfId="0" applyNumberFormat="1" applyFill="1" applyBorder="1"/>
    <xf numFmtId="2" fontId="1" fillId="10" borderId="16" xfId="0" applyNumberFormat="1" applyFont="1" applyFill="1" applyBorder="1"/>
    <xf numFmtId="2" fontId="1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99FF"/>
      <color rgb="FFCCFFCC"/>
      <color rgb="FFCCEC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FDC0-3F10-4AE0-8800-137FFE176227}">
  <dimension ref="B2:G72"/>
  <sheetViews>
    <sheetView topLeftCell="A61" workbookViewId="0">
      <selection activeCell="C72" sqref="C72"/>
    </sheetView>
  </sheetViews>
  <sheetFormatPr defaultRowHeight="15" x14ac:dyDescent="0.25"/>
  <cols>
    <col min="2" max="2" width="14.42578125" customWidth="1"/>
    <col min="3" max="3" width="23.28515625" customWidth="1"/>
    <col min="4" max="4" width="24.5703125" customWidth="1"/>
    <col min="5" max="5" width="14.7109375" customWidth="1"/>
    <col min="6" max="6" width="24.42578125" customWidth="1"/>
    <col min="7" max="7" width="23.5703125" customWidth="1"/>
  </cols>
  <sheetData>
    <row r="2" spans="2:5" ht="18.75" x14ac:dyDescent="0.3">
      <c r="B2" s="20" t="s">
        <v>104</v>
      </c>
    </row>
    <row r="4" spans="2:5" x14ac:dyDescent="0.25">
      <c r="B4" s="1" t="s">
        <v>112</v>
      </c>
    </row>
    <row r="5" spans="2:5" ht="4.5" customHeight="1" thickBot="1" x14ac:dyDescent="0.3">
      <c r="B5" s="1"/>
    </row>
    <row r="6" spans="2:5" ht="16.5" thickBot="1" x14ac:dyDescent="0.3">
      <c r="B6" s="16"/>
      <c r="C6" s="17" t="s">
        <v>105</v>
      </c>
      <c r="D6" s="17" t="s">
        <v>106</v>
      </c>
      <c r="E6" s="17" t="s">
        <v>107</v>
      </c>
    </row>
    <row r="7" spans="2:5" ht="17.25" thickTop="1" thickBot="1" x14ac:dyDescent="0.3">
      <c r="B7" s="18" t="s">
        <v>108</v>
      </c>
      <c r="C7" s="19" t="s">
        <v>45</v>
      </c>
      <c r="D7" s="19" t="s">
        <v>45</v>
      </c>
      <c r="E7" s="19" t="s">
        <v>109</v>
      </c>
    </row>
    <row r="8" spans="2:5" ht="16.5" thickBot="1" x14ac:dyDescent="0.3">
      <c r="B8" s="18" t="s">
        <v>110</v>
      </c>
      <c r="C8" s="19" t="s">
        <v>45</v>
      </c>
      <c r="D8" s="19" t="s">
        <v>109</v>
      </c>
      <c r="E8" s="19" t="s">
        <v>46</v>
      </c>
    </row>
    <row r="9" spans="2:5" ht="16.5" thickBot="1" x14ac:dyDescent="0.3">
      <c r="B9" s="18" t="s">
        <v>111</v>
      </c>
      <c r="C9" s="19" t="s">
        <v>109</v>
      </c>
      <c r="D9" s="19" t="s">
        <v>46</v>
      </c>
      <c r="E9" s="19" t="s">
        <v>46</v>
      </c>
    </row>
    <row r="11" spans="2:5" x14ac:dyDescent="0.25">
      <c r="B11" s="1" t="s">
        <v>113</v>
      </c>
    </row>
    <row r="12" spans="2:5" ht="5.25" customHeight="1" thickBot="1" x14ac:dyDescent="0.3"/>
    <row r="13" spans="2:5" ht="16.5" thickBot="1" x14ac:dyDescent="0.3">
      <c r="B13" s="16"/>
      <c r="C13" s="17" t="s">
        <v>114</v>
      </c>
      <c r="D13" s="17" t="s">
        <v>115</v>
      </c>
    </row>
    <row r="14" spans="2:5" ht="17.25" thickTop="1" thickBot="1" x14ac:dyDescent="0.3">
      <c r="B14" s="18" t="s">
        <v>45</v>
      </c>
      <c r="C14" s="19">
        <v>7</v>
      </c>
      <c r="D14" s="19">
        <v>5</v>
      </c>
    </row>
    <row r="15" spans="2:5" ht="16.5" thickBot="1" x14ac:dyDescent="0.3">
      <c r="B15" s="18" t="s">
        <v>109</v>
      </c>
      <c r="C15" s="19">
        <v>10</v>
      </c>
      <c r="D15" s="19">
        <v>7</v>
      </c>
    </row>
    <row r="16" spans="2:5" ht="16.5" thickBot="1" x14ac:dyDescent="0.3">
      <c r="B16" s="18" t="s">
        <v>46</v>
      </c>
      <c r="C16" s="19">
        <v>15</v>
      </c>
      <c r="D16" s="19">
        <v>10</v>
      </c>
    </row>
    <row r="17" spans="2:5" x14ac:dyDescent="0.25">
      <c r="B17" s="21"/>
    </row>
    <row r="18" spans="2:5" x14ac:dyDescent="0.25">
      <c r="B18" s="1" t="s">
        <v>116</v>
      </c>
    </row>
    <row r="19" spans="2:5" ht="3.75" customHeight="1" thickBot="1" x14ac:dyDescent="0.3">
      <c r="B19" s="21"/>
    </row>
    <row r="20" spans="2:5" ht="16.5" thickBot="1" x14ac:dyDescent="0.3">
      <c r="B20" s="22" t="s">
        <v>117</v>
      </c>
      <c r="C20" s="17" t="s">
        <v>118</v>
      </c>
      <c r="D20" s="17" t="s">
        <v>119</v>
      </c>
      <c r="E20" s="17" t="s">
        <v>120</v>
      </c>
    </row>
    <row r="21" spans="2:5" ht="17.25" thickTop="1" thickBot="1" x14ac:dyDescent="0.3">
      <c r="B21" s="18" t="s">
        <v>121</v>
      </c>
      <c r="C21" s="19" t="s">
        <v>45</v>
      </c>
      <c r="D21" s="19" t="s">
        <v>45</v>
      </c>
      <c r="E21" s="19" t="s">
        <v>109</v>
      </c>
    </row>
    <row r="22" spans="2:5" ht="16.5" thickBot="1" x14ac:dyDescent="0.3">
      <c r="B22" s="18" t="s">
        <v>122</v>
      </c>
      <c r="C22" s="19" t="s">
        <v>45</v>
      </c>
      <c r="D22" s="19" t="s">
        <v>109</v>
      </c>
      <c r="E22" s="19" t="s">
        <v>46</v>
      </c>
    </row>
    <row r="23" spans="2:5" ht="16.5" thickBot="1" x14ac:dyDescent="0.3">
      <c r="B23" s="18" t="s">
        <v>123</v>
      </c>
      <c r="C23" s="19" t="s">
        <v>109</v>
      </c>
      <c r="D23" s="19" t="s">
        <v>46</v>
      </c>
      <c r="E23" s="19" t="s">
        <v>46</v>
      </c>
    </row>
    <row r="25" spans="2:5" x14ac:dyDescent="0.25">
      <c r="B25" s="1" t="s">
        <v>124</v>
      </c>
    </row>
    <row r="26" spans="2:5" ht="4.5" customHeight="1" thickBot="1" x14ac:dyDescent="0.3"/>
    <row r="27" spans="2:5" ht="16.5" thickBot="1" x14ac:dyDescent="0.3">
      <c r="B27" s="22" t="s">
        <v>117</v>
      </c>
      <c r="C27" s="17" t="s">
        <v>125</v>
      </c>
      <c r="D27" s="17" t="s">
        <v>126</v>
      </c>
      <c r="E27" s="17" t="s">
        <v>127</v>
      </c>
    </row>
    <row r="28" spans="2:5" ht="17.25" thickTop="1" thickBot="1" x14ac:dyDescent="0.3">
      <c r="B28" s="18" t="s">
        <v>121</v>
      </c>
      <c r="C28" s="19" t="s">
        <v>45</v>
      </c>
      <c r="D28" s="19" t="s">
        <v>45</v>
      </c>
      <c r="E28" s="19" t="s">
        <v>109</v>
      </c>
    </row>
    <row r="29" spans="2:5" ht="16.5" thickBot="1" x14ac:dyDescent="0.3">
      <c r="B29" s="18" t="s">
        <v>128</v>
      </c>
      <c r="C29" s="19" t="s">
        <v>45</v>
      </c>
      <c r="D29" s="19" t="s">
        <v>109</v>
      </c>
      <c r="E29" s="19" t="s">
        <v>46</v>
      </c>
    </row>
    <row r="30" spans="2:5" ht="16.5" thickBot="1" x14ac:dyDescent="0.3">
      <c r="B30" s="18" t="s">
        <v>129</v>
      </c>
      <c r="C30" s="19" t="s">
        <v>109</v>
      </c>
      <c r="D30" s="19" t="s">
        <v>46</v>
      </c>
      <c r="E30" s="19" t="s">
        <v>46</v>
      </c>
    </row>
    <row r="32" spans="2:5" x14ac:dyDescent="0.25">
      <c r="B32" s="1" t="s">
        <v>130</v>
      </c>
    </row>
    <row r="33" spans="2:7" ht="7.5" customHeight="1" thickBot="1" x14ac:dyDescent="0.3"/>
    <row r="34" spans="2:7" ht="15.75" x14ac:dyDescent="0.25">
      <c r="B34" s="266" t="s">
        <v>131</v>
      </c>
      <c r="C34" s="23" t="s">
        <v>132</v>
      </c>
      <c r="D34" s="268" t="s">
        <v>133</v>
      </c>
    </row>
    <row r="35" spans="2:7" ht="19.5" thickBot="1" x14ac:dyDescent="0.3">
      <c r="B35" s="267"/>
      <c r="C35" s="24" t="s">
        <v>134</v>
      </c>
      <c r="D35" s="269"/>
    </row>
    <row r="36" spans="2:7" ht="17.25" thickTop="1" thickBot="1" x14ac:dyDescent="0.3">
      <c r="B36" s="18" t="s">
        <v>45</v>
      </c>
      <c r="C36" s="19">
        <v>3</v>
      </c>
      <c r="D36" s="19">
        <v>4</v>
      </c>
    </row>
    <row r="37" spans="2:7" ht="16.5" thickBot="1" x14ac:dyDescent="0.3">
      <c r="B37" s="18" t="s">
        <v>109</v>
      </c>
      <c r="C37" s="19">
        <v>4</v>
      </c>
      <c r="D37" s="19">
        <v>5</v>
      </c>
    </row>
    <row r="38" spans="2:7" ht="16.5" thickBot="1" x14ac:dyDescent="0.3">
      <c r="B38" s="18" t="s">
        <v>46</v>
      </c>
      <c r="C38" s="19">
        <v>6</v>
      </c>
      <c r="D38" s="19">
        <v>7</v>
      </c>
    </row>
    <row r="40" spans="2:7" ht="15.75" x14ac:dyDescent="0.25">
      <c r="B40" s="25" t="s">
        <v>135</v>
      </c>
      <c r="D40" s="27"/>
    </row>
    <row r="41" spans="2:7" ht="15.75" x14ac:dyDescent="0.25">
      <c r="B41" s="25"/>
      <c r="D41" s="27" t="s">
        <v>139</v>
      </c>
    </row>
    <row r="42" spans="2:7" ht="15.75" x14ac:dyDescent="0.25">
      <c r="B42" s="26" t="s">
        <v>136</v>
      </c>
      <c r="C42" s="65">
        <v>18</v>
      </c>
      <c r="D42" s="270" t="s">
        <v>45</v>
      </c>
      <c r="E42" s="66" t="s">
        <v>21</v>
      </c>
      <c r="F42" s="65">
        <v>7</v>
      </c>
      <c r="G42" s="271" t="s">
        <v>138</v>
      </c>
    </row>
    <row r="43" spans="2:7" ht="15.75" x14ac:dyDescent="0.25">
      <c r="B43" s="26" t="s">
        <v>137</v>
      </c>
      <c r="C43" s="65">
        <v>2</v>
      </c>
      <c r="D43" s="270"/>
      <c r="E43" s="66" t="s">
        <v>22</v>
      </c>
      <c r="F43" s="65">
        <v>5</v>
      </c>
      <c r="G43" s="271"/>
    </row>
    <row r="44" spans="2:7" ht="15.75" x14ac:dyDescent="0.25">
      <c r="B44" s="26"/>
      <c r="C44" s="26"/>
      <c r="D44" s="26"/>
      <c r="E44" s="26"/>
      <c r="F44" s="26"/>
      <c r="G44" s="26"/>
    </row>
    <row r="45" spans="2:7" ht="31.5" customHeight="1" x14ac:dyDescent="0.25">
      <c r="D45" s="28" t="s">
        <v>140</v>
      </c>
    </row>
    <row r="46" spans="2:7" ht="15.75" x14ac:dyDescent="0.25">
      <c r="B46" s="26" t="s">
        <v>136</v>
      </c>
      <c r="C46" s="65">
        <v>18</v>
      </c>
      <c r="D46" s="270" t="s">
        <v>46</v>
      </c>
      <c r="E46" s="66" t="s">
        <v>23</v>
      </c>
      <c r="F46" s="65">
        <v>6</v>
      </c>
      <c r="G46" s="272" t="s">
        <v>138</v>
      </c>
    </row>
    <row r="47" spans="2:7" ht="15.75" x14ac:dyDescent="0.25">
      <c r="B47" s="26" t="s">
        <v>141</v>
      </c>
      <c r="C47" s="65">
        <v>4</v>
      </c>
      <c r="D47" s="270"/>
      <c r="E47" s="66" t="s">
        <v>25</v>
      </c>
      <c r="F47" s="65">
        <v>6</v>
      </c>
      <c r="G47" s="272"/>
    </row>
    <row r="48" spans="2:7" x14ac:dyDescent="0.25">
      <c r="E48" s="66" t="s">
        <v>24</v>
      </c>
      <c r="F48" s="65">
        <v>7</v>
      </c>
      <c r="G48" s="273"/>
    </row>
    <row r="49" spans="2:5" x14ac:dyDescent="0.25">
      <c r="C49" s="29" t="s">
        <v>20</v>
      </c>
      <c r="D49" s="67">
        <f>F42+F43+F46+F47+F48</f>
        <v>31</v>
      </c>
    </row>
    <row r="50" spans="2:5" x14ac:dyDescent="0.25">
      <c r="C50" s="29"/>
    </row>
    <row r="51" spans="2:5" x14ac:dyDescent="0.25">
      <c r="C51" s="29"/>
    </row>
    <row r="52" spans="2:5" x14ac:dyDescent="0.25">
      <c r="B52" s="1" t="s">
        <v>142</v>
      </c>
      <c r="C52" s="29"/>
    </row>
    <row r="53" spans="2:5" ht="4.5" customHeight="1" x14ac:dyDescent="0.25">
      <c r="E53" s="66"/>
    </row>
    <row r="54" spans="2:5" x14ac:dyDescent="0.25">
      <c r="B54" s="66" t="s">
        <v>26</v>
      </c>
      <c r="C54" s="65">
        <v>4</v>
      </c>
      <c r="E54" s="66"/>
    </row>
    <row r="55" spans="2:5" x14ac:dyDescent="0.25">
      <c r="B55" s="66" t="s">
        <v>27</v>
      </c>
      <c r="C55" s="65">
        <v>3</v>
      </c>
      <c r="E55" s="66"/>
    </row>
    <row r="56" spans="2:5" x14ac:dyDescent="0.25">
      <c r="B56" s="66" t="s">
        <v>28</v>
      </c>
      <c r="C56" s="65">
        <v>5</v>
      </c>
      <c r="E56" s="66"/>
    </row>
    <row r="57" spans="2:5" x14ac:dyDescent="0.25">
      <c r="B57" s="66" t="s">
        <v>29</v>
      </c>
      <c r="C57" s="65">
        <v>1</v>
      </c>
      <c r="E57" s="66"/>
    </row>
    <row r="58" spans="2:5" x14ac:dyDescent="0.25">
      <c r="B58" s="66" t="s">
        <v>30</v>
      </c>
      <c r="C58" s="65">
        <v>0</v>
      </c>
      <c r="E58" s="66"/>
    </row>
    <row r="59" spans="2:5" x14ac:dyDescent="0.25">
      <c r="B59" s="66" t="s">
        <v>31</v>
      </c>
      <c r="C59" s="65">
        <v>5</v>
      </c>
      <c r="E59" s="66"/>
    </row>
    <row r="60" spans="2:5" x14ac:dyDescent="0.25">
      <c r="B60" s="66" t="s">
        <v>32</v>
      </c>
      <c r="C60" s="65">
        <v>5</v>
      </c>
      <c r="E60" s="66"/>
    </row>
    <row r="61" spans="2:5" x14ac:dyDescent="0.25">
      <c r="B61" s="66" t="s">
        <v>33</v>
      </c>
      <c r="C61" s="65">
        <v>0</v>
      </c>
      <c r="E61" s="66"/>
    </row>
    <row r="62" spans="2:5" x14ac:dyDescent="0.25">
      <c r="B62" s="66" t="s">
        <v>34</v>
      </c>
      <c r="C62" s="65">
        <v>4</v>
      </c>
      <c r="E62" s="66"/>
    </row>
    <row r="63" spans="2:5" x14ac:dyDescent="0.25">
      <c r="B63" s="66" t="s">
        <v>35</v>
      </c>
      <c r="C63" s="65">
        <v>5</v>
      </c>
      <c r="E63" s="66"/>
    </row>
    <row r="64" spans="2:5" x14ac:dyDescent="0.25">
      <c r="B64" s="66" t="s">
        <v>36</v>
      </c>
      <c r="C64" s="65">
        <v>3</v>
      </c>
      <c r="E64" s="66"/>
    </row>
    <row r="65" spans="2:5" x14ac:dyDescent="0.25">
      <c r="B65" s="66" t="s">
        <v>37</v>
      </c>
      <c r="C65" s="65">
        <v>5</v>
      </c>
      <c r="E65" s="66"/>
    </row>
    <row r="66" spans="2:5" x14ac:dyDescent="0.25">
      <c r="B66" s="66" t="s">
        <v>38</v>
      </c>
      <c r="C66" s="65">
        <v>1</v>
      </c>
      <c r="E66" s="66"/>
    </row>
    <row r="67" spans="2:5" x14ac:dyDescent="0.25">
      <c r="B67" s="66" t="s">
        <v>39</v>
      </c>
      <c r="C67" s="65">
        <v>1</v>
      </c>
      <c r="E67" s="66"/>
    </row>
    <row r="68" spans="2:5" x14ac:dyDescent="0.25">
      <c r="B68" s="29" t="s">
        <v>40</v>
      </c>
      <c r="C68" s="67">
        <f>SUM(C54:C67)</f>
        <v>42</v>
      </c>
    </row>
    <row r="70" spans="2:5" x14ac:dyDescent="0.25">
      <c r="B70" s="29" t="s">
        <v>41</v>
      </c>
      <c r="C70" s="67">
        <f>(C68*0.01)+0.65</f>
        <v>1.07</v>
      </c>
    </row>
    <row r="72" spans="2:5" x14ac:dyDescent="0.25">
      <c r="B72" s="29" t="s">
        <v>143</v>
      </c>
      <c r="C72" s="180">
        <f>D49*C70</f>
        <v>33.17</v>
      </c>
      <c r="D72" s="1" t="s">
        <v>144</v>
      </c>
    </row>
  </sheetData>
  <mergeCells count="6">
    <mergeCell ref="B34:B35"/>
    <mergeCell ref="D34:D35"/>
    <mergeCell ref="D42:D43"/>
    <mergeCell ref="G42:G43"/>
    <mergeCell ref="D46:D47"/>
    <mergeCell ref="G46:G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3CC8-5DFF-41A4-BDED-F414693908E4}">
  <dimension ref="A2:K84"/>
  <sheetViews>
    <sheetView workbookViewId="0">
      <selection activeCell="C92" sqref="C92"/>
    </sheetView>
  </sheetViews>
  <sheetFormatPr defaultRowHeight="15" x14ac:dyDescent="0.25"/>
  <cols>
    <col min="2" max="2" width="14.42578125" customWidth="1"/>
    <col min="3" max="3" width="23.28515625" customWidth="1"/>
    <col min="4" max="4" width="24.5703125" customWidth="1"/>
    <col min="5" max="5" width="14.7109375" customWidth="1"/>
    <col min="6" max="6" width="24.42578125" customWidth="1"/>
    <col min="7" max="7" width="23.5703125" customWidth="1"/>
    <col min="11" max="11" width="20.5703125" customWidth="1"/>
  </cols>
  <sheetData>
    <row r="2" spans="2:5" ht="18.75" x14ac:dyDescent="0.3">
      <c r="B2" s="20" t="s">
        <v>146</v>
      </c>
    </row>
    <row r="4" spans="2:5" x14ac:dyDescent="0.25">
      <c r="B4" s="1" t="s">
        <v>112</v>
      </c>
    </row>
    <row r="5" spans="2:5" ht="4.5" customHeight="1" thickBot="1" x14ac:dyDescent="0.3">
      <c r="B5" s="1"/>
    </row>
    <row r="6" spans="2:5" ht="16.5" thickBot="1" x14ac:dyDescent="0.3">
      <c r="B6" s="16"/>
      <c r="C6" s="17" t="s">
        <v>105</v>
      </c>
      <c r="D6" s="17" t="s">
        <v>106</v>
      </c>
      <c r="E6" s="17" t="s">
        <v>107</v>
      </c>
    </row>
    <row r="7" spans="2:5" ht="17.25" thickTop="1" thickBot="1" x14ac:dyDescent="0.3">
      <c r="B7" s="18" t="s">
        <v>108</v>
      </c>
      <c r="C7" s="19" t="s">
        <v>45</v>
      </c>
      <c r="D7" s="19" t="s">
        <v>45</v>
      </c>
      <c r="E7" s="19" t="s">
        <v>109</v>
      </c>
    </row>
    <row r="8" spans="2:5" ht="16.5" thickBot="1" x14ac:dyDescent="0.3">
      <c r="B8" s="18" t="s">
        <v>110</v>
      </c>
      <c r="C8" s="19" t="s">
        <v>45</v>
      </c>
      <c r="D8" s="19" t="s">
        <v>109</v>
      </c>
      <c r="E8" s="19" t="s">
        <v>46</v>
      </c>
    </row>
    <row r="9" spans="2:5" ht="16.5" thickBot="1" x14ac:dyDescent="0.3">
      <c r="B9" s="18" t="s">
        <v>111</v>
      </c>
      <c r="C9" s="19" t="s">
        <v>109</v>
      </c>
      <c r="D9" s="19" t="s">
        <v>46</v>
      </c>
      <c r="E9" s="19" t="s">
        <v>46</v>
      </c>
    </row>
    <row r="11" spans="2:5" x14ac:dyDescent="0.25">
      <c r="B11" s="1" t="s">
        <v>113</v>
      </c>
    </row>
    <row r="12" spans="2:5" ht="5.25" customHeight="1" thickBot="1" x14ac:dyDescent="0.3"/>
    <row r="13" spans="2:5" ht="16.5" thickBot="1" x14ac:dyDescent="0.3">
      <c r="B13" s="16"/>
      <c r="C13" s="17" t="s">
        <v>114</v>
      </c>
      <c r="D13" s="17" t="s">
        <v>115</v>
      </c>
    </row>
    <row r="14" spans="2:5" ht="17.25" thickTop="1" thickBot="1" x14ac:dyDescent="0.3">
      <c r="B14" s="18" t="s">
        <v>45</v>
      </c>
      <c r="C14" s="19">
        <v>7</v>
      </c>
      <c r="D14" s="19">
        <v>5</v>
      </c>
    </row>
    <row r="15" spans="2:5" ht="16.5" thickBot="1" x14ac:dyDescent="0.3">
      <c r="B15" s="18" t="s">
        <v>109</v>
      </c>
      <c r="C15" s="19">
        <v>10</v>
      </c>
      <c r="D15" s="19">
        <v>7</v>
      </c>
    </row>
    <row r="16" spans="2:5" ht="16.5" thickBot="1" x14ac:dyDescent="0.3">
      <c r="B16" s="18" t="s">
        <v>46</v>
      </c>
      <c r="C16" s="19">
        <v>15</v>
      </c>
      <c r="D16" s="19">
        <v>10</v>
      </c>
    </row>
    <row r="17" spans="2:5" x14ac:dyDescent="0.25">
      <c r="B17" s="21"/>
    </row>
    <row r="18" spans="2:5" x14ac:dyDescent="0.25">
      <c r="B18" s="1" t="s">
        <v>116</v>
      </c>
    </row>
    <row r="19" spans="2:5" ht="3.75" customHeight="1" thickBot="1" x14ac:dyDescent="0.3">
      <c r="B19" s="21"/>
    </row>
    <row r="20" spans="2:5" ht="16.5" thickBot="1" x14ac:dyDescent="0.3">
      <c r="B20" s="22" t="s">
        <v>117</v>
      </c>
      <c r="C20" s="17" t="s">
        <v>118</v>
      </c>
      <c r="D20" s="17" t="s">
        <v>119</v>
      </c>
      <c r="E20" s="17" t="s">
        <v>120</v>
      </c>
    </row>
    <row r="21" spans="2:5" ht="17.25" thickTop="1" thickBot="1" x14ac:dyDescent="0.3">
      <c r="B21" s="18" t="s">
        <v>121</v>
      </c>
      <c r="C21" s="19" t="s">
        <v>45</v>
      </c>
      <c r="D21" s="19" t="s">
        <v>45</v>
      </c>
      <c r="E21" s="19" t="s">
        <v>109</v>
      </c>
    </row>
    <row r="22" spans="2:5" ht="16.5" thickBot="1" x14ac:dyDescent="0.3">
      <c r="B22" s="18" t="s">
        <v>122</v>
      </c>
      <c r="C22" s="19" t="s">
        <v>45</v>
      </c>
      <c r="D22" s="19" t="s">
        <v>109</v>
      </c>
      <c r="E22" s="19" t="s">
        <v>46</v>
      </c>
    </row>
    <row r="23" spans="2:5" ht="16.5" thickBot="1" x14ac:dyDescent="0.3">
      <c r="B23" s="18" t="s">
        <v>123</v>
      </c>
      <c r="C23" s="19" t="s">
        <v>109</v>
      </c>
      <c r="D23" s="19" t="s">
        <v>46</v>
      </c>
      <c r="E23" s="19" t="s">
        <v>46</v>
      </c>
    </row>
    <row r="25" spans="2:5" x14ac:dyDescent="0.25">
      <c r="B25" s="1" t="s">
        <v>124</v>
      </c>
    </row>
    <row r="26" spans="2:5" ht="4.5" customHeight="1" thickBot="1" x14ac:dyDescent="0.3"/>
    <row r="27" spans="2:5" ht="16.5" thickBot="1" x14ac:dyDescent="0.3">
      <c r="B27" s="22" t="s">
        <v>117</v>
      </c>
      <c r="C27" s="17" t="s">
        <v>125</v>
      </c>
      <c r="D27" s="17" t="s">
        <v>126</v>
      </c>
      <c r="E27" s="17" t="s">
        <v>127</v>
      </c>
    </row>
    <row r="28" spans="2:5" ht="17.25" thickTop="1" thickBot="1" x14ac:dyDescent="0.3">
      <c r="B28" s="18" t="s">
        <v>121</v>
      </c>
      <c r="C28" s="19" t="s">
        <v>45</v>
      </c>
      <c r="D28" s="19" t="s">
        <v>45</v>
      </c>
      <c r="E28" s="19" t="s">
        <v>109</v>
      </c>
    </row>
    <row r="29" spans="2:5" ht="16.5" thickBot="1" x14ac:dyDescent="0.3">
      <c r="B29" s="18" t="s">
        <v>128</v>
      </c>
      <c r="C29" s="19" t="s">
        <v>45</v>
      </c>
      <c r="D29" s="19" t="s">
        <v>109</v>
      </c>
      <c r="E29" s="19" t="s">
        <v>46</v>
      </c>
    </row>
    <row r="30" spans="2:5" ht="16.5" thickBot="1" x14ac:dyDescent="0.3">
      <c r="B30" s="18" t="s">
        <v>129</v>
      </c>
      <c r="C30" s="19" t="s">
        <v>109</v>
      </c>
      <c r="D30" s="19" t="s">
        <v>46</v>
      </c>
      <c r="E30" s="19" t="s">
        <v>46</v>
      </c>
    </row>
    <row r="32" spans="2:5" x14ac:dyDescent="0.25">
      <c r="B32" s="1" t="s">
        <v>130</v>
      </c>
    </row>
    <row r="33" spans="2:11" ht="7.5" customHeight="1" thickBot="1" x14ac:dyDescent="0.3"/>
    <row r="34" spans="2:11" ht="15.75" x14ac:dyDescent="0.25">
      <c r="B34" s="266" t="s">
        <v>131</v>
      </c>
      <c r="C34" s="23" t="s">
        <v>132</v>
      </c>
      <c r="D34" s="268" t="s">
        <v>133</v>
      </c>
    </row>
    <row r="35" spans="2:11" ht="19.5" thickBot="1" x14ac:dyDescent="0.3">
      <c r="B35" s="267"/>
      <c r="C35" s="24" t="s">
        <v>134</v>
      </c>
      <c r="D35" s="269"/>
    </row>
    <row r="36" spans="2:11" ht="17.25" thickTop="1" thickBot="1" x14ac:dyDescent="0.3">
      <c r="B36" s="18" t="s">
        <v>45</v>
      </c>
      <c r="C36" s="19">
        <v>3</v>
      </c>
      <c r="D36" s="19">
        <v>4</v>
      </c>
    </row>
    <row r="37" spans="2:11" ht="16.5" thickBot="1" x14ac:dyDescent="0.3">
      <c r="B37" s="18" t="s">
        <v>109</v>
      </c>
      <c r="C37" s="19">
        <v>4</v>
      </c>
      <c r="D37" s="19">
        <v>5</v>
      </c>
    </row>
    <row r="38" spans="2:11" ht="16.5" thickBot="1" x14ac:dyDescent="0.3">
      <c r="B38" s="18" t="s">
        <v>46</v>
      </c>
      <c r="C38" s="19">
        <v>6</v>
      </c>
      <c r="D38" s="19">
        <v>7</v>
      </c>
    </row>
    <row r="40" spans="2:11" ht="15.75" x14ac:dyDescent="0.25">
      <c r="B40" s="25" t="s">
        <v>135</v>
      </c>
      <c r="D40" s="27"/>
    </row>
    <row r="41" spans="2:11" ht="16.5" thickBot="1" x14ac:dyDescent="0.3">
      <c r="B41" s="25"/>
      <c r="C41" t="s">
        <v>59</v>
      </c>
      <c r="D41" s="27"/>
      <c r="G41" t="s">
        <v>75</v>
      </c>
      <c r="K41" s="27" t="s">
        <v>139</v>
      </c>
    </row>
    <row r="42" spans="2:11" ht="15.75" x14ac:dyDescent="0.25">
      <c r="B42" s="26" t="s">
        <v>136</v>
      </c>
      <c r="C42" s="283">
        <v>17</v>
      </c>
      <c r="D42" s="284">
        <v>17</v>
      </c>
      <c r="E42" s="285">
        <v>19</v>
      </c>
      <c r="F42" s="286">
        <v>19</v>
      </c>
      <c r="G42" s="283">
        <v>17</v>
      </c>
      <c r="H42" s="284">
        <v>17</v>
      </c>
      <c r="I42" s="284">
        <v>19</v>
      </c>
      <c r="J42" s="286">
        <v>19</v>
      </c>
      <c r="K42" s="270" t="s">
        <v>45</v>
      </c>
    </row>
    <row r="43" spans="2:11" ht="16.5" thickBot="1" x14ac:dyDescent="0.3">
      <c r="B43" s="26" t="s">
        <v>137</v>
      </c>
      <c r="C43" s="287">
        <v>1</v>
      </c>
      <c r="D43" s="288">
        <v>1</v>
      </c>
      <c r="E43" s="289">
        <v>3</v>
      </c>
      <c r="F43" s="290">
        <v>3</v>
      </c>
      <c r="G43" s="287">
        <v>1</v>
      </c>
      <c r="H43" s="288">
        <v>1</v>
      </c>
      <c r="I43" s="288">
        <v>3</v>
      </c>
      <c r="J43" s="290">
        <v>3</v>
      </c>
      <c r="K43" s="270"/>
    </row>
    <row r="44" spans="2:11" ht="15.75" x14ac:dyDescent="0.25">
      <c r="B44" s="26"/>
      <c r="D44" s="27"/>
      <c r="K44" s="26"/>
    </row>
    <row r="45" spans="2:11" ht="30.75" thickBot="1" x14ac:dyDescent="0.3">
      <c r="C45" t="s">
        <v>59</v>
      </c>
      <c r="D45" s="27"/>
      <c r="G45" t="s">
        <v>75</v>
      </c>
      <c r="K45" s="28" t="s">
        <v>140</v>
      </c>
    </row>
    <row r="46" spans="2:11" ht="15.75" x14ac:dyDescent="0.25">
      <c r="B46" s="26" t="s">
        <v>136</v>
      </c>
      <c r="C46" s="283">
        <v>17</v>
      </c>
      <c r="D46" s="284">
        <v>17</v>
      </c>
      <c r="E46" s="285">
        <v>19</v>
      </c>
      <c r="F46" s="286">
        <v>19</v>
      </c>
      <c r="G46" s="283">
        <v>17</v>
      </c>
      <c r="H46" s="284">
        <v>17</v>
      </c>
      <c r="I46" s="284">
        <v>19</v>
      </c>
      <c r="J46" s="286">
        <v>19</v>
      </c>
      <c r="K46" s="270" t="s">
        <v>46</v>
      </c>
    </row>
    <row r="47" spans="2:11" ht="16.5" thickBot="1" x14ac:dyDescent="0.3">
      <c r="B47" s="26" t="s">
        <v>141</v>
      </c>
      <c r="C47" s="287">
        <v>3</v>
      </c>
      <c r="D47" s="288">
        <v>3</v>
      </c>
      <c r="E47" s="289">
        <v>5</v>
      </c>
      <c r="F47" s="290">
        <v>5</v>
      </c>
      <c r="G47" s="287">
        <v>3</v>
      </c>
      <c r="H47" s="288">
        <v>3</v>
      </c>
      <c r="I47" s="288">
        <v>5</v>
      </c>
      <c r="J47" s="290">
        <v>5</v>
      </c>
      <c r="K47" s="270"/>
    </row>
    <row r="48" spans="2:11" ht="15.75" x14ac:dyDescent="0.25">
      <c r="B48" s="25"/>
      <c r="D48" s="27"/>
    </row>
    <row r="49" spans="2:10" ht="15.75" thickBot="1" x14ac:dyDescent="0.3">
      <c r="C49" t="s">
        <v>59</v>
      </c>
      <c r="D49" s="27"/>
      <c r="G49" t="s">
        <v>75</v>
      </c>
    </row>
    <row r="50" spans="2:10" x14ac:dyDescent="0.25">
      <c r="B50" t="s">
        <v>21</v>
      </c>
      <c r="C50" s="68">
        <v>5.5</v>
      </c>
      <c r="D50" s="69">
        <v>6.5</v>
      </c>
      <c r="E50" s="69">
        <v>7.5</v>
      </c>
      <c r="F50" s="70">
        <v>8.5</v>
      </c>
      <c r="G50" s="68">
        <v>6</v>
      </c>
      <c r="H50" s="69">
        <v>6.5</v>
      </c>
      <c r="I50" s="69">
        <v>7.5</v>
      </c>
      <c r="J50" s="70">
        <v>8</v>
      </c>
    </row>
    <row r="51" spans="2:10" x14ac:dyDescent="0.25">
      <c r="B51" t="s">
        <v>22</v>
      </c>
      <c r="C51" s="74">
        <v>3.5</v>
      </c>
      <c r="D51" s="75">
        <v>4.5</v>
      </c>
      <c r="E51" s="75">
        <v>5.5</v>
      </c>
      <c r="F51" s="76">
        <v>6.5</v>
      </c>
      <c r="G51" s="74">
        <v>4</v>
      </c>
      <c r="H51" s="75">
        <v>4.5</v>
      </c>
      <c r="I51" s="75">
        <v>5.5</v>
      </c>
      <c r="J51" s="76">
        <v>6</v>
      </c>
    </row>
    <row r="52" spans="2:10" x14ac:dyDescent="0.25">
      <c r="B52" t="s">
        <v>23</v>
      </c>
      <c r="C52" s="74">
        <v>4.5</v>
      </c>
      <c r="D52" s="75">
        <v>5.5</v>
      </c>
      <c r="E52" s="75">
        <v>6.5</v>
      </c>
      <c r="F52" s="76">
        <v>7.5</v>
      </c>
      <c r="G52" s="74">
        <v>5</v>
      </c>
      <c r="H52" s="75">
        <v>5.5</v>
      </c>
      <c r="I52" s="75">
        <v>6.5</v>
      </c>
      <c r="J52" s="76">
        <v>7</v>
      </c>
    </row>
    <row r="53" spans="2:10" x14ac:dyDescent="0.25">
      <c r="B53" t="s">
        <v>24</v>
      </c>
      <c r="C53" s="74">
        <v>4.5</v>
      </c>
      <c r="D53" s="75">
        <v>5.5</v>
      </c>
      <c r="E53" s="75">
        <v>6.5</v>
      </c>
      <c r="F53" s="76">
        <v>7.5</v>
      </c>
      <c r="G53" s="74">
        <v>5</v>
      </c>
      <c r="H53" s="75">
        <v>5.5</v>
      </c>
      <c r="I53" s="75">
        <v>6.5</v>
      </c>
      <c r="J53" s="76">
        <v>7</v>
      </c>
    </row>
    <row r="54" spans="2:10" ht="15.75" thickBot="1" x14ac:dyDescent="0.3">
      <c r="B54" t="s">
        <v>25</v>
      </c>
      <c r="C54" s="71">
        <v>5.5</v>
      </c>
      <c r="D54" s="72">
        <v>6.5</v>
      </c>
      <c r="E54" s="72">
        <v>7.5</v>
      </c>
      <c r="F54" s="73">
        <v>8.5</v>
      </c>
      <c r="G54" s="71">
        <v>6</v>
      </c>
      <c r="H54" s="72">
        <v>6.5</v>
      </c>
      <c r="I54" s="72">
        <v>7.5</v>
      </c>
      <c r="J54" s="73">
        <v>8</v>
      </c>
    </row>
    <row r="55" spans="2:10" ht="15.75" thickBot="1" x14ac:dyDescent="0.3">
      <c r="B55" s="1" t="s">
        <v>20</v>
      </c>
      <c r="C55" s="32">
        <f>SUM(C50:C54)</f>
        <v>23.5</v>
      </c>
      <c r="D55" s="33">
        <f t="shared" ref="D55:J55" si="0">SUM(D50:D54)</f>
        <v>28.5</v>
      </c>
      <c r="E55" s="33">
        <f t="shared" si="0"/>
        <v>33.5</v>
      </c>
      <c r="F55" s="34">
        <f t="shared" si="0"/>
        <v>38.5</v>
      </c>
      <c r="G55" s="33">
        <f t="shared" si="0"/>
        <v>26</v>
      </c>
      <c r="H55" s="33">
        <f t="shared" si="0"/>
        <v>28.5</v>
      </c>
      <c r="I55" s="33">
        <f t="shared" si="0"/>
        <v>33.5</v>
      </c>
      <c r="J55" s="34">
        <f t="shared" si="0"/>
        <v>36</v>
      </c>
    </row>
    <row r="56" spans="2:10" x14ac:dyDescent="0.25">
      <c r="B56" s="1"/>
      <c r="C56" s="1"/>
      <c r="D56" s="1"/>
      <c r="E56" s="1"/>
      <c r="F56" s="1"/>
      <c r="G56" s="1"/>
      <c r="H56" s="1"/>
      <c r="I56" s="1"/>
      <c r="J56" s="1"/>
    </row>
    <row r="57" spans="2:10" x14ac:dyDescent="0.25">
      <c r="B57" s="1" t="s">
        <v>142</v>
      </c>
      <c r="C57" s="1"/>
      <c r="D57" s="1"/>
      <c r="E57" s="1"/>
      <c r="F57" s="1"/>
      <c r="G57" s="1"/>
      <c r="H57" s="1"/>
      <c r="I57" s="1"/>
      <c r="J57" s="1"/>
    </row>
    <row r="58" spans="2:10" ht="15.75" thickBot="1" x14ac:dyDescent="0.3">
      <c r="C58" t="s">
        <v>59</v>
      </c>
      <c r="D58" s="27"/>
      <c r="G58" t="s">
        <v>75</v>
      </c>
    </row>
    <row r="59" spans="2:10" x14ac:dyDescent="0.25">
      <c r="B59" t="s">
        <v>26</v>
      </c>
      <c r="C59" s="3">
        <v>2.5</v>
      </c>
      <c r="D59" s="4">
        <v>3.5</v>
      </c>
      <c r="E59" s="4">
        <v>4.5</v>
      </c>
      <c r="F59" s="5">
        <v>5.5</v>
      </c>
      <c r="G59" s="3">
        <v>3</v>
      </c>
      <c r="H59" s="4">
        <v>3.5</v>
      </c>
      <c r="I59" s="4">
        <v>4.5</v>
      </c>
      <c r="J59" s="5">
        <v>5</v>
      </c>
    </row>
    <row r="60" spans="2:10" x14ac:dyDescent="0.25">
      <c r="B60" t="s">
        <v>27</v>
      </c>
      <c r="C60" s="6">
        <v>1.5</v>
      </c>
      <c r="D60">
        <v>2.5</v>
      </c>
      <c r="E60">
        <v>3.5</v>
      </c>
      <c r="F60" s="7">
        <v>4.5</v>
      </c>
      <c r="G60" s="6">
        <v>2</v>
      </c>
      <c r="H60">
        <v>2.5</v>
      </c>
      <c r="I60">
        <v>3.5</v>
      </c>
      <c r="J60" s="7">
        <v>4</v>
      </c>
    </row>
    <row r="61" spans="2:10" x14ac:dyDescent="0.25">
      <c r="B61" t="s">
        <v>28</v>
      </c>
      <c r="C61" s="6">
        <v>3.5</v>
      </c>
      <c r="D61">
        <v>4.5</v>
      </c>
      <c r="E61">
        <v>5.5</v>
      </c>
      <c r="F61" s="7">
        <v>6.5</v>
      </c>
      <c r="G61" s="6">
        <v>4</v>
      </c>
      <c r="H61">
        <v>4.5</v>
      </c>
      <c r="I61">
        <v>5.5</v>
      </c>
      <c r="J61" s="7">
        <v>6</v>
      </c>
    </row>
    <row r="62" spans="2:10" x14ac:dyDescent="0.25">
      <c r="B62" t="s">
        <v>29</v>
      </c>
      <c r="C62" s="6">
        <v>0</v>
      </c>
      <c r="D62">
        <v>0.5</v>
      </c>
      <c r="E62">
        <v>1.5</v>
      </c>
      <c r="F62" s="7">
        <v>2.5</v>
      </c>
      <c r="G62" s="6">
        <v>0</v>
      </c>
      <c r="H62">
        <v>0.5</v>
      </c>
      <c r="I62">
        <v>1.5</v>
      </c>
      <c r="J62" s="7">
        <v>2</v>
      </c>
    </row>
    <row r="63" spans="2:10" x14ac:dyDescent="0.25">
      <c r="B63" t="s">
        <v>30</v>
      </c>
      <c r="C63" s="6">
        <v>0</v>
      </c>
      <c r="D63">
        <v>0</v>
      </c>
      <c r="E63">
        <v>0</v>
      </c>
      <c r="F63" s="7">
        <v>1</v>
      </c>
      <c r="G63" s="6">
        <v>0</v>
      </c>
      <c r="H63">
        <v>0</v>
      </c>
      <c r="I63">
        <v>0</v>
      </c>
      <c r="J63" s="7">
        <v>0.5</v>
      </c>
    </row>
    <row r="64" spans="2:10" x14ac:dyDescent="0.25">
      <c r="B64" t="s">
        <v>31</v>
      </c>
      <c r="C64" s="6">
        <v>3.5</v>
      </c>
      <c r="D64">
        <v>4.5</v>
      </c>
      <c r="E64">
        <v>5.5</v>
      </c>
      <c r="F64" s="7">
        <v>6.5</v>
      </c>
      <c r="G64" s="6">
        <v>4</v>
      </c>
      <c r="H64">
        <v>4.5</v>
      </c>
      <c r="I64">
        <v>5.5</v>
      </c>
      <c r="J64" s="7">
        <v>6</v>
      </c>
    </row>
    <row r="65" spans="1:10" x14ac:dyDescent="0.25">
      <c r="B65" t="s">
        <v>32</v>
      </c>
      <c r="C65" s="6">
        <v>3.5</v>
      </c>
      <c r="D65">
        <v>4.5</v>
      </c>
      <c r="E65">
        <v>5.5</v>
      </c>
      <c r="F65" s="7">
        <v>6.5</v>
      </c>
      <c r="G65" s="6">
        <v>4</v>
      </c>
      <c r="H65">
        <v>4.5</v>
      </c>
      <c r="I65">
        <v>5.5</v>
      </c>
      <c r="J65" s="7">
        <v>6</v>
      </c>
    </row>
    <row r="66" spans="1:10" x14ac:dyDescent="0.25">
      <c r="B66" t="s">
        <v>33</v>
      </c>
      <c r="C66" s="6">
        <v>0</v>
      </c>
      <c r="D66">
        <v>0</v>
      </c>
      <c r="E66">
        <v>0</v>
      </c>
      <c r="F66" s="7">
        <v>1</v>
      </c>
      <c r="G66" s="6">
        <v>0</v>
      </c>
      <c r="H66">
        <v>0</v>
      </c>
      <c r="I66">
        <v>0</v>
      </c>
      <c r="J66" s="7">
        <v>0.5</v>
      </c>
    </row>
    <row r="67" spans="1:10" x14ac:dyDescent="0.25">
      <c r="B67" t="s">
        <v>34</v>
      </c>
      <c r="C67" s="6">
        <v>2.5</v>
      </c>
      <c r="D67">
        <v>3.5</v>
      </c>
      <c r="E67">
        <v>4.5</v>
      </c>
      <c r="F67" s="7">
        <v>5.5</v>
      </c>
      <c r="G67" s="6">
        <v>3</v>
      </c>
      <c r="H67">
        <v>3.5</v>
      </c>
      <c r="I67">
        <v>4.5</v>
      </c>
      <c r="J67" s="7">
        <v>5</v>
      </c>
    </row>
    <row r="68" spans="1:10" x14ac:dyDescent="0.25">
      <c r="B68" t="s">
        <v>35</v>
      </c>
      <c r="C68" s="6">
        <v>3.5</v>
      </c>
      <c r="D68">
        <v>4.5</v>
      </c>
      <c r="E68">
        <v>5.5</v>
      </c>
      <c r="F68" s="7">
        <v>6.5</v>
      </c>
      <c r="G68" s="6">
        <v>4</v>
      </c>
      <c r="H68">
        <v>4.5</v>
      </c>
      <c r="I68">
        <v>5.5</v>
      </c>
      <c r="J68" s="7">
        <v>6</v>
      </c>
    </row>
    <row r="69" spans="1:10" x14ac:dyDescent="0.25">
      <c r="B69" t="s">
        <v>36</v>
      </c>
      <c r="C69" s="6">
        <v>1.5</v>
      </c>
      <c r="D69">
        <v>2.5</v>
      </c>
      <c r="E69">
        <v>3.5</v>
      </c>
      <c r="F69" s="7">
        <v>4.5</v>
      </c>
      <c r="G69" s="6">
        <v>2</v>
      </c>
      <c r="H69">
        <v>2.5</v>
      </c>
      <c r="I69">
        <v>3.5</v>
      </c>
      <c r="J69" s="7">
        <v>4</v>
      </c>
    </row>
    <row r="70" spans="1:10" x14ac:dyDescent="0.25">
      <c r="B70" t="s">
        <v>37</v>
      </c>
      <c r="C70" s="6">
        <v>3.5</v>
      </c>
      <c r="D70">
        <v>4.5</v>
      </c>
      <c r="E70">
        <v>5.5</v>
      </c>
      <c r="F70" s="7">
        <v>6.5</v>
      </c>
      <c r="G70" s="6">
        <v>4</v>
      </c>
      <c r="H70">
        <v>4.5</v>
      </c>
      <c r="I70">
        <v>5.5</v>
      </c>
      <c r="J70" s="7">
        <v>6</v>
      </c>
    </row>
    <row r="71" spans="1:10" x14ac:dyDescent="0.25">
      <c r="B71" t="s">
        <v>38</v>
      </c>
      <c r="C71" s="6">
        <v>0</v>
      </c>
      <c r="D71">
        <v>0.5</v>
      </c>
      <c r="E71">
        <v>1.5</v>
      </c>
      <c r="F71" s="7">
        <v>2.5</v>
      </c>
      <c r="G71" s="6">
        <v>0</v>
      </c>
      <c r="H71">
        <v>0.5</v>
      </c>
      <c r="I71">
        <v>1.5</v>
      </c>
      <c r="J71" s="7">
        <v>2</v>
      </c>
    </row>
    <row r="72" spans="1:10" ht="15.75" thickBot="1" x14ac:dyDescent="0.3">
      <c r="B72" t="s">
        <v>39</v>
      </c>
      <c r="C72" s="6">
        <v>0</v>
      </c>
      <c r="D72">
        <v>0.5</v>
      </c>
      <c r="E72">
        <v>1.5</v>
      </c>
      <c r="F72" s="7">
        <v>2.5</v>
      </c>
      <c r="G72" s="8">
        <v>0</v>
      </c>
      <c r="H72" s="9">
        <v>0.5</v>
      </c>
      <c r="I72" s="9">
        <v>1.5</v>
      </c>
      <c r="J72" s="10">
        <v>2</v>
      </c>
    </row>
    <row r="73" spans="1:10" ht="15.75" thickBot="1" x14ac:dyDescent="0.3">
      <c r="B73" s="1" t="s">
        <v>40</v>
      </c>
      <c r="C73" s="77">
        <f>SUM(C59:C72)</f>
        <v>25.5</v>
      </c>
      <c r="D73" s="78">
        <f t="shared" ref="D73:F73" si="1">SUM(D59:D72)</f>
        <v>36</v>
      </c>
      <c r="E73" s="78">
        <f t="shared" si="1"/>
        <v>48</v>
      </c>
      <c r="F73" s="79">
        <f t="shared" si="1"/>
        <v>62</v>
      </c>
      <c r="G73" s="77">
        <f>SUM(G59:G72)</f>
        <v>30</v>
      </c>
      <c r="H73" s="78">
        <f t="shared" ref="H73" si="2">SUM(H59:H72)</f>
        <v>36</v>
      </c>
      <c r="I73" s="78">
        <f t="shared" ref="I73" si="3">SUM(I59:I72)</f>
        <v>48</v>
      </c>
      <c r="J73" s="79">
        <f t="shared" ref="J73" si="4">SUM(J59:J72)</f>
        <v>55</v>
      </c>
    </row>
    <row r="75" spans="1:10" ht="15.75" thickBot="1" x14ac:dyDescent="0.3">
      <c r="B75" s="1" t="s">
        <v>41</v>
      </c>
    </row>
    <row r="76" spans="1:10" ht="15.75" thickBot="1" x14ac:dyDescent="0.3">
      <c r="A76">
        <v>0.65</v>
      </c>
      <c r="B76">
        <v>0.01</v>
      </c>
      <c r="C76" s="80">
        <f>C73*$B76+$A76</f>
        <v>0.90500000000000003</v>
      </c>
      <c r="D76" s="81">
        <f t="shared" ref="D76:J76" si="5">D73*$B76+$A76</f>
        <v>1.01</v>
      </c>
      <c r="E76" s="81">
        <f t="shared" si="5"/>
        <v>1.1299999999999999</v>
      </c>
      <c r="F76" s="81">
        <f t="shared" si="5"/>
        <v>1.27</v>
      </c>
      <c r="G76" s="80">
        <f t="shared" si="5"/>
        <v>0.95</v>
      </c>
      <c r="H76" s="81">
        <f t="shared" si="5"/>
        <v>1.01</v>
      </c>
      <c r="I76" s="81">
        <f t="shared" si="5"/>
        <v>1.1299999999999999</v>
      </c>
      <c r="J76" s="82">
        <f t="shared" si="5"/>
        <v>1.2000000000000002</v>
      </c>
    </row>
    <row r="77" spans="1:10" ht="15.75" thickBot="1" x14ac:dyDescent="0.3">
      <c r="B77" s="1" t="s">
        <v>20</v>
      </c>
      <c r="C77" s="83">
        <f>C55</f>
        <v>23.5</v>
      </c>
      <c r="D77" s="84">
        <f t="shared" ref="D77:F77" si="6">D55</f>
        <v>28.5</v>
      </c>
      <c r="E77" s="84">
        <f t="shared" si="6"/>
        <v>33.5</v>
      </c>
      <c r="F77" s="84">
        <f t="shared" si="6"/>
        <v>38.5</v>
      </c>
      <c r="G77" s="83">
        <f>G55</f>
        <v>26</v>
      </c>
      <c r="H77" s="84">
        <f t="shared" ref="H77:J77" si="7">H55</f>
        <v>28.5</v>
      </c>
      <c r="I77" s="84">
        <f t="shared" si="7"/>
        <v>33.5</v>
      </c>
      <c r="J77" s="85">
        <f t="shared" si="7"/>
        <v>36</v>
      </c>
    </row>
    <row r="78" spans="1:10" ht="15.75" thickBot="1" x14ac:dyDescent="0.3"/>
    <row r="79" spans="1:10" ht="15.75" thickBot="1" x14ac:dyDescent="0.3">
      <c r="B79" s="1" t="s">
        <v>143</v>
      </c>
      <c r="C79" s="41">
        <f>C76*D77+C77*D76-D79</f>
        <v>20.742500000000003</v>
      </c>
      <c r="D79" s="44">
        <f>D76*D77</f>
        <v>28.785</v>
      </c>
      <c r="E79" s="44">
        <f>E76*E77</f>
        <v>37.854999999999997</v>
      </c>
      <c r="F79" s="42">
        <f>E76*F77+E77*F76-E79</f>
        <v>48.195</v>
      </c>
      <c r="G79" s="41">
        <f>G76*H77+G77*H76-H79</f>
        <v>24.55</v>
      </c>
      <c r="H79" s="44">
        <f>H76*H77</f>
        <v>28.785</v>
      </c>
      <c r="I79" s="44">
        <f>I76*I77</f>
        <v>37.854999999999997</v>
      </c>
      <c r="J79" s="42">
        <f>I76*J77+I77*J76-I79</f>
        <v>43.024999999999999</v>
      </c>
    </row>
    <row r="81" spans="1:7" ht="15.75" thickBot="1" x14ac:dyDescent="0.3">
      <c r="C81" s="1" t="s">
        <v>18</v>
      </c>
      <c r="F81" s="1" t="s">
        <v>19</v>
      </c>
    </row>
    <row r="82" spans="1:7" ht="15.75" thickBot="1" x14ac:dyDescent="0.3">
      <c r="A82" s="1">
        <v>0.8</v>
      </c>
      <c r="C82" s="41">
        <f>A82*D79+(1-A82)*C79</f>
        <v>27.176500000000001</v>
      </c>
      <c r="D82" s="42">
        <f>A82*E79+(1-A82)*F79</f>
        <v>39.922999999999995</v>
      </c>
      <c r="E82" s="43"/>
      <c r="F82" s="41">
        <f>A82*H79+(1-A82)*G79</f>
        <v>27.938000000000002</v>
      </c>
      <c r="G82" s="42">
        <f>A82*I79+(1-A82)*J79</f>
        <v>38.888999999999996</v>
      </c>
    </row>
    <row r="83" spans="1:7" ht="15.75" thickBot="1" x14ac:dyDescent="0.3">
      <c r="A83" s="1"/>
      <c r="B83" s="29" t="s">
        <v>145</v>
      </c>
      <c r="C83" s="291">
        <f>(C82+D82)/2</f>
        <v>33.549749999999996</v>
      </c>
      <c r="D83" s="43"/>
      <c r="E83" s="43"/>
      <c r="F83" s="291">
        <f>(F82+G82)/2</f>
        <v>33.413499999999999</v>
      </c>
      <c r="G83" s="43"/>
    </row>
    <row r="84" spans="1:7" x14ac:dyDescent="0.25">
      <c r="B84" s="27" t="s">
        <v>151</v>
      </c>
      <c r="C84" s="292">
        <f>(C83+F83)/2</f>
        <v>33.481624999999994</v>
      </c>
    </row>
  </sheetData>
  <mergeCells count="4">
    <mergeCell ref="K42:K43"/>
    <mergeCell ref="K46:K47"/>
    <mergeCell ref="B34:B35"/>
    <mergeCell ref="D34:D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329A-FE98-4FC5-B0BB-9450054C5625}">
  <dimension ref="A2:L84"/>
  <sheetViews>
    <sheetView topLeftCell="A35" workbookViewId="0">
      <selection activeCell="J71" sqref="J71"/>
    </sheetView>
  </sheetViews>
  <sheetFormatPr defaultRowHeight="15" x14ac:dyDescent="0.25"/>
  <cols>
    <col min="2" max="2" width="14.42578125" customWidth="1"/>
    <col min="3" max="3" width="23.28515625" customWidth="1"/>
    <col min="4" max="4" width="24.5703125" customWidth="1"/>
    <col min="5" max="5" width="22.140625" customWidth="1"/>
    <col min="6" max="6" width="20.5703125" customWidth="1"/>
  </cols>
  <sheetData>
    <row r="2" spans="2:5" ht="18.75" x14ac:dyDescent="0.3">
      <c r="B2" s="20" t="s">
        <v>147</v>
      </c>
    </row>
    <row r="4" spans="2:5" x14ac:dyDescent="0.25">
      <c r="B4" s="1" t="s">
        <v>112</v>
      </c>
    </row>
    <row r="5" spans="2:5" ht="4.5" customHeight="1" thickBot="1" x14ac:dyDescent="0.3">
      <c r="B5" s="1"/>
    </row>
    <row r="6" spans="2:5" ht="16.5" thickBot="1" x14ac:dyDescent="0.3">
      <c r="B6" s="16"/>
      <c r="C6" s="17" t="s">
        <v>105</v>
      </c>
      <c r="D6" s="17" t="s">
        <v>106</v>
      </c>
      <c r="E6" s="17" t="s">
        <v>107</v>
      </c>
    </row>
    <row r="7" spans="2:5" ht="17.25" thickTop="1" thickBot="1" x14ac:dyDescent="0.3">
      <c r="B7" s="18" t="s">
        <v>108</v>
      </c>
      <c r="C7" s="19" t="s">
        <v>45</v>
      </c>
      <c r="D7" s="19" t="s">
        <v>45</v>
      </c>
      <c r="E7" s="19" t="s">
        <v>109</v>
      </c>
    </row>
    <row r="8" spans="2:5" ht="16.5" thickBot="1" x14ac:dyDescent="0.3">
      <c r="B8" s="18" t="s">
        <v>110</v>
      </c>
      <c r="C8" s="19" t="s">
        <v>45</v>
      </c>
      <c r="D8" s="19" t="s">
        <v>109</v>
      </c>
      <c r="E8" s="19" t="s">
        <v>46</v>
      </c>
    </row>
    <row r="9" spans="2:5" ht="16.5" thickBot="1" x14ac:dyDescent="0.3">
      <c r="B9" s="18" t="s">
        <v>111</v>
      </c>
      <c r="C9" s="19" t="s">
        <v>109</v>
      </c>
      <c r="D9" s="19" t="s">
        <v>46</v>
      </c>
      <c r="E9" s="19" t="s">
        <v>46</v>
      </c>
    </row>
    <row r="11" spans="2:5" x14ac:dyDescent="0.25">
      <c r="B11" s="1" t="s">
        <v>113</v>
      </c>
    </row>
    <row r="12" spans="2:5" ht="5.25" customHeight="1" thickBot="1" x14ac:dyDescent="0.3"/>
    <row r="13" spans="2:5" ht="16.5" thickBot="1" x14ac:dyDescent="0.3">
      <c r="B13" s="16"/>
      <c r="C13" s="17" t="s">
        <v>114</v>
      </c>
      <c r="D13" s="17" t="s">
        <v>115</v>
      </c>
    </row>
    <row r="14" spans="2:5" ht="17.25" thickTop="1" thickBot="1" x14ac:dyDescent="0.3">
      <c r="B14" s="18" t="s">
        <v>45</v>
      </c>
      <c r="C14" s="19">
        <v>7</v>
      </c>
      <c r="D14" s="19">
        <v>5</v>
      </c>
    </row>
    <row r="15" spans="2:5" ht="16.5" thickBot="1" x14ac:dyDescent="0.3">
      <c r="B15" s="18" t="s">
        <v>109</v>
      </c>
      <c r="C15" s="19">
        <v>10</v>
      </c>
      <c r="D15" s="19">
        <v>7</v>
      </c>
    </row>
    <row r="16" spans="2:5" ht="16.5" thickBot="1" x14ac:dyDescent="0.3">
      <c r="B16" s="18" t="s">
        <v>46</v>
      </c>
      <c r="C16" s="19">
        <v>15</v>
      </c>
      <c r="D16" s="19">
        <v>10</v>
      </c>
    </row>
    <row r="17" spans="2:5" x14ac:dyDescent="0.25">
      <c r="B17" s="21"/>
    </row>
    <row r="18" spans="2:5" x14ac:dyDescent="0.25">
      <c r="B18" s="1" t="s">
        <v>116</v>
      </c>
    </row>
    <row r="19" spans="2:5" ht="3.75" customHeight="1" thickBot="1" x14ac:dyDescent="0.3">
      <c r="B19" s="21"/>
    </row>
    <row r="20" spans="2:5" ht="16.5" thickBot="1" x14ac:dyDescent="0.3">
      <c r="B20" s="22" t="s">
        <v>117</v>
      </c>
      <c r="C20" s="17" t="s">
        <v>118</v>
      </c>
      <c r="D20" s="17" t="s">
        <v>119</v>
      </c>
      <c r="E20" s="17" t="s">
        <v>120</v>
      </c>
    </row>
    <row r="21" spans="2:5" ht="17.25" thickTop="1" thickBot="1" x14ac:dyDescent="0.3">
      <c r="B21" s="18" t="s">
        <v>121</v>
      </c>
      <c r="C21" s="19" t="s">
        <v>45</v>
      </c>
      <c r="D21" s="19" t="s">
        <v>45</v>
      </c>
      <c r="E21" s="19" t="s">
        <v>109</v>
      </c>
    </row>
    <row r="22" spans="2:5" ht="16.5" thickBot="1" x14ac:dyDescent="0.3">
      <c r="B22" s="18" t="s">
        <v>122</v>
      </c>
      <c r="C22" s="19" t="s">
        <v>45</v>
      </c>
      <c r="D22" s="19" t="s">
        <v>109</v>
      </c>
      <c r="E22" s="19" t="s">
        <v>46</v>
      </c>
    </row>
    <row r="23" spans="2:5" ht="16.5" thickBot="1" x14ac:dyDescent="0.3">
      <c r="B23" s="18" t="s">
        <v>123</v>
      </c>
      <c r="C23" s="19" t="s">
        <v>109</v>
      </c>
      <c r="D23" s="19" t="s">
        <v>46</v>
      </c>
      <c r="E23" s="19" t="s">
        <v>46</v>
      </c>
    </row>
    <row r="25" spans="2:5" x14ac:dyDescent="0.25">
      <c r="B25" s="1" t="s">
        <v>124</v>
      </c>
    </row>
    <row r="26" spans="2:5" ht="4.5" customHeight="1" thickBot="1" x14ac:dyDescent="0.3"/>
    <row r="27" spans="2:5" ht="16.5" thickBot="1" x14ac:dyDescent="0.3">
      <c r="B27" s="22" t="s">
        <v>117</v>
      </c>
      <c r="C27" s="17" t="s">
        <v>125</v>
      </c>
      <c r="D27" s="17" t="s">
        <v>126</v>
      </c>
      <c r="E27" s="17" t="s">
        <v>127</v>
      </c>
    </row>
    <row r="28" spans="2:5" ht="17.25" thickTop="1" thickBot="1" x14ac:dyDescent="0.3">
      <c r="B28" s="18" t="s">
        <v>121</v>
      </c>
      <c r="C28" s="19" t="s">
        <v>45</v>
      </c>
      <c r="D28" s="19" t="s">
        <v>45</v>
      </c>
      <c r="E28" s="19" t="s">
        <v>109</v>
      </c>
    </row>
    <row r="29" spans="2:5" ht="16.5" thickBot="1" x14ac:dyDescent="0.3">
      <c r="B29" s="18" t="s">
        <v>128</v>
      </c>
      <c r="C29" s="19" t="s">
        <v>45</v>
      </c>
      <c r="D29" s="19" t="s">
        <v>109</v>
      </c>
      <c r="E29" s="19" t="s">
        <v>46</v>
      </c>
    </row>
    <row r="30" spans="2:5" ht="16.5" thickBot="1" x14ac:dyDescent="0.3">
      <c r="B30" s="18" t="s">
        <v>129</v>
      </c>
      <c r="C30" s="19" t="s">
        <v>109</v>
      </c>
      <c r="D30" s="19" t="s">
        <v>46</v>
      </c>
      <c r="E30" s="19" t="s">
        <v>46</v>
      </c>
    </row>
    <row r="32" spans="2:5" x14ac:dyDescent="0.25">
      <c r="B32" s="1" t="s">
        <v>130</v>
      </c>
    </row>
    <row r="33" spans="2:6" ht="7.5" customHeight="1" thickBot="1" x14ac:dyDescent="0.3"/>
    <row r="34" spans="2:6" ht="15.75" x14ac:dyDescent="0.25">
      <c r="B34" s="266" t="s">
        <v>131</v>
      </c>
      <c r="C34" s="23" t="s">
        <v>132</v>
      </c>
      <c r="D34" s="268" t="s">
        <v>133</v>
      </c>
    </row>
    <row r="35" spans="2:6" ht="19.5" thickBot="1" x14ac:dyDescent="0.3">
      <c r="B35" s="267"/>
      <c r="C35" s="24" t="s">
        <v>134</v>
      </c>
      <c r="D35" s="269"/>
    </row>
    <row r="36" spans="2:6" ht="17.25" thickTop="1" thickBot="1" x14ac:dyDescent="0.3">
      <c r="B36" s="18" t="s">
        <v>45</v>
      </c>
      <c r="C36" s="19">
        <v>3</v>
      </c>
      <c r="D36" s="19">
        <v>4</v>
      </c>
    </row>
    <row r="37" spans="2:6" ht="16.5" thickBot="1" x14ac:dyDescent="0.3">
      <c r="B37" s="18" t="s">
        <v>109</v>
      </c>
      <c r="C37" s="19">
        <v>4</v>
      </c>
      <c r="D37" s="19">
        <v>5</v>
      </c>
    </row>
    <row r="38" spans="2:6" ht="16.5" thickBot="1" x14ac:dyDescent="0.3">
      <c r="B38" s="18" t="s">
        <v>46</v>
      </c>
      <c r="C38" s="19">
        <v>6</v>
      </c>
      <c r="D38" s="19">
        <v>7</v>
      </c>
    </row>
    <row r="40" spans="2:6" ht="15.75" x14ac:dyDescent="0.25">
      <c r="B40" s="25" t="s">
        <v>135</v>
      </c>
      <c r="D40" s="27"/>
    </row>
    <row r="41" spans="2:6" ht="30.75" thickBot="1" x14ac:dyDescent="0.3">
      <c r="B41" s="25"/>
      <c r="C41" s="86" t="s">
        <v>148</v>
      </c>
      <c r="D41" s="45" t="s">
        <v>149</v>
      </c>
      <c r="E41" s="45" t="s">
        <v>150</v>
      </c>
      <c r="F41" s="27" t="s">
        <v>139</v>
      </c>
    </row>
    <row r="42" spans="2:6" ht="15.75" x14ac:dyDescent="0.25">
      <c r="B42" s="26" t="s">
        <v>136</v>
      </c>
      <c r="C42" s="49">
        <v>18</v>
      </c>
      <c r="D42" s="47">
        <v>0.5</v>
      </c>
      <c r="E42" s="87">
        <v>0.6</v>
      </c>
      <c r="F42" s="274" t="s">
        <v>45</v>
      </c>
    </row>
    <row r="43" spans="2:6" ht="16.5" thickBot="1" x14ac:dyDescent="0.3">
      <c r="B43" s="26" t="s">
        <v>137</v>
      </c>
      <c r="C43" s="50">
        <v>2</v>
      </c>
      <c r="D43" s="48">
        <v>0.3</v>
      </c>
      <c r="E43" s="88">
        <v>0.4</v>
      </c>
      <c r="F43" s="274"/>
    </row>
    <row r="44" spans="2:6" ht="15.75" x14ac:dyDescent="0.25">
      <c r="B44" s="26"/>
      <c r="D44" s="27"/>
      <c r="F44" s="26"/>
    </row>
    <row r="45" spans="2:6" ht="30.75" thickBot="1" x14ac:dyDescent="0.3">
      <c r="C45" s="86" t="s">
        <v>148</v>
      </c>
      <c r="D45" s="45" t="s">
        <v>149</v>
      </c>
      <c r="E45" s="45" t="s">
        <v>150</v>
      </c>
      <c r="F45" s="28" t="s">
        <v>140</v>
      </c>
    </row>
    <row r="46" spans="2:6" ht="15.75" x14ac:dyDescent="0.25">
      <c r="B46" s="26" t="s">
        <v>136</v>
      </c>
      <c r="C46" s="49">
        <v>18</v>
      </c>
      <c r="D46" s="49">
        <v>0.7</v>
      </c>
      <c r="E46" s="89">
        <v>0.8</v>
      </c>
      <c r="F46" s="274" t="s">
        <v>46</v>
      </c>
    </row>
    <row r="47" spans="2:6" ht="16.5" thickBot="1" x14ac:dyDescent="0.3">
      <c r="B47" s="26" t="s">
        <v>141</v>
      </c>
      <c r="C47" s="50">
        <v>4</v>
      </c>
      <c r="D47" s="50">
        <v>0.5</v>
      </c>
      <c r="E47" s="90">
        <v>0.6</v>
      </c>
      <c r="F47" s="274"/>
    </row>
    <row r="48" spans="2:6" ht="15.75" x14ac:dyDescent="0.25">
      <c r="B48" s="25"/>
      <c r="D48" s="27"/>
    </row>
    <row r="49" spans="2:6" ht="30.75" thickBot="1" x14ac:dyDescent="0.3">
      <c r="C49" s="86" t="s">
        <v>148</v>
      </c>
      <c r="D49" s="45" t="s">
        <v>149</v>
      </c>
      <c r="E49" s="45" t="s">
        <v>150</v>
      </c>
    </row>
    <row r="50" spans="2:6" x14ac:dyDescent="0.25">
      <c r="B50" t="s">
        <v>21</v>
      </c>
      <c r="C50" s="68">
        <v>7</v>
      </c>
      <c r="D50" s="68">
        <v>0.5</v>
      </c>
      <c r="E50" s="70">
        <v>0.6</v>
      </c>
    </row>
    <row r="51" spans="2:6" x14ac:dyDescent="0.25">
      <c r="B51" t="s">
        <v>22</v>
      </c>
      <c r="C51" s="74">
        <v>5</v>
      </c>
      <c r="D51" s="74">
        <v>0.5</v>
      </c>
      <c r="E51" s="76">
        <v>0.6</v>
      </c>
    </row>
    <row r="52" spans="2:6" x14ac:dyDescent="0.25">
      <c r="B52" t="s">
        <v>23</v>
      </c>
      <c r="C52" s="74">
        <v>6</v>
      </c>
      <c r="D52" s="74">
        <v>0.5</v>
      </c>
      <c r="E52" s="76">
        <v>0.6</v>
      </c>
    </row>
    <row r="53" spans="2:6" x14ac:dyDescent="0.25">
      <c r="B53" t="s">
        <v>24</v>
      </c>
      <c r="C53" s="74">
        <v>6</v>
      </c>
      <c r="D53" s="74">
        <v>0.5</v>
      </c>
      <c r="E53" s="76">
        <v>0.6</v>
      </c>
    </row>
    <row r="54" spans="2:6" ht="15.75" thickBot="1" x14ac:dyDescent="0.3">
      <c r="B54" t="s">
        <v>25</v>
      </c>
      <c r="C54" s="71">
        <v>7</v>
      </c>
      <c r="D54" s="74">
        <v>0.5</v>
      </c>
      <c r="E54" s="76">
        <v>0.6</v>
      </c>
    </row>
    <row r="55" spans="2:6" ht="15.75" thickBot="1" x14ac:dyDescent="0.3">
      <c r="B55" s="1" t="s">
        <v>20</v>
      </c>
      <c r="C55" s="54">
        <f>SUM(C50:C54)</f>
        <v>31</v>
      </c>
      <c r="D55" s="55">
        <v>0.97</v>
      </c>
      <c r="E55" s="56">
        <v>0.98</v>
      </c>
      <c r="F55" s="57">
        <v>0.99</v>
      </c>
    </row>
    <row r="56" spans="2:6" x14ac:dyDescent="0.25">
      <c r="B56" s="1"/>
      <c r="C56" s="1"/>
      <c r="D56" s="1"/>
      <c r="E56" s="1"/>
    </row>
    <row r="57" spans="2:6" x14ac:dyDescent="0.25">
      <c r="B57" s="1" t="s">
        <v>142</v>
      </c>
      <c r="C57" s="1"/>
      <c r="D57" s="1"/>
      <c r="E57" s="1"/>
    </row>
    <row r="58" spans="2:6" ht="30.75" thickBot="1" x14ac:dyDescent="0.3">
      <c r="C58" s="86" t="s">
        <v>148</v>
      </c>
      <c r="D58" s="45" t="s">
        <v>149</v>
      </c>
      <c r="E58" s="45" t="s">
        <v>150</v>
      </c>
    </row>
    <row r="59" spans="2:6" x14ac:dyDescent="0.25">
      <c r="B59" t="s">
        <v>26</v>
      </c>
      <c r="C59" s="91">
        <v>4</v>
      </c>
      <c r="D59" s="3">
        <v>0.2</v>
      </c>
      <c r="E59" s="5">
        <v>0.3</v>
      </c>
    </row>
    <row r="60" spans="2:6" x14ac:dyDescent="0.25">
      <c r="B60" t="s">
        <v>27</v>
      </c>
      <c r="C60" s="92">
        <v>3</v>
      </c>
      <c r="D60" s="6">
        <v>0.2</v>
      </c>
      <c r="E60" s="7">
        <v>0.3</v>
      </c>
    </row>
    <row r="61" spans="2:6" x14ac:dyDescent="0.25">
      <c r="B61" t="s">
        <v>28</v>
      </c>
      <c r="C61" s="92">
        <v>5</v>
      </c>
      <c r="D61" s="6">
        <v>0.2</v>
      </c>
      <c r="E61" s="7">
        <v>0.3</v>
      </c>
    </row>
    <row r="62" spans="2:6" x14ac:dyDescent="0.25">
      <c r="B62" t="s">
        <v>29</v>
      </c>
      <c r="C62" s="92">
        <v>1</v>
      </c>
      <c r="D62" s="6">
        <v>0.2</v>
      </c>
      <c r="E62" s="7">
        <v>0.3</v>
      </c>
    </row>
    <row r="63" spans="2:6" x14ac:dyDescent="0.25">
      <c r="B63" t="s">
        <v>30</v>
      </c>
      <c r="C63" s="92">
        <v>0</v>
      </c>
      <c r="D63" s="6">
        <v>0.1</v>
      </c>
      <c r="E63" s="7">
        <v>0.2</v>
      </c>
    </row>
    <row r="64" spans="2:6" x14ac:dyDescent="0.25">
      <c r="B64" t="s">
        <v>31</v>
      </c>
      <c r="C64" s="92">
        <v>5</v>
      </c>
      <c r="D64" s="6">
        <v>0.2</v>
      </c>
      <c r="E64" s="7">
        <v>0.3</v>
      </c>
    </row>
    <row r="65" spans="1:12" x14ac:dyDescent="0.25">
      <c r="B65" t="s">
        <v>32</v>
      </c>
      <c r="C65" s="92">
        <v>5</v>
      </c>
      <c r="D65" s="6">
        <v>0.2</v>
      </c>
      <c r="E65" s="7">
        <v>0.3</v>
      </c>
    </row>
    <row r="66" spans="1:12" x14ac:dyDescent="0.25">
      <c r="B66" t="s">
        <v>33</v>
      </c>
      <c r="C66" s="92">
        <v>0</v>
      </c>
      <c r="D66" s="6">
        <v>0.2</v>
      </c>
      <c r="E66" s="7">
        <v>0.3</v>
      </c>
    </row>
    <row r="67" spans="1:12" x14ac:dyDescent="0.25">
      <c r="B67" t="s">
        <v>34</v>
      </c>
      <c r="C67" s="92">
        <v>4</v>
      </c>
      <c r="D67" s="6">
        <v>0.2</v>
      </c>
      <c r="E67" s="7">
        <v>0.3</v>
      </c>
    </row>
    <row r="68" spans="1:12" x14ac:dyDescent="0.25">
      <c r="B68" t="s">
        <v>35</v>
      </c>
      <c r="C68" s="92">
        <v>5</v>
      </c>
      <c r="D68" s="6">
        <v>0.2</v>
      </c>
      <c r="E68" s="7">
        <v>0.3</v>
      </c>
    </row>
    <row r="69" spans="1:12" x14ac:dyDescent="0.25">
      <c r="B69" t="s">
        <v>36</v>
      </c>
      <c r="C69" s="92">
        <v>3</v>
      </c>
      <c r="D69" s="6">
        <v>0.2</v>
      </c>
      <c r="E69" s="7">
        <v>0.3</v>
      </c>
    </row>
    <row r="70" spans="1:12" x14ac:dyDescent="0.25">
      <c r="B70" t="s">
        <v>37</v>
      </c>
      <c r="C70" s="92">
        <v>5</v>
      </c>
      <c r="D70" s="6">
        <v>0.2</v>
      </c>
      <c r="E70" s="7">
        <v>0.3</v>
      </c>
    </row>
    <row r="71" spans="1:12" x14ac:dyDescent="0.25">
      <c r="B71" t="s">
        <v>38</v>
      </c>
      <c r="C71" s="92">
        <v>1</v>
      </c>
      <c r="D71" s="6">
        <v>0.2</v>
      </c>
      <c r="E71" s="7">
        <v>0.3</v>
      </c>
    </row>
    <row r="72" spans="1:12" ht="15.75" thickBot="1" x14ac:dyDescent="0.3">
      <c r="B72" t="s">
        <v>39</v>
      </c>
      <c r="C72" s="93">
        <v>1</v>
      </c>
      <c r="D72" s="6">
        <v>0.2</v>
      </c>
      <c r="E72" s="7">
        <v>0.3</v>
      </c>
    </row>
    <row r="73" spans="1:12" ht="15.75" thickBot="1" x14ac:dyDescent="0.3">
      <c r="B73" s="1" t="s">
        <v>40</v>
      </c>
      <c r="C73" s="94">
        <f>SUM(C59:C72)</f>
        <v>42</v>
      </c>
      <c r="D73" s="96">
        <v>0.95</v>
      </c>
      <c r="E73" s="96">
        <v>0.96</v>
      </c>
      <c r="F73" s="96">
        <v>0.97</v>
      </c>
      <c r="G73" s="96">
        <v>0.98</v>
      </c>
      <c r="H73" s="97">
        <v>0.99</v>
      </c>
    </row>
    <row r="75" spans="1:12" ht="15.75" thickBot="1" x14ac:dyDescent="0.3">
      <c r="B75" s="1" t="s">
        <v>41</v>
      </c>
    </row>
    <row r="76" spans="1:12" ht="15.75" thickBot="1" x14ac:dyDescent="0.3">
      <c r="A76">
        <v>0.65</v>
      </c>
      <c r="B76">
        <v>0.01</v>
      </c>
      <c r="C76" s="80">
        <f>C73*B76+A76</f>
        <v>1.07</v>
      </c>
      <c r="D76" s="98">
        <f>(1-(1-D73)^$B76)</f>
        <v>2.9513049607039932E-2</v>
      </c>
      <c r="E76" s="99">
        <f t="shared" ref="E76:H76" si="0">(1-(1-E73)^$B76)</f>
        <v>3.1676214274370174E-2</v>
      </c>
      <c r="F76" s="99">
        <f t="shared" si="0"/>
        <v>3.445790507785107E-2</v>
      </c>
      <c r="G76" s="99">
        <f t="shared" si="0"/>
        <v>3.8364915242696584E-2</v>
      </c>
      <c r="H76" s="100">
        <f t="shared" si="0"/>
        <v>4.5007413978564004E-2</v>
      </c>
    </row>
    <row r="77" spans="1:12" ht="15.75" thickBot="1" x14ac:dyDescent="0.3">
      <c r="B77" s="1" t="s">
        <v>20</v>
      </c>
      <c r="C77" s="54">
        <f>C55</f>
        <v>31</v>
      </c>
      <c r="D77" s="55">
        <f t="shared" ref="D77:F77" si="1">D55</f>
        <v>0.97</v>
      </c>
      <c r="E77" s="56">
        <f t="shared" si="1"/>
        <v>0.98</v>
      </c>
      <c r="F77" s="57">
        <f t="shared" si="1"/>
        <v>0.99</v>
      </c>
    </row>
    <row r="78" spans="1:12" ht="15.75" thickBot="1" x14ac:dyDescent="0.3"/>
    <row r="79" spans="1:12" ht="15.75" thickBot="1" x14ac:dyDescent="0.3">
      <c r="B79" s="1" t="s">
        <v>143</v>
      </c>
      <c r="C79" s="41">
        <f>C76*C77</f>
        <v>33.17</v>
      </c>
      <c r="D79" s="58">
        <f>D76*D77</f>
        <v>2.8627658118828732E-2</v>
      </c>
      <c r="E79" s="44">
        <f>D76*E77</f>
        <v>2.8922788614899133E-2</v>
      </c>
      <c r="F79" s="44">
        <f>D76*F77</f>
        <v>2.9217919110969531E-2</v>
      </c>
      <c r="G79" s="59">
        <f>G76*D77</f>
        <v>3.7213967785415684E-2</v>
      </c>
      <c r="H79" s="44">
        <f>G76*E77</f>
        <v>3.7597616937842651E-2</v>
      </c>
      <c r="I79" s="44">
        <f>G76*F77</f>
        <v>3.7981266090269618E-2</v>
      </c>
      <c r="J79" s="44">
        <f>H76*D77</f>
        <v>4.3657191559207081E-2</v>
      </c>
      <c r="K79" s="44">
        <f>H76*E77</f>
        <v>4.4107265698992724E-2</v>
      </c>
      <c r="L79" s="60">
        <f>H76*F77</f>
        <v>4.4557339838778361E-2</v>
      </c>
    </row>
    <row r="80" spans="1:12" ht="15.75" thickBot="1" x14ac:dyDescent="0.3"/>
    <row r="81" spans="2:6" ht="15.75" thickBot="1" x14ac:dyDescent="0.3">
      <c r="B81" s="1" t="s">
        <v>151</v>
      </c>
      <c r="C81" s="62">
        <f>C79</f>
        <v>33.17</v>
      </c>
      <c r="D81" s="62">
        <f>D79</f>
        <v>2.8627658118828732E-2</v>
      </c>
      <c r="E81" s="63">
        <f>G79</f>
        <v>3.7213967785415684E-2</v>
      </c>
      <c r="F81" s="64">
        <f>0.5</f>
        <v>0.5</v>
      </c>
    </row>
    <row r="82" spans="2:6" x14ac:dyDescent="0.25">
      <c r="C82" s="1"/>
    </row>
    <row r="83" spans="2:6" x14ac:dyDescent="0.25">
      <c r="C83" s="1"/>
    </row>
    <row r="84" spans="2:6" x14ac:dyDescent="0.25">
      <c r="C84" s="1"/>
    </row>
  </sheetData>
  <mergeCells count="4">
    <mergeCell ref="B34:B35"/>
    <mergeCell ref="D34:D35"/>
    <mergeCell ref="F42:F43"/>
    <mergeCell ref="F46:F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AB77-63A8-4035-BE65-84BB4869E69A}">
  <sheetPr>
    <pageSetUpPr fitToPage="1"/>
  </sheetPr>
  <dimension ref="A2:M49"/>
  <sheetViews>
    <sheetView tabSelected="1" topLeftCell="A45" zoomScaleNormal="100" workbookViewId="0">
      <selection activeCell="D49" sqref="D49"/>
    </sheetView>
  </sheetViews>
  <sheetFormatPr defaultRowHeight="15" x14ac:dyDescent="0.25"/>
  <cols>
    <col min="1" max="1" width="8.5703125" style="66" customWidth="1"/>
    <col min="2" max="2" width="24.85546875" customWidth="1"/>
    <col min="3" max="3" width="10" customWidth="1"/>
  </cols>
  <sheetData>
    <row r="2" spans="2:9" ht="18.75" x14ac:dyDescent="0.3">
      <c r="B2" s="20" t="s">
        <v>152</v>
      </c>
    </row>
    <row r="4" spans="2:9" x14ac:dyDescent="0.25">
      <c r="B4" s="1" t="s">
        <v>154</v>
      </c>
    </row>
    <row r="5" spans="2:9" ht="5.25" customHeight="1" thickBot="1" x14ac:dyDescent="0.3"/>
    <row r="6" spans="2:9" ht="15.75" thickBot="1" x14ac:dyDescent="0.3">
      <c r="B6" s="275" t="s">
        <v>42</v>
      </c>
      <c r="C6" s="277" t="s">
        <v>43</v>
      </c>
      <c r="D6" s="278"/>
      <c r="E6" s="278"/>
      <c r="F6" s="278"/>
      <c r="G6" s="278"/>
      <c r="H6" s="279"/>
    </row>
    <row r="7" spans="2:9" ht="30.75" thickBot="1" x14ac:dyDescent="0.3">
      <c r="B7" s="276"/>
      <c r="C7" s="101" t="s">
        <v>44</v>
      </c>
      <c r="D7" s="101" t="s">
        <v>45</v>
      </c>
      <c r="E7" s="101" t="s">
        <v>103</v>
      </c>
      <c r="F7" s="101" t="s">
        <v>46</v>
      </c>
      <c r="G7" s="101" t="s">
        <v>47</v>
      </c>
      <c r="H7" s="101" t="s">
        <v>48</v>
      </c>
    </row>
    <row r="8" spans="2:9" ht="16.5" thickTop="1" thickBot="1" x14ac:dyDescent="0.3">
      <c r="B8" s="102" t="s">
        <v>49</v>
      </c>
      <c r="C8" s="103">
        <v>6.2</v>
      </c>
      <c r="D8" s="103">
        <v>4.96</v>
      </c>
      <c r="E8" s="103">
        <v>3.72</v>
      </c>
      <c r="F8" s="103">
        <v>2.48</v>
      </c>
      <c r="G8" s="103">
        <v>1.24</v>
      </c>
      <c r="H8" s="103">
        <v>0</v>
      </c>
    </row>
    <row r="9" spans="2:9" ht="15.75" thickBot="1" x14ac:dyDescent="0.3">
      <c r="B9" s="102" t="s">
        <v>50</v>
      </c>
      <c r="C9" s="103">
        <v>5.07</v>
      </c>
      <c r="D9" s="103">
        <v>4.05</v>
      </c>
      <c r="E9" s="103">
        <v>3.04</v>
      </c>
      <c r="F9" s="103">
        <v>2.0299999999999998</v>
      </c>
      <c r="G9" s="103">
        <v>1.01</v>
      </c>
      <c r="H9" s="103">
        <v>0</v>
      </c>
    </row>
    <row r="10" spans="2:9" ht="15.75" thickBot="1" x14ac:dyDescent="0.3">
      <c r="B10" s="102" t="s">
        <v>51</v>
      </c>
      <c r="C10" s="103">
        <v>7.07</v>
      </c>
      <c r="D10" s="103">
        <v>5.65</v>
      </c>
      <c r="E10" s="103">
        <v>4.24</v>
      </c>
      <c r="F10" s="103">
        <v>2.83</v>
      </c>
      <c r="G10" s="103">
        <v>1.41</v>
      </c>
      <c r="H10" s="103">
        <v>0</v>
      </c>
    </row>
    <row r="11" spans="2:9" ht="15.75" thickBot="1" x14ac:dyDescent="0.3">
      <c r="B11" s="102" t="s">
        <v>52</v>
      </c>
      <c r="C11" s="103">
        <v>5.48</v>
      </c>
      <c r="D11" s="103">
        <v>4.38</v>
      </c>
      <c r="E11" s="103">
        <v>3.29</v>
      </c>
      <c r="F11" s="103">
        <v>2.19</v>
      </c>
      <c r="G11" s="103">
        <v>1.1000000000000001</v>
      </c>
      <c r="H11" s="103">
        <v>0</v>
      </c>
    </row>
    <row r="12" spans="2:9" ht="15.75" thickBot="1" x14ac:dyDescent="0.3">
      <c r="B12" s="102" t="s">
        <v>53</v>
      </c>
      <c r="C12" s="103">
        <v>7.8</v>
      </c>
      <c r="D12" s="103">
        <v>6.24</v>
      </c>
      <c r="E12" s="103">
        <v>4.68</v>
      </c>
      <c r="F12" s="103">
        <v>3.12</v>
      </c>
      <c r="G12" s="103">
        <v>1.56</v>
      </c>
      <c r="H12" s="103">
        <v>0</v>
      </c>
    </row>
    <row r="14" spans="2:9" x14ac:dyDescent="0.25">
      <c r="B14" s="1" t="s">
        <v>65</v>
      </c>
    </row>
    <row r="15" spans="2:9" ht="5.25" customHeight="1" thickBot="1" x14ac:dyDescent="0.3"/>
    <row r="16" spans="2:9" ht="16.5" thickBot="1" x14ac:dyDescent="0.3">
      <c r="B16" s="268" t="s">
        <v>100</v>
      </c>
      <c r="C16" s="280" t="s">
        <v>43</v>
      </c>
      <c r="D16" s="281"/>
      <c r="E16" s="281"/>
      <c r="F16" s="281"/>
      <c r="G16" s="281"/>
      <c r="H16" s="281"/>
      <c r="I16" s="282"/>
    </row>
    <row r="17" spans="2:10" ht="32.25" thickBot="1" x14ac:dyDescent="0.3">
      <c r="B17" s="269"/>
      <c r="C17" s="24" t="s">
        <v>66</v>
      </c>
      <c r="D17" s="24" t="s">
        <v>44</v>
      </c>
      <c r="E17" s="24" t="s">
        <v>45</v>
      </c>
      <c r="F17" s="101" t="s">
        <v>103</v>
      </c>
      <c r="G17" s="24" t="s">
        <v>46</v>
      </c>
      <c r="H17" s="24" t="s">
        <v>47</v>
      </c>
      <c r="I17" s="24" t="s">
        <v>48</v>
      </c>
    </row>
    <row r="18" spans="2:10" ht="17.25" thickTop="1" thickBot="1" x14ac:dyDescent="0.3">
      <c r="B18" s="18" t="s">
        <v>67</v>
      </c>
      <c r="C18" s="19">
        <v>2.12</v>
      </c>
      <c r="D18" s="19">
        <v>1.62</v>
      </c>
      <c r="E18" s="19">
        <v>1.26</v>
      </c>
      <c r="F18" s="19">
        <v>1</v>
      </c>
      <c r="G18" s="19">
        <v>0.83</v>
      </c>
      <c r="H18" s="19">
        <v>0.63</v>
      </c>
      <c r="I18" s="19">
        <v>0.5</v>
      </c>
    </row>
    <row r="19" spans="2:10" ht="16.5" thickBot="1" x14ac:dyDescent="0.3">
      <c r="B19" s="18" t="s">
        <v>68</v>
      </c>
      <c r="C19" s="19">
        <v>0.49</v>
      </c>
      <c r="D19" s="19">
        <v>0.6</v>
      </c>
      <c r="E19" s="19">
        <v>0.83</v>
      </c>
      <c r="F19" s="19">
        <v>1</v>
      </c>
      <c r="G19" s="19">
        <v>1.33</v>
      </c>
      <c r="H19" s="19">
        <v>1.91</v>
      </c>
      <c r="I19" s="19">
        <v>2.72</v>
      </c>
    </row>
    <row r="20" spans="2:10" ht="16.5" thickBot="1" x14ac:dyDescent="0.3">
      <c r="B20" s="18" t="s">
        <v>69</v>
      </c>
      <c r="C20" s="19" t="s">
        <v>70</v>
      </c>
      <c r="D20" s="19" t="s">
        <v>70</v>
      </c>
      <c r="E20" s="19">
        <v>0.95</v>
      </c>
      <c r="F20" s="19">
        <v>1</v>
      </c>
      <c r="G20" s="19">
        <v>1.07</v>
      </c>
      <c r="H20" s="19">
        <v>1.1499999999999999</v>
      </c>
      <c r="I20" s="19">
        <v>1.24</v>
      </c>
    </row>
    <row r="21" spans="2:10" ht="16.5" thickBot="1" x14ac:dyDescent="0.3">
      <c r="B21" s="18" t="s">
        <v>71</v>
      </c>
      <c r="C21" s="19" t="s">
        <v>70</v>
      </c>
      <c r="D21" s="19" t="s">
        <v>70</v>
      </c>
      <c r="E21" s="19">
        <v>0.87</v>
      </c>
      <c r="F21" s="19">
        <v>1</v>
      </c>
      <c r="G21" s="19">
        <v>1.29</v>
      </c>
      <c r="H21" s="19">
        <v>1.81</v>
      </c>
      <c r="I21" s="19">
        <v>2.61</v>
      </c>
    </row>
    <row r="22" spans="2:10" ht="16.5" thickBot="1" x14ac:dyDescent="0.3">
      <c r="B22" s="18" t="s">
        <v>72</v>
      </c>
      <c r="C22" s="19">
        <v>1.59</v>
      </c>
      <c r="D22" s="19">
        <v>1.33</v>
      </c>
      <c r="E22" s="19">
        <v>1.22</v>
      </c>
      <c r="F22" s="19">
        <v>1</v>
      </c>
      <c r="G22" s="19">
        <v>0.87</v>
      </c>
      <c r="H22" s="19">
        <v>0.74</v>
      </c>
      <c r="I22" s="19">
        <v>0.62</v>
      </c>
    </row>
    <row r="23" spans="2:10" ht="16.5" thickBot="1" x14ac:dyDescent="0.3">
      <c r="B23" s="18" t="s">
        <v>73</v>
      </c>
      <c r="C23" s="19">
        <v>1.43</v>
      </c>
      <c r="D23" s="19">
        <v>1.3</v>
      </c>
      <c r="E23" s="19">
        <v>1.1000000000000001</v>
      </c>
      <c r="F23" s="19">
        <v>1</v>
      </c>
      <c r="G23" s="19">
        <v>0.87</v>
      </c>
      <c r="H23" s="19">
        <v>0.73</v>
      </c>
      <c r="I23" s="19">
        <v>0.62</v>
      </c>
    </row>
    <row r="24" spans="2:10" ht="16.5" thickBot="1" x14ac:dyDescent="0.3">
      <c r="B24" s="18" t="s">
        <v>74</v>
      </c>
      <c r="C24" s="19" t="s">
        <v>70</v>
      </c>
      <c r="D24" s="19">
        <v>1.43</v>
      </c>
      <c r="E24" s="19">
        <v>1.1399999999999999</v>
      </c>
      <c r="F24" s="19">
        <v>1</v>
      </c>
      <c r="G24" s="19">
        <v>1</v>
      </c>
      <c r="H24" s="19">
        <v>1</v>
      </c>
      <c r="I24" s="19" t="s">
        <v>70</v>
      </c>
    </row>
    <row r="26" spans="2:10" ht="15.75" x14ac:dyDescent="0.25">
      <c r="B26" s="25" t="s">
        <v>135</v>
      </c>
      <c r="C26" s="2"/>
      <c r="D26" s="2"/>
      <c r="E26" s="2"/>
      <c r="F26" s="2"/>
      <c r="G26" s="2"/>
      <c r="H26" s="2"/>
      <c r="I26" s="2"/>
      <c r="J26" s="2"/>
    </row>
    <row r="27" spans="2:10" ht="15.75" thickBot="1" x14ac:dyDescent="0.3"/>
    <row r="28" spans="2:10" ht="15.75" thickBot="1" x14ac:dyDescent="0.3">
      <c r="B28" s="104" t="s">
        <v>49</v>
      </c>
      <c r="C28" s="106" t="s">
        <v>103</v>
      </c>
      <c r="D28" s="110">
        <f>E8</f>
        <v>3.72</v>
      </c>
    </row>
    <row r="29" spans="2:10" ht="15.75" thickBot="1" x14ac:dyDescent="0.3">
      <c r="B29" s="102" t="s">
        <v>50</v>
      </c>
      <c r="C29" s="107" t="s">
        <v>45</v>
      </c>
      <c r="D29" s="111">
        <f>D9</f>
        <v>4.05</v>
      </c>
      <c r="E29" s="2"/>
      <c r="F29" s="2"/>
      <c r="G29" s="2"/>
      <c r="H29" s="2"/>
      <c r="I29" s="2"/>
      <c r="J29" s="2"/>
    </row>
    <row r="30" spans="2:10" ht="15.75" thickBot="1" x14ac:dyDescent="0.3">
      <c r="B30" s="102" t="s">
        <v>51</v>
      </c>
      <c r="C30" s="108" t="s">
        <v>46</v>
      </c>
      <c r="D30" s="112">
        <f>F10</f>
        <v>2.83</v>
      </c>
    </row>
    <row r="31" spans="2:10" ht="15.75" thickBot="1" x14ac:dyDescent="0.3">
      <c r="B31" s="102" t="s">
        <v>52</v>
      </c>
      <c r="C31" s="107" t="s">
        <v>47</v>
      </c>
      <c r="D31" s="111">
        <f>C11</f>
        <v>5.48</v>
      </c>
      <c r="E31" s="2"/>
      <c r="F31" s="2"/>
      <c r="G31" s="2"/>
      <c r="H31" s="2"/>
      <c r="I31" s="2"/>
      <c r="J31" s="2"/>
    </row>
    <row r="32" spans="2:10" ht="15.75" thickBot="1" x14ac:dyDescent="0.3">
      <c r="B32" s="102" t="s">
        <v>53</v>
      </c>
      <c r="C32" s="109" t="s">
        <v>48</v>
      </c>
      <c r="D32" s="113">
        <f>H12</f>
        <v>0</v>
      </c>
    </row>
    <row r="33" spans="1:13" ht="15.75" thickBot="1" x14ac:dyDescent="0.3">
      <c r="M33" s="2"/>
    </row>
    <row r="34" spans="1:13" ht="15.75" thickBot="1" x14ac:dyDescent="0.3">
      <c r="B34" s="114"/>
      <c r="C34" s="166" t="s">
        <v>153</v>
      </c>
      <c r="D34" s="165">
        <f>SUM(D28:D32)</f>
        <v>16.079999999999998</v>
      </c>
    </row>
    <row r="35" spans="1:13" ht="15.75" thickBot="1" x14ac:dyDescent="0.3">
      <c r="B35" s="114"/>
      <c r="C35" s="177" t="s">
        <v>156</v>
      </c>
      <c r="D35" s="175">
        <v>0.91</v>
      </c>
    </row>
    <row r="36" spans="1:13" ht="15.75" thickBot="1" x14ac:dyDescent="0.3">
      <c r="C36" s="27" t="s">
        <v>98</v>
      </c>
      <c r="D36" s="167">
        <f>D35+0.01*D34</f>
        <v>1.0708</v>
      </c>
    </row>
    <row r="37" spans="1:13" ht="15.75" thickBot="1" x14ac:dyDescent="0.3"/>
    <row r="38" spans="1:13" ht="16.5" thickBot="1" x14ac:dyDescent="0.3">
      <c r="A38" s="1"/>
      <c r="B38" s="168" t="s">
        <v>67</v>
      </c>
      <c r="C38" s="169" t="s">
        <v>45</v>
      </c>
      <c r="D38" s="172">
        <f>E18</f>
        <v>1.26</v>
      </c>
    </row>
    <row r="39" spans="1:13" ht="16.5" thickBot="1" x14ac:dyDescent="0.3">
      <c r="A39" s="1"/>
      <c r="B39" s="18" t="s">
        <v>68</v>
      </c>
      <c r="C39" s="170" t="s">
        <v>44</v>
      </c>
      <c r="D39" s="173">
        <f>D19</f>
        <v>0.6</v>
      </c>
    </row>
    <row r="40" spans="1:13" ht="16.5" thickBot="1" x14ac:dyDescent="0.3">
      <c r="A40" s="1"/>
      <c r="B40" s="18" t="s">
        <v>69</v>
      </c>
      <c r="C40" s="170" t="s">
        <v>103</v>
      </c>
      <c r="D40" s="173">
        <f>F20</f>
        <v>1</v>
      </c>
    </row>
    <row r="41" spans="1:13" ht="16.5" thickBot="1" x14ac:dyDescent="0.3">
      <c r="A41" s="1"/>
      <c r="B41" s="18" t="s">
        <v>71</v>
      </c>
      <c r="C41" s="170" t="s">
        <v>103</v>
      </c>
      <c r="D41" s="173">
        <f>F21</f>
        <v>1</v>
      </c>
    </row>
    <row r="42" spans="1:13" ht="16.5" thickBot="1" x14ac:dyDescent="0.3">
      <c r="A42"/>
      <c r="B42" s="18" t="s">
        <v>72</v>
      </c>
      <c r="C42" s="170" t="s">
        <v>47</v>
      </c>
      <c r="D42" s="173">
        <f>H22</f>
        <v>0.74</v>
      </c>
    </row>
    <row r="43" spans="1:13" ht="16.5" thickBot="1" x14ac:dyDescent="0.3">
      <c r="B43" s="18" t="s">
        <v>73</v>
      </c>
      <c r="C43" s="170" t="s">
        <v>46</v>
      </c>
      <c r="D43" s="173">
        <f>G23</f>
        <v>0.87</v>
      </c>
    </row>
    <row r="44" spans="1:13" ht="16.5" thickBot="1" x14ac:dyDescent="0.3">
      <c r="A44"/>
      <c r="B44" s="18" t="s">
        <v>74</v>
      </c>
      <c r="C44" s="171" t="s">
        <v>45</v>
      </c>
      <c r="D44" s="174">
        <f>E24</f>
        <v>1.1399999999999999</v>
      </c>
    </row>
    <row r="45" spans="1:13" ht="15.75" thickBot="1" x14ac:dyDescent="0.3"/>
    <row r="46" spans="1:13" ht="15.75" thickBot="1" x14ac:dyDescent="0.3">
      <c r="C46" s="1" t="s">
        <v>159</v>
      </c>
      <c r="D46" s="176">
        <f>D38*D39*D40*D41*D42*D43*D44</f>
        <v>0.55485259200000003</v>
      </c>
    </row>
    <row r="47" spans="1:13" ht="15.75" thickBot="1" x14ac:dyDescent="0.3">
      <c r="C47" s="27" t="s">
        <v>97</v>
      </c>
      <c r="D47" s="175">
        <v>7.2</v>
      </c>
    </row>
    <row r="48" spans="1:13" ht="15.75" thickBot="1" x14ac:dyDescent="0.3">
      <c r="B48" s="61"/>
      <c r="C48" s="178" t="s">
        <v>99</v>
      </c>
      <c r="D48" s="179">
        <v>2.94</v>
      </c>
    </row>
    <row r="49" spans="3:5" ht="15.75" thickBot="1" x14ac:dyDescent="0.3">
      <c r="C49" t="s">
        <v>155</v>
      </c>
      <c r="D49" s="182">
        <f>D48*(D47^D36)*D46</f>
        <v>13.50692806086551</v>
      </c>
      <c r="E49" t="s">
        <v>157</v>
      </c>
    </row>
  </sheetData>
  <mergeCells count="4">
    <mergeCell ref="B6:B7"/>
    <mergeCell ref="C6:H6"/>
    <mergeCell ref="B16:B17"/>
    <mergeCell ref="C16:I16"/>
  </mergeCells>
  <pageMargins left="0.25" right="0.25" top="0.75" bottom="0.75" header="0.3" footer="0.3"/>
  <pageSetup scale="96" fitToHeight="0" orientation="landscape" r:id="rId1"/>
  <rowBreaks count="1" manualBreakCount="1">
    <brk id="1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0A37-8F57-4FFB-981D-A27E3FC9A7A2}">
  <sheetPr>
    <pageSetUpPr fitToPage="1"/>
  </sheetPr>
  <dimension ref="A2:J164"/>
  <sheetViews>
    <sheetView topLeftCell="A117" zoomScaleNormal="100" workbookViewId="0">
      <selection activeCell="C151" sqref="C151:F152"/>
    </sheetView>
  </sheetViews>
  <sheetFormatPr defaultRowHeight="15" x14ac:dyDescent="0.25"/>
  <cols>
    <col min="1" max="1" width="18.140625" style="66" customWidth="1"/>
    <col min="2" max="2" width="24.85546875" customWidth="1"/>
  </cols>
  <sheetData>
    <row r="2" spans="2:10" ht="18.75" x14ac:dyDescent="0.3">
      <c r="B2" s="20" t="s">
        <v>165</v>
      </c>
    </row>
    <row r="4" spans="2:10" x14ac:dyDescent="0.25">
      <c r="B4" s="1" t="s">
        <v>154</v>
      </c>
    </row>
    <row r="5" spans="2:10" ht="7.5" customHeight="1" thickBot="1" x14ac:dyDescent="0.3"/>
    <row r="6" spans="2:10" ht="15.75" thickBot="1" x14ac:dyDescent="0.3">
      <c r="B6" s="275" t="s">
        <v>42</v>
      </c>
      <c r="C6" s="277" t="s">
        <v>43</v>
      </c>
      <c r="D6" s="278"/>
      <c r="E6" s="278"/>
      <c r="F6" s="278"/>
      <c r="G6" s="278"/>
      <c r="H6" s="279"/>
    </row>
    <row r="7" spans="2:10" ht="30.75" thickBot="1" x14ac:dyDescent="0.3">
      <c r="B7" s="276"/>
      <c r="C7" s="101" t="s">
        <v>44</v>
      </c>
      <c r="D7" s="101" t="s">
        <v>45</v>
      </c>
      <c r="E7" s="101" t="s">
        <v>103</v>
      </c>
      <c r="F7" s="101" t="s">
        <v>46</v>
      </c>
      <c r="G7" s="101" t="s">
        <v>47</v>
      </c>
      <c r="H7" s="101" t="s">
        <v>48</v>
      </c>
    </row>
    <row r="8" spans="2:10" ht="16.5" thickTop="1" thickBot="1" x14ac:dyDescent="0.3">
      <c r="B8" s="102" t="s">
        <v>49</v>
      </c>
      <c r="C8" s="103">
        <v>6.2</v>
      </c>
      <c r="D8" s="103">
        <v>4.96</v>
      </c>
      <c r="E8" s="103">
        <v>3.72</v>
      </c>
      <c r="F8" s="103">
        <v>2.48</v>
      </c>
      <c r="G8" s="103">
        <v>1.24</v>
      </c>
      <c r="H8" s="103">
        <v>0</v>
      </c>
    </row>
    <row r="9" spans="2:10" ht="15.75" thickBot="1" x14ac:dyDescent="0.3">
      <c r="B9" s="102" t="s">
        <v>50</v>
      </c>
      <c r="C9" s="103">
        <v>5.07</v>
      </c>
      <c r="D9" s="103">
        <v>4.05</v>
      </c>
      <c r="E9" s="103">
        <v>3.04</v>
      </c>
      <c r="F9" s="103">
        <v>2.0299999999999998</v>
      </c>
      <c r="G9" s="103">
        <v>1.01</v>
      </c>
      <c r="H9" s="103">
        <v>0</v>
      </c>
    </row>
    <row r="10" spans="2:10" ht="15.75" thickBot="1" x14ac:dyDescent="0.3">
      <c r="B10" s="102" t="s">
        <v>51</v>
      </c>
      <c r="C10" s="103">
        <v>7.07</v>
      </c>
      <c r="D10" s="103">
        <v>5.65</v>
      </c>
      <c r="E10" s="103">
        <v>4.24</v>
      </c>
      <c r="F10" s="103">
        <v>2.83</v>
      </c>
      <c r="G10" s="103">
        <v>1.41</v>
      </c>
      <c r="H10" s="103">
        <v>0</v>
      </c>
    </row>
    <row r="11" spans="2:10" ht="15.75" thickBot="1" x14ac:dyDescent="0.3">
      <c r="B11" s="102" t="s">
        <v>52</v>
      </c>
      <c r="C11" s="103">
        <v>5.48</v>
      </c>
      <c r="D11" s="103">
        <v>4.38</v>
      </c>
      <c r="E11" s="103">
        <v>3.29</v>
      </c>
      <c r="F11" s="103">
        <v>2.19</v>
      </c>
      <c r="G11" s="103">
        <v>1.1000000000000001</v>
      </c>
      <c r="H11" s="103">
        <v>0</v>
      </c>
    </row>
    <row r="12" spans="2:10" ht="15.75" thickBot="1" x14ac:dyDescent="0.3">
      <c r="B12" s="102" t="s">
        <v>53</v>
      </c>
      <c r="C12" s="103">
        <v>7.8</v>
      </c>
      <c r="D12" s="103">
        <v>6.24</v>
      </c>
      <c r="E12" s="103">
        <v>4.68</v>
      </c>
      <c r="F12" s="103">
        <v>3.12</v>
      </c>
      <c r="G12" s="103">
        <v>1.56</v>
      </c>
      <c r="H12" s="103">
        <v>0</v>
      </c>
    </row>
    <row r="14" spans="2:10" x14ac:dyDescent="0.25">
      <c r="B14" s="207" t="s">
        <v>158</v>
      </c>
    </row>
    <row r="15" spans="2:10" ht="15.75" thickBot="1" x14ac:dyDescent="0.3">
      <c r="B15" s="14" t="s">
        <v>54</v>
      </c>
      <c r="C15" t="s">
        <v>59</v>
      </c>
      <c r="G15" t="s">
        <v>75</v>
      </c>
    </row>
    <row r="16" spans="2:10" x14ac:dyDescent="0.25">
      <c r="B16" s="115" t="s">
        <v>60</v>
      </c>
      <c r="C16" s="3">
        <f>(D17+E17)/2</f>
        <v>4.96</v>
      </c>
      <c r="D16" s="116">
        <f>6.2-0.5</f>
        <v>5.7</v>
      </c>
      <c r="E16" s="4">
        <f>D16+1</f>
        <v>6.7</v>
      </c>
      <c r="F16" s="5">
        <f>D16-C16+E16</f>
        <v>7.44</v>
      </c>
      <c r="G16" s="117">
        <f>H16-(H16-C16)/2</f>
        <v>5.33</v>
      </c>
      <c r="H16" s="4">
        <f>D16</f>
        <v>5.7</v>
      </c>
      <c r="I16" s="4">
        <f>E16</f>
        <v>6.7</v>
      </c>
      <c r="J16" s="118">
        <f>I16+(F16-I16)/2</f>
        <v>7.07</v>
      </c>
    </row>
    <row r="17" spans="2:10" x14ac:dyDescent="0.25">
      <c r="B17" s="115" t="s">
        <v>61</v>
      </c>
      <c r="C17" s="6">
        <f t="shared" ref="C17:C19" si="0">(D18+E18)/2</f>
        <v>3.7200000000000006</v>
      </c>
      <c r="D17" s="119">
        <f>4.96-0.5</f>
        <v>4.46</v>
      </c>
      <c r="E17">
        <f t="shared" ref="E17:E20" si="1">D17+1</f>
        <v>5.46</v>
      </c>
      <c r="F17" s="7">
        <f t="shared" ref="F17:F20" si="2">(D16+E16)/2</f>
        <v>6.2</v>
      </c>
      <c r="G17" s="120">
        <f t="shared" ref="G17:G21" si="3">H17-(H17-C17)/2</f>
        <v>4.09</v>
      </c>
      <c r="H17">
        <f t="shared" ref="H17:I21" si="4">D17</f>
        <v>4.46</v>
      </c>
      <c r="I17">
        <f t="shared" si="4"/>
        <v>5.46</v>
      </c>
      <c r="J17" s="105">
        <f>I17+(F17-I17)/2</f>
        <v>5.83</v>
      </c>
    </row>
    <row r="18" spans="2:10" x14ac:dyDescent="0.25">
      <c r="B18" s="121" t="s">
        <v>101</v>
      </c>
      <c r="C18" s="122">
        <f t="shared" si="0"/>
        <v>2.48</v>
      </c>
      <c r="D18" s="123">
        <f>3.72-0.5</f>
        <v>3.22</v>
      </c>
      <c r="E18" s="123">
        <f t="shared" si="1"/>
        <v>4.2200000000000006</v>
      </c>
      <c r="F18" s="124">
        <f t="shared" si="2"/>
        <v>4.96</v>
      </c>
      <c r="G18" s="125">
        <f t="shared" si="3"/>
        <v>2.85</v>
      </c>
      <c r="H18" s="123">
        <f t="shared" si="4"/>
        <v>3.22</v>
      </c>
      <c r="I18" s="123">
        <f t="shared" si="4"/>
        <v>4.2200000000000006</v>
      </c>
      <c r="J18" s="126">
        <f t="shared" ref="J18:J21" si="5">I18+(F18-I18)/2</f>
        <v>4.59</v>
      </c>
    </row>
    <row r="19" spans="2:10" x14ac:dyDescent="0.25">
      <c r="B19" s="115" t="s">
        <v>62</v>
      </c>
      <c r="C19" s="6">
        <f t="shared" si="0"/>
        <v>1.24</v>
      </c>
      <c r="D19" s="119">
        <f>2.48-0.5</f>
        <v>1.98</v>
      </c>
      <c r="E19">
        <f t="shared" si="1"/>
        <v>2.98</v>
      </c>
      <c r="F19" s="7">
        <f t="shared" si="2"/>
        <v>3.7200000000000006</v>
      </c>
      <c r="G19" s="120">
        <f t="shared" si="3"/>
        <v>1.6099999999999999</v>
      </c>
      <c r="H19">
        <f t="shared" si="4"/>
        <v>1.98</v>
      </c>
      <c r="I19">
        <f t="shared" si="4"/>
        <v>2.98</v>
      </c>
      <c r="J19" s="105">
        <f t="shared" si="5"/>
        <v>3.3500000000000005</v>
      </c>
    </row>
    <row r="20" spans="2:10" x14ac:dyDescent="0.25">
      <c r="B20" s="115" t="s">
        <v>63</v>
      </c>
      <c r="C20" s="6">
        <f>(D21+E21)/2</f>
        <v>0</v>
      </c>
      <c r="D20" s="119">
        <f>1.24-0.5</f>
        <v>0.74</v>
      </c>
      <c r="E20">
        <f t="shared" si="1"/>
        <v>1.74</v>
      </c>
      <c r="F20" s="7">
        <f t="shared" si="2"/>
        <v>2.48</v>
      </c>
      <c r="G20" s="120">
        <f t="shared" si="3"/>
        <v>0.37</v>
      </c>
      <c r="H20">
        <f t="shared" si="4"/>
        <v>0.74</v>
      </c>
      <c r="I20">
        <f t="shared" si="4"/>
        <v>1.74</v>
      </c>
      <c r="J20" s="105">
        <f t="shared" si="5"/>
        <v>2.11</v>
      </c>
    </row>
    <row r="21" spans="2:10" ht="15.75" thickBot="1" x14ac:dyDescent="0.3">
      <c r="B21" s="115" t="s">
        <v>64</v>
      </c>
      <c r="C21" s="8">
        <v>0</v>
      </c>
      <c r="D21" s="127">
        <v>0</v>
      </c>
      <c r="E21" s="9">
        <v>0</v>
      </c>
      <c r="F21" s="10">
        <f>(D20+E20)/2</f>
        <v>1.24</v>
      </c>
      <c r="G21" s="128">
        <f t="shared" si="3"/>
        <v>0</v>
      </c>
      <c r="H21" s="9">
        <f t="shared" si="4"/>
        <v>0</v>
      </c>
      <c r="I21" s="9">
        <f t="shared" si="4"/>
        <v>0</v>
      </c>
      <c r="J21" s="129">
        <f t="shared" si="5"/>
        <v>0.62</v>
      </c>
    </row>
    <row r="22" spans="2:10" ht="15.75" thickBot="1" x14ac:dyDescent="0.3">
      <c r="B22" s="1" t="s">
        <v>55</v>
      </c>
      <c r="G22" s="2"/>
      <c r="J22" s="2"/>
    </row>
    <row r="23" spans="2:10" x14ac:dyDescent="0.25">
      <c r="B23" s="115" t="s">
        <v>60</v>
      </c>
      <c r="C23" s="3">
        <f>(D24+E24)/2</f>
        <v>4.05</v>
      </c>
      <c r="D23" s="116">
        <f>5.07-0.5</f>
        <v>4.57</v>
      </c>
      <c r="E23" s="4">
        <f>D23+1</f>
        <v>5.57</v>
      </c>
      <c r="F23" s="5">
        <f>D23-C23+E23</f>
        <v>6.0900000000000007</v>
      </c>
      <c r="G23" s="117">
        <f>H23-(H23-C23)/2</f>
        <v>4.3100000000000005</v>
      </c>
      <c r="H23" s="4">
        <f>D23</f>
        <v>4.57</v>
      </c>
      <c r="I23" s="4">
        <f>E23</f>
        <v>5.57</v>
      </c>
      <c r="J23" s="118">
        <f>I23+(F23-I23)/2</f>
        <v>5.83</v>
      </c>
    </row>
    <row r="24" spans="2:10" x14ac:dyDescent="0.25">
      <c r="B24" s="121" t="s">
        <v>61</v>
      </c>
      <c r="C24" s="122">
        <f t="shared" ref="C24:C27" si="6">(D25+E25)/2</f>
        <v>3.04</v>
      </c>
      <c r="D24" s="123">
        <f>4.05-0.5</f>
        <v>3.55</v>
      </c>
      <c r="E24" s="123">
        <f t="shared" ref="E24:E27" si="7">D24+1</f>
        <v>4.55</v>
      </c>
      <c r="F24" s="124">
        <f t="shared" ref="F24:F27" si="8">(D23+E23)/2</f>
        <v>5.07</v>
      </c>
      <c r="G24" s="125">
        <f t="shared" ref="G24:G28" si="9">H24-(H24-C24)/2</f>
        <v>3.2949999999999999</v>
      </c>
      <c r="H24" s="123">
        <f t="shared" ref="H24:I28" si="10">D24</f>
        <v>3.55</v>
      </c>
      <c r="I24" s="123">
        <f t="shared" si="10"/>
        <v>4.55</v>
      </c>
      <c r="J24" s="126">
        <f>I24+(F24-I24)/2</f>
        <v>4.8100000000000005</v>
      </c>
    </row>
    <row r="25" spans="2:10" x14ac:dyDescent="0.25">
      <c r="B25" s="115" t="s">
        <v>101</v>
      </c>
      <c r="C25" s="6">
        <f t="shared" si="6"/>
        <v>2.0299999999999998</v>
      </c>
      <c r="D25" s="119">
        <f>3.04-0.5</f>
        <v>2.54</v>
      </c>
      <c r="E25">
        <f t="shared" si="7"/>
        <v>3.54</v>
      </c>
      <c r="F25" s="7">
        <f t="shared" si="8"/>
        <v>4.05</v>
      </c>
      <c r="G25" s="120">
        <f t="shared" si="9"/>
        <v>2.2850000000000001</v>
      </c>
      <c r="H25">
        <f t="shared" si="10"/>
        <v>2.54</v>
      </c>
      <c r="I25">
        <f t="shared" si="10"/>
        <v>3.54</v>
      </c>
      <c r="J25" s="105">
        <f t="shared" ref="J25:J28" si="11">I25+(F25-I25)/2</f>
        <v>3.7949999999999999</v>
      </c>
    </row>
    <row r="26" spans="2:10" x14ac:dyDescent="0.25">
      <c r="B26" s="115" t="s">
        <v>62</v>
      </c>
      <c r="C26" s="6">
        <f t="shared" si="6"/>
        <v>1.01</v>
      </c>
      <c r="D26" s="119">
        <f>2.03-0.5</f>
        <v>1.5299999999999998</v>
      </c>
      <c r="E26">
        <f t="shared" si="7"/>
        <v>2.5299999999999998</v>
      </c>
      <c r="F26" s="7">
        <f t="shared" si="8"/>
        <v>3.04</v>
      </c>
      <c r="G26" s="120">
        <f t="shared" si="9"/>
        <v>1.27</v>
      </c>
      <c r="H26">
        <f t="shared" si="10"/>
        <v>1.5299999999999998</v>
      </c>
      <c r="I26">
        <f t="shared" si="10"/>
        <v>2.5299999999999998</v>
      </c>
      <c r="J26" s="105">
        <f t="shared" si="11"/>
        <v>2.7850000000000001</v>
      </c>
    </row>
    <row r="27" spans="2:10" x14ac:dyDescent="0.25">
      <c r="B27" s="115" t="s">
        <v>63</v>
      </c>
      <c r="C27" s="6">
        <f t="shared" si="6"/>
        <v>0</v>
      </c>
      <c r="D27" s="119">
        <f>1.01-0.5</f>
        <v>0.51</v>
      </c>
      <c r="E27">
        <f t="shared" si="7"/>
        <v>1.51</v>
      </c>
      <c r="F27" s="7">
        <f t="shared" si="8"/>
        <v>2.0299999999999998</v>
      </c>
      <c r="G27" s="120">
        <f t="shared" si="9"/>
        <v>0.255</v>
      </c>
      <c r="H27">
        <f t="shared" si="10"/>
        <v>0.51</v>
      </c>
      <c r="I27">
        <f t="shared" si="10"/>
        <v>1.51</v>
      </c>
      <c r="J27" s="105">
        <f t="shared" si="11"/>
        <v>1.77</v>
      </c>
    </row>
    <row r="28" spans="2:10" ht="15.75" thickBot="1" x14ac:dyDescent="0.3">
      <c r="B28" s="115" t="s">
        <v>64</v>
      </c>
      <c r="C28" s="8">
        <v>0</v>
      </c>
      <c r="D28" s="127">
        <v>0</v>
      </c>
      <c r="E28" s="9">
        <v>0</v>
      </c>
      <c r="F28" s="10">
        <f>(D27+E27)/2</f>
        <v>1.01</v>
      </c>
      <c r="G28" s="128">
        <f t="shared" si="9"/>
        <v>0</v>
      </c>
      <c r="H28" s="9">
        <f t="shared" si="10"/>
        <v>0</v>
      </c>
      <c r="I28" s="9">
        <f t="shared" si="10"/>
        <v>0</v>
      </c>
      <c r="J28" s="129">
        <f t="shared" si="11"/>
        <v>0.505</v>
      </c>
    </row>
    <row r="29" spans="2:10" ht="15.75" thickBot="1" x14ac:dyDescent="0.3">
      <c r="B29" s="1" t="s">
        <v>56</v>
      </c>
      <c r="G29" s="2"/>
      <c r="J29" s="2"/>
    </row>
    <row r="30" spans="2:10" x14ac:dyDescent="0.25">
      <c r="B30" s="115" t="s">
        <v>60</v>
      </c>
      <c r="C30" s="3">
        <f>(D31+E31)/2</f>
        <v>5.65</v>
      </c>
      <c r="D30" s="116">
        <f>7.07-0.5</f>
        <v>6.57</v>
      </c>
      <c r="E30" s="4">
        <f>D30+1</f>
        <v>7.57</v>
      </c>
      <c r="F30" s="5">
        <f>D30-C30+E30</f>
        <v>8.49</v>
      </c>
      <c r="G30" s="117">
        <f>H30-(H30-C30)/2</f>
        <v>6.11</v>
      </c>
      <c r="H30" s="4">
        <f>D30</f>
        <v>6.57</v>
      </c>
      <c r="I30" s="4">
        <f>E30</f>
        <v>7.57</v>
      </c>
      <c r="J30" s="118">
        <f>I30+(F30-I30)/2</f>
        <v>8.0300000000000011</v>
      </c>
    </row>
    <row r="31" spans="2:10" x14ac:dyDescent="0.25">
      <c r="B31" s="115" t="s">
        <v>61</v>
      </c>
      <c r="C31" s="6">
        <f t="shared" ref="C31:C34" si="12">(D32+E32)/2</f>
        <v>4.24</v>
      </c>
      <c r="D31" s="119">
        <f>5.65-0.5</f>
        <v>5.15</v>
      </c>
      <c r="E31">
        <f t="shared" ref="E31:E34" si="13">D31+1</f>
        <v>6.15</v>
      </c>
      <c r="F31" s="7">
        <f t="shared" ref="F31:F34" si="14">(D30+E30)/2</f>
        <v>7.07</v>
      </c>
      <c r="G31" s="120">
        <f t="shared" ref="G31:G35" si="15">H31-(H31-C31)/2</f>
        <v>4.6950000000000003</v>
      </c>
      <c r="H31">
        <f t="shared" ref="H31:I35" si="16">D31</f>
        <v>5.15</v>
      </c>
      <c r="I31">
        <f t="shared" si="16"/>
        <v>6.15</v>
      </c>
      <c r="J31" s="105">
        <f>I31+(F31-I31)/2</f>
        <v>6.61</v>
      </c>
    </row>
    <row r="32" spans="2:10" x14ac:dyDescent="0.25">
      <c r="B32" s="115" t="s">
        <v>101</v>
      </c>
      <c r="C32" s="6">
        <f t="shared" si="12"/>
        <v>2.83</v>
      </c>
      <c r="D32" s="119">
        <f>4.24-0.5</f>
        <v>3.74</v>
      </c>
      <c r="E32">
        <f t="shared" si="13"/>
        <v>4.74</v>
      </c>
      <c r="F32" s="7">
        <f t="shared" si="14"/>
        <v>5.65</v>
      </c>
      <c r="G32" s="120">
        <f t="shared" si="15"/>
        <v>3.2850000000000001</v>
      </c>
      <c r="H32">
        <f t="shared" si="16"/>
        <v>3.74</v>
      </c>
      <c r="I32">
        <f t="shared" si="16"/>
        <v>4.74</v>
      </c>
      <c r="J32" s="105">
        <f t="shared" ref="J32:J35" si="17">I32+(F32-I32)/2</f>
        <v>5.1950000000000003</v>
      </c>
    </row>
    <row r="33" spans="2:10" x14ac:dyDescent="0.25">
      <c r="B33" s="121" t="s">
        <v>62</v>
      </c>
      <c r="C33" s="122">
        <f t="shared" si="12"/>
        <v>1.41</v>
      </c>
      <c r="D33" s="123">
        <f>2.83-0.5</f>
        <v>2.33</v>
      </c>
      <c r="E33" s="123">
        <f t="shared" si="13"/>
        <v>3.33</v>
      </c>
      <c r="F33" s="124">
        <f t="shared" si="14"/>
        <v>4.24</v>
      </c>
      <c r="G33" s="125">
        <f t="shared" si="15"/>
        <v>1.87</v>
      </c>
      <c r="H33" s="123">
        <f t="shared" si="16"/>
        <v>2.33</v>
      </c>
      <c r="I33" s="123">
        <f t="shared" si="16"/>
        <v>3.33</v>
      </c>
      <c r="J33" s="126">
        <f t="shared" si="17"/>
        <v>3.7850000000000001</v>
      </c>
    </row>
    <row r="34" spans="2:10" x14ac:dyDescent="0.25">
      <c r="B34" s="115" t="s">
        <v>63</v>
      </c>
      <c r="C34" s="6">
        <f t="shared" si="12"/>
        <v>0</v>
      </c>
      <c r="D34" s="119">
        <f>1.41-0.5</f>
        <v>0.90999999999999992</v>
      </c>
      <c r="E34">
        <f t="shared" si="13"/>
        <v>1.91</v>
      </c>
      <c r="F34" s="7">
        <f t="shared" si="14"/>
        <v>2.83</v>
      </c>
      <c r="G34" s="120">
        <f t="shared" si="15"/>
        <v>0.45499999999999996</v>
      </c>
      <c r="H34">
        <f t="shared" si="16"/>
        <v>0.90999999999999992</v>
      </c>
      <c r="I34">
        <f t="shared" si="16"/>
        <v>1.91</v>
      </c>
      <c r="J34" s="105">
        <f t="shared" si="17"/>
        <v>2.37</v>
      </c>
    </row>
    <row r="35" spans="2:10" ht="15.75" thickBot="1" x14ac:dyDescent="0.3">
      <c r="B35" s="115" t="s">
        <v>64</v>
      </c>
      <c r="C35" s="8">
        <v>0</v>
      </c>
      <c r="D35" s="127">
        <v>0</v>
      </c>
      <c r="E35" s="9">
        <v>0</v>
      </c>
      <c r="F35" s="10">
        <f>(D34+E34)/2</f>
        <v>1.41</v>
      </c>
      <c r="G35" s="128">
        <f t="shared" si="15"/>
        <v>0</v>
      </c>
      <c r="H35" s="9">
        <f t="shared" si="16"/>
        <v>0</v>
      </c>
      <c r="I35" s="9">
        <f t="shared" si="16"/>
        <v>0</v>
      </c>
      <c r="J35" s="129">
        <f t="shared" si="17"/>
        <v>0.70499999999999996</v>
      </c>
    </row>
    <row r="36" spans="2:10" ht="15.75" thickBot="1" x14ac:dyDescent="0.3">
      <c r="B36" s="1" t="s">
        <v>57</v>
      </c>
      <c r="G36" s="2"/>
      <c r="J36" s="2"/>
    </row>
    <row r="37" spans="2:10" x14ac:dyDescent="0.25">
      <c r="B37" s="121" t="s">
        <v>60</v>
      </c>
      <c r="C37" s="130">
        <f>(D38+E38)/2</f>
        <v>4.38</v>
      </c>
      <c r="D37" s="131">
        <f>5.48-0.5</f>
        <v>4.9800000000000004</v>
      </c>
      <c r="E37" s="131">
        <f>D37+1</f>
        <v>5.98</v>
      </c>
      <c r="F37" s="132">
        <f>D37-C37+E37</f>
        <v>6.580000000000001</v>
      </c>
      <c r="G37" s="133">
        <f>H37-(H37-C37)/2</f>
        <v>4.68</v>
      </c>
      <c r="H37" s="131">
        <f>D37</f>
        <v>4.9800000000000004</v>
      </c>
      <c r="I37" s="131">
        <f>E37</f>
        <v>5.98</v>
      </c>
      <c r="J37" s="134">
        <f>I37+(F37-I37)/2</f>
        <v>6.2800000000000011</v>
      </c>
    </row>
    <row r="38" spans="2:10" x14ac:dyDescent="0.25">
      <c r="B38" s="115" t="s">
        <v>61</v>
      </c>
      <c r="C38" s="6">
        <f t="shared" ref="C38:C41" si="18">(D39+E39)/2</f>
        <v>3.29</v>
      </c>
      <c r="D38" s="119">
        <f>4.38-0.5</f>
        <v>3.88</v>
      </c>
      <c r="E38">
        <f t="shared" ref="E38:E41" si="19">D38+1</f>
        <v>4.88</v>
      </c>
      <c r="F38" s="7">
        <f t="shared" ref="F38:F41" si="20">(D37+E37)/2</f>
        <v>5.48</v>
      </c>
      <c r="G38" s="120">
        <f t="shared" ref="G38:G42" si="21">H38-(H38-C38)/2</f>
        <v>3.585</v>
      </c>
      <c r="H38">
        <f t="shared" ref="H38:I42" si="22">D38</f>
        <v>3.88</v>
      </c>
      <c r="I38">
        <f t="shared" si="22"/>
        <v>4.88</v>
      </c>
      <c r="J38" s="105">
        <f>I38+(F38-I38)/2</f>
        <v>5.18</v>
      </c>
    </row>
    <row r="39" spans="2:10" x14ac:dyDescent="0.25">
      <c r="B39" s="115" t="s">
        <v>101</v>
      </c>
      <c r="C39" s="6">
        <f t="shared" si="18"/>
        <v>2.19</v>
      </c>
      <c r="D39" s="119">
        <f>3.29-0.5</f>
        <v>2.79</v>
      </c>
      <c r="E39">
        <f t="shared" si="19"/>
        <v>3.79</v>
      </c>
      <c r="F39" s="7">
        <f t="shared" si="20"/>
        <v>4.38</v>
      </c>
      <c r="G39" s="120">
        <f t="shared" si="21"/>
        <v>2.4900000000000002</v>
      </c>
      <c r="H39">
        <f t="shared" si="22"/>
        <v>2.79</v>
      </c>
      <c r="I39">
        <f t="shared" si="22"/>
        <v>3.79</v>
      </c>
      <c r="J39" s="105">
        <f t="shared" ref="J39:J42" si="23">I39+(F39-I39)/2</f>
        <v>4.085</v>
      </c>
    </row>
    <row r="40" spans="2:10" x14ac:dyDescent="0.25">
      <c r="B40" s="115" t="s">
        <v>62</v>
      </c>
      <c r="C40" s="6">
        <f t="shared" si="18"/>
        <v>1.1000000000000001</v>
      </c>
      <c r="D40" s="119">
        <f>2.19-0.5</f>
        <v>1.69</v>
      </c>
      <c r="E40">
        <f t="shared" si="19"/>
        <v>2.69</v>
      </c>
      <c r="F40" s="7">
        <f t="shared" si="20"/>
        <v>3.29</v>
      </c>
      <c r="G40" s="120">
        <f t="shared" si="21"/>
        <v>1.395</v>
      </c>
      <c r="H40">
        <f t="shared" si="22"/>
        <v>1.69</v>
      </c>
      <c r="I40">
        <f t="shared" si="22"/>
        <v>2.69</v>
      </c>
      <c r="J40" s="105">
        <f t="shared" si="23"/>
        <v>2.99</v>
      </c>
    </row>
    <row r="41" spans="2:10" x14ac:dyDescent="0.25">
      <c r="B41" s="115" t="s">
        <v>63</v>
      </c>
      <c r="C41" s="6">
        <f t="shared" si="18"/>
        <v>0</v>
      </c>
      <c r="D41" s="119">
        <f>1.1-0.5</f>
        <v>0.60000000000000009</v>
      </c>
      <c r="E41">
        <f t="shared" si="19"/>
        <v>1.6</v>
      </c>
      <c r="F41" s="7">
        <f t="shared" si="20"/>
        <v>2.19</v>
      </c>
      <c r="G41" s="120">
        <f t="shared" si="21"/>
        <v>0.30000000000000004</v>
      </c>
      <c r="H41">
        <f t="shared" si="22"/>
        <v>0.60000000000000009</v>
      </c>
      <c r="I41">
        <f t="shared" si="22"/>
        <v>1.6</v>
      </c>
      <c r="J41" s="105">
        <f t="shared" si="23"/>
        <v>1.895</v>
      </c>
    </row>
    <row r="42" spans="2:10" ht="15.75" thickBot="1" x14ac:dyDescent="0.3">
      <c r="B42" s="115" t="s">
        <v>64</v>
      </c>
      <c r="C42" s="8">
        <v>0</v>
      </c>
      <c r="D42" s="127">
        <v>0</v>
      </c>
      <c r="E42" s="9">
        <v>0</v>
      </c>
      <c r="F42" s="10">
        <f>(D41+E41)/2</f>
        <v>1.1000000000000001</v>
      </c>
      <c r="G42" s="128">
        <f t="shared" si="21"/>
        <v>0</v>
      </c>
      <c r="H42" s="9">
        <f t="shared" si="22"/>
        <v>0</v>
      </c>
      <c r="I42" s="9">
        <f t="shared" si="22"/>
        <v>0</v>
      </c>
      <c r="J42" s="129">
        <f t="shared" si="23"/>
        <v>0.55000000000000004</v>
      </c>
    </row>
    <row r="43" spans="2:10" ht="15.75" thickBot="1" x14ac:dyDescent="0.3">
      <c r="B43" s="1" t="s">
        <v>58</v>
      </c>
      <c r="G43" s="2"/>
      <c r="J43" s="2"/>
    </row>
    <row r="44" spans="2:10" x14ac:dyDescent="0.25">
      <c r="B44" s="115" t="s">
        <v>60</v>
      </c>
      <c r="C44" s="3">
        <f>(D45+E45)/2</f>
        <v>6.24</v>
      </c>
      <c r="D44" s="116">
        <f>7.8-0.5</f>
        <v>7.3</v>
      </c>
      <c r="E44" s="4">
        <f>D44+1</f>
        <v>8.3000000000000007</v>
      </c>
      <c r="F44" s="5">
        <f>D44-C44+E44</f>
        <v>9.36</v>
      </c>
      <c r="G44" s="117">
        <f>H44-(H44-C44)/2</f>
        <v>6.77</v>
      </c>
      <c r="H44" s="4">
        <f>D44</f>
        <v>7.3</v>
      </c>
      <c r="I44" s="4">
        <f>E44</f>
        <v>8.3000000000000007</v>
      </c>
      <c r="J44" s="118">
        <f>I44+(F44-I44)/2</f>
        <v>8.83</v>
      </c>
    </row>
    <row r="45" spans="2:10" x14ac:dyDescent="0.25">
      <c r="B45" s="115" t="s">
        <v>61</v>
      </c>
      <c r="C45" s="6">
        <f t="shared" ref="C45:C48" si="24">(D46+E46)/2</f>
        <v>4.68</v>
      </c>
      <c r="D45" s="119">
        <f>6.24-0.5</f>
        <v>5.74</v>
      </c>
      <c r="E45">
        <f t="shared" ref="E45:E48" si="25">D45+1</f>
        <v>6.74</v>
      </c>
      <c r="F45" s="7">
        <f t="shared" ref="F45:F48" si="26">(D44+E44)/2</f>
        <v>7.8000000000000007</v>
      </c>
      <c r="G45" s="120">
        <f t="shared" ref="G45:G49" si="27">H45-(H45-C45)/2</f>
        <v>5.21</v>
      </c>
      <c r="H45">
        <f t="shared" ref="H45:I49" si="28">D45</f>
        <v>5.74</v>
      </c>
      <c r="I45">
        <f t="shared" si="28"/>
        <v>6.74</v>
      </c>
      <c r="J45" s="105">
        <f>I45+(F45-I45)/2</f>
        <v>7.2700000000000005</v>
      </c>
    </row>
    <row r="46" spans="2:10" x14ac:dyDescent="0.25">
      <c r="B46" s="115" t="s">
        <v>101</v>
      </c>
      <c r="C46" s="6">
        <f t="shared" si="24"/>
        <v>3.12</v>
      </c>
      <c r="D46" s="119">
        <f>4.68-0.5</f>
        <v>4.18</v>
      </c>
      <c r="E46">
        <f t="shared" si="25"/>
        <v>5.18</v>
      </c>
      <c r="F46" s="7">
        <f t="shared" si="26"/>
        <v>6.24</v>
      </c>
      <c r="G46" s="120">
        <f t="shared" si="27"/>
        <v>3.65</v>
      </c>
      <c r="H46">
        <f t="shared" si="28"/>
        <v>4.18</v>
      </c>
      <c r="I46">
        <f t="shared" si="28"/>
        <v>5.18</v>
      </c>
      <c r="J46" s="105">
        <f t="shared" ref="J46:J49" si="29">I46+(F46-I46)/2</f>
        <v>5.71</v>
      </c>
    </row>
    <row r="47" spans="2:10" x14ac:dyDescent="0.25">
      <c r="B47" s="115" t="s">
        <v>62</v>
      </c>
      <c r="C47" s="6">
        <f t="shared" si="24"/>
        <v>1.56</v>
      </c>
      <c r="D47" s="119">
        <f>3.12-0.5</f>
        <v>2.62</v>
      </c>
      <c r="E47">
        <f t="shared" si="25"/>
        <v>3.62</v>
      </c>
      <c r="F47" s="7">
        <f t="shared" si="26"/>
        <v>4.68</v>
      </c>
      <c r="G47" s="120">
        <f t="shared" si="27"/>
        <v>2.09</v>
      </c>
      <c r="H47">
        <f t="shared" si="28"/>
        <v>2.62</v>
      </c>
      <c r="I47">
        <f t="shared" si="28"/>
        <v>3.62</v>
      </c>
      <c r="J47" s="105">
        <f t="shared" si="29"/>
        <v>4.1500000000000004</v>
      </c>
    </row>
    <row r="48" spans="2:10" x14ac:dyDescent="0.25">
      <c r="B48" s="115" t="s">
        <v>63</v>
      </c>
      <c r="C48" s="6">
        <f t="shared" si="24"/>
        <v>0</v>
      </c>
      <c r="D48" s="119">
        <f>1.56-0.5</f>
        <v>1.06</v>
      </c>
      <c r="E48">
        <f t="shared" si="25"/>
        <v>2.06</v>
      </c>
      <c r="F48" s="7">
        <f t="shared" si="26"/>
        <v>3.12</v>
      </c>
      <c r="G48" s="120">
        <f t="shared" si="27"/>
        <v>0.53</v>
      </c>
      <c r="H48">
        <f t="shared" si="28"/>
        <v>1.06</v>
      </c>
      <c r="I48">
        <f t="shared" si="28"/>
        <v>2.06</v>
      </c>
      <c r="J48" s="105">
        <f t="shared" si="29"/>
        <v>2.59</v>
      </c>
    </row>
    <row r="49" spans="1:10" ht="15.75" thickBot="1" x14ac:dyDescent="0.3">
      <c r="B49" s="121" t="s">
        <v>64</v>
      </c>
      <c r="C49" s="135">
        <v>0</v>
      </c>
      <c r="D49" s="136">
        <v>0</v>
      </c>
      <c r="E49" s="136">
        <v>0</v>
      </c>
      <c r="F49" s="137">
        <f>(D48+E48)/2</f>
        <v>1.56</v>
      </c>
      <c r="G49" s="138">
        <f t="shared" si="27"/>
        <v>0</v>
      </c>
      <c r="H49" s="136">
        <f t="shared" si="28"/>
        <v>0</v>
      </c>
      <c r="I49" s="136">
        <f t="shared" si="28"/>
        <v>0</v>
      </c>
      <c r="J49" s="139">
        <f t="shared" si="29"/>
        <v>0.78</v>
      </c>
    </row>
    <row r="50" spans="1:10" ht="15.75" thickBot="1" x14ac:dyDescent="0.3"/>
    <row r="51" spans="1:10" ht="15.75" thickBot="1" x14ac:dyDescent="0.3">
      <c r="B51" s="1" t="s">
        <v>153</v>
      </c>
      <c r="C51" s="83">
        <f>C18+C24+C33+C37+C49</f>
        <v>11.309999999999999</v>
      </c>
      <c r="D51" s="84">
        <f t="shared" ref="D51:J51" si="30">D18+D24+D33+D37+D49</f>
        <v>14.08</v>
      </c>
      <c r="E51" s="84">
        <f t="shared" si="30"/>
        <v>18.079999999999998</v>
      </c>
      <c r="F51" s="84">
        <f t="shared" si="30"/>
        <v>22.41</v>
      </c>
      <c r="G51" s="83">
        <f t="shared" si="30"/>
        <v>12.695</v>
      </c>
      <c r="H51" s="84">
        <f t="shared" si="30"/>
        <v>14.08</v>
      </c>
      <c r="I51" s="84">
        <f t="shared" si="30"/>
        <v>18.079999999999998</v>
      </c>
      <c r="J51" s="85">
        <f t="shared" si="30"/>
        <v>20.245000000000005</v>
      </c>
    </row>
    <row r="52" spans="1:10" ht="15.75" thickBot="1" x14ac:dyDescent="0.3">
      <c r="A52" s="166" t="s">
        <v>156</v>
      </c>
      <c r="B52" s="175">
        <v>0.91</v>
      </c>
      <c r="C52" s="2"/>
      <c r="D52" s="2"/>
      <c r="E52" s="2"/>
      <c r="F52" s="2"/>
      <c r="G52" s="2"/>
      <c r="H52" s="2"/>
      <c r="I52" s="2"/>
      <c r="J52" s="2"/>
    </row>
    <row r="53" spans="1:10" ht="15.75" thickBot="1" x14ac:dyDescent="0.3">
      <c r="B53" s="29" t="s">
        <v>98</v>
      </c>
      <c r="C53" s="83">
        <f>$B52+C51*0.01</f>
        <v>1.0231000000000001</v>
      </c>
      <c r="D53" s="84">
        <f t="shared" ref="D53:J53" si="31">$B52+D51*0.01</f>
        <v>1.0508</v>
      </c>
      <c r="E53" s="84">
        <f t="shared" si="31"/>
        <v>1.0908</v>
      </c>
      <c r="F53" s="85">
        <f t="shared" si="31"/>
        <v>1.1341000000000001</v>
      </c>
      <c r="G53" s="83">
        <f t="shared" si="31"/>
        <v>1.03695</v>
      </c>
      <c r="H53" s="84">
        <f t="shared" si="31"/>
        <v>1.0508</v>
      </c>
      <c r="I53" s="84">
        <f t="shared" si="31"/>
        <v>1.0908</v>
      </c>
      <c r="J53" s="85">
        <f t="shared" si="31"/>
        <v>1.1124500000000002</v>
      </c>
    </row>
    <row r="55" spans="1:10" x14ac:dyDescent="0.25">
      <c r="B55" s="1" t="s">
        <v>65</v>
      </c>
    </row>
    <row r="56" spans="1:10" ht="6" customHeight="1" thickBot="1" x14ac:dyDescent="0.3"/>
    <row r="57" spans="1:10" ht="16.5" thickBot="1" x14ac:dyDescent="0.3">
      <c r="B57" s="268" t="s">
        <v>100</v>
      </c>
      <c r="C57" s="280" t="s">
        <v>43</v>
      </c>
      <c r="D57" s="281"/>
      <c r="E57" s="281"/>
      <c r="F57" s="281"/>
      <c r="G57" s="281"/>
      <c r="H57" s="281"/>
      <c r="I57" s="282"/>
    </row>
    <row r="58" spans="1:10" ht="32.25" thickBot="1" x14ac:dyDescent="0.3">
      <c r="B58" s="269"/>
      <c r="C58" s="24" t="s">
        <v>66</v>
      </c>
      <c r="D58" s="24" t="s">
        <v>44</v>
      </c>
      <c r="E58" s="24" t="s">
        <v>45</v>
      </c>
      <c r="F58" s="101" t="s">
        <v>103</v>
      </c>
      <c r="G58" s="24" t="s">
        <v>46</v>
      </c>
      <c r="H58" s="24" t="s">
        <v>47</v>
      </c>
      <c r="I58" s="24" t="s">
        <v>48</v>
      </c>
    </row>
    <row r="59" spans="1:10" ht="17.25" thickTop="1" thickBot="1" x14ac:dyDescent="0.3">
      <c r="B59" s="18" t="s">
        <v>67</v>
      </c>
      <c r="C59" s="19">
        <v>2.12</v>
      </c>
      <c r="D59" s="19">
        <v>1.62</v>
      </c>
      <c r="E59" s="19">
        <v>1.26</v>
      </c>
      <c r="F59" s="19">
        <v>1</v>
      </c>
      <c r="G59" s="19">
        <v>0.83</v>
      </c>
      <c r="H59" s="19">
        <v>0.63</v>
      </c>
      <c r="I59" s="19">
        <v>0.5</v>
      </c>
    </row>
    <row r="60" spans="1:10" ht="16.5" thickBot="1" x14ac:dyDescent="0.3">
      <c r="B60" s="18" t="s">
        <v>68</v>
      </c>
      <c r="C60" s="19">
        <v>0.49</v>
      </c>
      <c r="D60" s="19">
        <v>0.6</v>
      </c>
      <c r="E60" s="19">
        <v>0.83</v>
      </c>
      <c r="F60" s="19">
        <v>1</v>
      </c>
      <c r="G60" s="19">
        <v>1.33</v>
      </c>
      <c r="H60" s="19">
        <v>1.91</v>
      </c>
      <c r="I60" s="19">
        <v>2.72</v>
      </c>
    </row>
    <row r="61" spans="1:10" ht="16.5" thickBot="1" x14ac:dyDescent="0.3">
      <c r="B61" s="18" t="s">
        <v>69</v>
      </c>
      <c r="C61" s="19" t="s">
        <v>70</v>
      </c>
      <c r="D61" s="19" t="s">
        <v>70</v>
      </c>
      <c r="E61" s="19">
        <v>0.95</v>
      </c>
      <c r="F61" s="19">
        <v>1</v>
      </c>
      <c r="G61" s="19">
        <v>1.07</v>
      </c>
      <c r="H61" s="19">
        <v>1.1499999999999999</v>
      </c>
      <c r="I61" s="19">
        <v>1.24</v>
      </c>
    </row>
    <row r="62" spans="1:10" ht="16.5" thickBot="1" x14ac:dyDescent="0.3">
      <c r="B62" s="18" t="s">
        <v>71</v>
      </c>
      <c r="C62" s="19" t="s">
        <v>70</v>
      </c>
      <c r="D62" s="19" t="s">
        <v>70</v>
      </c>
      <c r="E62" s="19">
        <v>0.87</v>
      </c>
      <c r="F62" s="19">
        <v>1</v>
      </c>
      <c r="G62" s="19">
        <v>1.29</v>
      </c>
      <c r="H62" s="19">
        <v>1.81</v>
      </c>
      <c r="I62" s="19">
        <v>2.61</v>
      </c>
    </row>
    <row r="63" spans="1:10" ht="16.5" thickBot="1" x14ac:dyDescent="0.3">
      <c r="B63" s="18" t="s">
        <v>72</v>
      </c>
      <c r="C63" s="19">
        <v>1.59</v>
      </c>
      <c r="D63" s="19">
        <v>1.33</v>
      </c>
      <c r="E63" s="19">
        <v>1.22</v>
      </c>
      <c r="F63" s="19">
        <v>1</v>
      </c>
      <c r="G63" s="19">
        <v>0.87</v>
      </c>
      <c r="H63" s="19">
        <v>0.74</v>
      </c>
      <c r="I63" s="19">
        <v>0.62</v>
      </c>
    </row>
    <row r="64" spans="1:10" ht="16.5" thickBot="1" x14ac:dyDescent="0.3">
      <c r="B64" s="18" t="s">
        <v>73</v>
      </c>
      <c r="C64" s="19">
        <v>1.43</v>
      </c>
      <c r="D64" s="19">
        <v>1.3</v>
      </c>
      <c r="E64" s="19">
        <v>1.1000000000000001</v>
      </c>
      <c r="F64" s="19">
        <v>1</v>
      </c>
      <c r="G64" s="19">
        <v>0.87</v>
      </c>
      <c r="H64" s="19">
        <v>0.73</v>
      </c>
      <c r="I64" s="19">
        <v>0.62</v>
      </c>
    </row>
    <row r="65" spans="2:10" ht="16.5" thickBot="1" x14ac:dyDescent="0.3">
      <c r="B65" s="18" t="s">
        <v>74</v>
      </c>
      <c r="C65" s="19" t="s">
        <v>70</v>
      </c>
      <c r="D65" s="19">
        <v>1.43</v>
      </c>
      <c r="E65" s="19">
        <v>1.1399999999999999</v>
      </c>
      <c r="F65" s="19">
        <v>1</v>
      </c>
      <c r="G65" s="19">
        <v>1</v>
      </c>
      <c r="H65" s="19">
        <v>1</v>
      </c>
      <c r="I65" s="19" t="s">
        <v>70</v>
      </c>
    </row>
    <row r="67" spans="2:10" x14ac:dyDescent="0.25">
      <c r="B67" s="207" t="s">
        <v>76</v>
      </c>
    </row>
    <row r="68" spans="2:10" ht="15.75" thickBot="1" x14ac:dyDescent="0.3">
      <c r="B68" s="14" t="s">
        <v>77</v>
      </c>
      <c r="C68" t="s">
        <v>59</v>
      </c>
      <c r="G68" t="s">
        <v>75</v>
      </c>
    </row>
    <row r="69" spans="2:10" x14ac:dyDescent="0.25">
      <c r="B69" s="140" t="s">
        <v>84</v>
      </c>
      <c r="C69" s="3">
        <f t="shared" ref="C69:C74" si="32">(D70+E70)/2</f>
        <v>1.62</v>
      </c>
      <c r="D69" s="141">
        <f>2.12-0.05</f>
        <v>2.0700000000000003</v>
      </c>
      <c r="E69" s="4">
        <f t="shared" ref="E69:E74" si="33">D69+0.1</f>
        <v>2.1700000000000004</v>
      </c>
      <c r="F69" s="5">
        <f>D69-C69+E69</f>
        <v>2.6200000000000006</v>
      </c>
      <c r="G69" s="117">
        <f t="shared" ref="G69:G75" si="34">H69-(H69-C69)/2</f>
        <v>1.8450000000000002</v>
      </c>
      <c r="H69" s="4">
        <f>D69</f>
        <v>2.0700000000000003</v>
      </c>
      <c r="I69" s="4">
        <f>E69</f>
        <v>2.1700000000000004</v>
      </c>
      <c r="J69" s="118">
        <f t="shared" ref="J69:J75" si="35">I69+(F69-I69)/2</f>
        <v>2.3950000000000005</v>
      </c>
    </row>
    <row r="70" spans="2:10" x14ac:dyDescent="0.25">
      <c r="B70" s="140" t="s">
        <v>85</v>
      </c>
      <c r="C70" s="6">
        <f t="shared" si="32"/>
        <v>1.26</v>
      </c>
      <c r="D70" s="142">
        <f>1.62-0.05</f>
        <v>1.57</v>
      </c>
      <c r="E70">
        <f t="shared" si="33"/>
        <v>1.6700000000000002</v>
      </c>
      <c r="F70" s="7">
        <f t="shared" ref="F70:F75" si="36">(D69+E69)/2</f>
        <v>2.12</v>
      </c>
      <c r="G70" s="120">
        <f t="shared" si="34"/>
        <v>1.415</v>
      </c>
      <c r="H70">
        <f>D70</f>
        <v>1.57</v>
      </c>
      <c r="I70">
        <f>E70</f>
        <v>1.6700000000000002</v>
      </c>
      <c r="J70" s="105">
        <f t="shared" si="35"/>
        <v>1.895</v>
      </c>
    </row>
    <row r="71" spans="2:10" x14ac:dyDescent="0.25">
      <c r="B71" s="143" t="s">
        <v>86</v>
      </c>
      <c r="C71" s="11">
        <f t="shared" si="32"/>
        <v>1</v>
      </c>
      <c r="D71" s="12">
        <f>1.26-0.05</f>
        <v>1.21</v>
      </c>
      <c r="E71" s="12">
        <f t="shared" si="33"/>
        <v>1.31</v>
      </c>
      <c r="F71" s="13">
        <f t="shared" si="36"/>
        <v>1.62</v>
      </c>
      <c r="G71" s="144">
        <f t="shared" si="34"/>
        <v>1.105</v>
      </c>
      <c r="H71" s="12">
        <f t="shared" ref="H71:I75" si="37">D71</f>
        <v>1.21</v>
      </c>
      <c r="I71" s="12">
        <f t="shared" si="37"/>
        <v>1.31</v>
      </c>
      <c r="J71" s="145">
        <f t="shared" si="35"/>
        <v>1.4650000000000001</v>
      </c>
    </row>
    <row r="72" spans="2:10" x14ac:dyDescent="0.25">
      <c r="B72" s="140" t="s">
        <v>102</v>
      </c>
      <c r="C72" s="6">
        <f t="shared" si="32"/>
        <v>0.82999999999999985</v>
      </c>
      <c r="D72" s="142">
        <f>1-0.05</f>
        <v>0.95</v>
      </c>
      <c r="E72">
        <f t="shared" si="33"/>
        <v>1.05</v>
      </c>
      <c r="F72" s="7">
        <f t="shared" si="36"/>
        <v>1.26</v>
      </c>
      <c r="G72" s="120">
        <f t="shared" si="34"/>
        <v>0.8899999999999999</v>
      </c>
      <c r="H72">
        <f t="shared" si="37"/>
        <v>0.95</v>
      </c>
      <c r="I72">
        <f t="shared" si="37"/>
        <v>1.05</v>
      </c>
      <c r="J72" s="105">
        <f t="shared" si="35"/>
        <v>1.155</v>
      </c>
    </row>
    <row r="73" spans="2:10" x14ac:dyDescent="0.25">
      <c r="B73" s="140" t="s">
        <v>87</v>
      </c>
      <c r="C73" s="6">
        <f t="shared" si="32"/>
        <v>0.62999999999999989</v>
      </c>
      <c r="D73" s="142">
        <f>0.83-0.05</f>
        <v>0.77999999999999992</v>
      </c>
      <c r="E73">
        <f t="shared" si="33"/>
        <v>0.87999999999999989</v>
      </c>
      <c r="F73" s="7">
        <f t="shared" si="36"/>
        <v>1</v>
      </c>
      <c r="G73" s="120">
        <f t="shared" si="34"/>
        <v>0.70499999999999985</v>
      </c>
      <c r="H73">
        <f t="shared" si="37"/>
        <v>0.77999999999999992</v>
      </c>
      <c r="I73">
        <f t="shared" si="37"/>
        <v>0.87999999999999989</v>
      </c>
      <c r="J73" s="105">
        <f t="shared" si="35"/>
        <v>0.94</v>
      </c>
    </row>
    <row r="74" spans="2:10" x14ac:dyDescent="0.25">
      <c r="B74" s="140" t="s">
        <v>88</v>
      </c>
      <c r="C74" s="6">
        <f t="shared" si="32"/>
        <v>0.5</v>
      </c>
      <c r="D74" s="142">
        <f>0.63-0.05</f>
        <v>0.57999999999999996</v>
      </c>
      <c r="E74">
        <f t="shared" si="33"/>
        <v>0.67999999999999994</v>
      </c>
      <c r="F74" s="7">
        <f t="shared" si="36"/>
        <v>0.82999999999999985</v>
      </c>
      <c r="G74" s="120">
        <f t="shared" si="34"/>
        <v>0.54</v>
      </c>
      <c r="H74">
        <f t="shared" si="37"/>
        <v>0.57999999999999996</v>
      </c>
      <c r="I74">
        <f t="shared" si="37"/>
        <v>0.67999999999999994</v>
      </c>
      <c r="J74" s="105">
        <f t="shared" si="35"/>
        <v>0.75499999999999989</v>
      </c>
    </row>
    <row r="75" spans="2:10" ht="15.75" thickBot="1" x14ac:dyDescent="0.3">
      <c r="B75" s="140" t="s">
        <v>89</v>
      </c>
      <c r="C75" s="8">
        <f>D75-(F75-E75)</f>
        <v>0.37000000000000016</v>
      </c>
      <c r="D75" s="146">
        <f>0.5-0.05</f>
        <v>0.45</v>
      </c>
      <c r="E75" s="9">
        <f>D75+0.1</f>
        <v>0.55000000000000004</v>
      </c>
      <c r="F75" s="10">
        <f t="shared" si="36"/>
        <v>0.62999999999999989</v>
      </c>
      <c r="G75" s="128">
        <f t="shared" si="34"/>
        <v>0.41000000000000009</v>
      </c>
      <c r="H75" s="9">
        <f t="shared" si="37"/>
        <v>0.45</v>
      </c>
      <c r="I75" s="9">
        <f t="shared" si="37"/>
        <v>0.55000000000000004</v>
      </c>
      <c r="J75" s="129">
        <f t="shared" si="35"/>
        <v>0.59</v>
      </c>
    </row>
    <row r="76" spans="2:10" ht="15.75" thickBot="1" x14ac:dyDescent="0.3">
      <c r="B76" s="1" t="s">
        <v>78</v>
      </c>
      <c r="G76" s="2"/>
      <c r="J76" s="2"/>
    </row>
    <row r="77" spans="2:10" x14ac:dyDescent="0.25">
      <c r="B77" s="140" t="s">
        <v>84</v>
      </c>
      <c r="C77" s="117">
        <f>D77-(F77-E77)</f>
        <v>0.38000000000000017</v>
      </c>
      <c r="D77" s="141">
        <f>0.49-0.05</f>
        <v>0.44</v>
      </c>
      <c r="E77" s="4">
        <f t="shared" ref="E77:E82" si="38">D77+0.1</f>
        <v>0.54</v>
      </c>
      <c r="F77" s="118">
        <f>(D78+E78)/2</f>
        <v>0.59999999999999987</v>
      </c>
      <c r="G77" s="117">
        <f>H77-(H77-C77)/2</f>
        <v>0.41000000000000009</v>
      </c>
      <c r="H77" s="4">
        <f>D77</f>
        <v>0.44</v>
      </c>
      <c r="I77" s="4">
        <f>E77</f>
        <v>0.54</v>
      </c>
      <c r="J77" s="118">
        <f>I77+(F77-I77)/2</f>
        <v>0.56999999999999995</v>
      </c>
    </row>
    <row r="78" spans="2:10" x14ac:dyDescent="0.25">
      <c r="B78" s="143" t="s">
        <v>85</v>
      </c>
      <c r="C78" s="144">
        <f t="shared" ref="C78:C81" si="39">(D77+E77)/2</f>
        <v>0.49</v>
      </c>
      <c r="D78" s="12">
        <f>0.6-0.05</f>
        <v>0.54999999999999993</v>
      </c>
      <c r="E78" s="12">
        <f t="shared" si="38"/>
        <v>0.64999999999999991</v>
      </c>
      <c r="F78" s="145">
        <f t="shared" ref="F78:F82" si="40">(D79+E79)/2</f>
        <v>0.82999999999999985</v>
      </c>
      <c r="G78" s="144">
        <f t="shared" ref="G78:G83" si="41">H78-(H78-C78)/2</f>
        <v>0.52</v>
      </c>
      <c r="H78" s="12">
        <f t="shared" ref="H78:I83" si="42">D78</f>
        <v>0.54999999999999993</v>
      </c>
      <c r="I78" s="12">
        <f t="shared" si="42"/>
        <v>0.64999999999999991</v>
      </c>
      <c r="J78" s="145">
        <f>I78+(F78-I78)/2</f>
        <v>0.73999999999999988</v>
      </c>
    </row>
    <row r="79" spans="2:10" x14ac:dyDescent="0.25">
      <c r="B79" s="140" t="s">
        <v>86</v>
      </c>
      <c r="C79" s="120">
        <f>(D78+E78)/2</f>
        <v>0.59999999999999987</v>
      </c>
      <c r="D79" s="142">
        <f>0.83-0.05</f>
        <v>0.77999999999999992</v>
      </c>
      <c r="E79">
        <f t="shared" si="38"/>
        <v>0.87999999999999989</v>
      </c>
      <c r="F79" s="105">
        <f>(D80+E80)/2</f>
        <v>1</v>
      </c>
      <c r="G79" s="120">
        <f t="shared" si="41"/>
        <v>0.69</v>
      </c>
      <c r="H79">
        <f t="shared" si="42"/>
        <v>0.77999999999999992</v>
      </c>
      <c r="I79">
        <f t="shared" si="42"/>
        <v>0.87999999999999989</v>
      </c>
      <c r="J79" s="105">
        <f t="shared" ref="J79:J83" si="43">I79+(F79-I79)/2</f>
        <v>0.94</v>
      </c>
    </row>
    <row r="80" spans="2:10" x14ac:dyDescent="0.25">
      <c r="B80" s="140" t="s">
        <v>102</v>
      </c>
      <c r="C80" s="120">
        <f t="shared" si="39"/>
        <v>0.82999999999999985</v>
      </c>
      <c r="D80" s="142">
        <f>1-0.05</f>
        <v>0.95</v>
      </c>
      <c r="E80">
        <f t="shared" si="38"/>
        <v>1.05</v>
      </c>
      <c r="F80" s="105">
        <f t="shared" si="40"/>
        <v>1.33</v>
      </c>
      <c r="G80" s="120">
        <f t="shared" si="41"/>
        <v>0.8899999999999999</v>
      </c>
      <c r="H80">
        <f t="shared" si="42"/>
        <v>0.95</v>
      </c>
      <c r="I80">
        <f t="shared" si="42"/>
        <v>1.05</v>
      </c>
      <c r="J80" s="105">
        <f t="shared" si="43"/>
        <v>1.19</v>
      </c>
    </row>
    <row r="81" spans="2:10" x14ac:dyDescent="0.25">
      <c r="B81" s="140" t="s">
        <v>87</v>
      </c>
      <c r="C81" s="120">
        <f t="shared" si="39"/>
        <v>1</v>
      </c>
      <c r="D81" s="142">
        <f>1.33-0.05</f>
        <v>1.28</v>
      </c>
      <c r="E81">
        <f t="shared" si="38"/>
        <v>1.3800000000000001</v>
      </c>
      <c r="F81" s="105">
        <f t="shared" si="40"/>
        <v>1.91</v>
      </c>
      <c r="G81" s="120">
        <f t="shared" si="41"/>
        <v>1.1400000000000001</v>
      </c>
      <c r="H81">
        <f t="shared" si="42"/>
        <v>1.28</v>
      </c>
      <c r="I81">
        <f t="shared" si="42"/>
        <v>1.3800000000000001</v>
      </c>
      <c r="J81" s="105">
        <f t="shared" si="43"/>
        <v>1.645</v>
      </c>
    </row>
    <row r="82" spans="2:10" x14ac:dyDescent="0.25">
      <c r="B82" s="140" t="s">
        <v>88</v>
      </c>
      <c r="C82" s="120">
        <f>(D81+E81)/2</f>
        <v>1.33</v>
      </c>
      <c r="D82" s="142">
        <f>1.91-0.05</f>
        <v>1.8599999999999999</v>
      </c>
      <c r="E82">
        <f t="shared" si="38"/>
        <v>1.96</v>
      </c>
      <c r="F82" s="105">
        <f t="shared" si="40"/>
        <v>2.7200000000000006</v>
      </c>
      <c r="G82" s="120">
        <f t="shared" ref="G82" si="44">H82-(H82-C82)/2</f>
        <v>1.595</v>
      </c>
      <c r="H82">
        <f t="shared" si="42"/>
        <v>1.8599999999999999</v>
      </c>
      <c r="I82">
        <f t="shared" si="42"/>
        <v>1.96</v>
      </c>
      <c r="J82" s="105">
        <f t="shared" ref="J82" si="45">I82+(F82-I82)/2</f>
        <v>2.3400000000000003</v>
      </c>
    </row>
    <row r="83" spans="2:10" ht="15.75" thickBot="1" x14ac:dyDescent="0.3">
      <c r="B83" s="140" t="s">
        <v>89</v>
      </c>
      <c r="C83" s="128">
        <f>(D82+E82)/2</f>
        <v>1.91</v>
      </c>
      <c r="D83" s="146">
        <f>2.72-0.05</f>
        <v>2.6700000000000004</v>
      </c>
      <c r="E83" s="9">
        <f>D83+0.1</f>
        <v>2.7700000000000005</v>
      </c>
      <c r="F83" s="129">
        <f>E83+(D83-C83)/2</f>
        <v>3.1500000000000008</v>
      </c>
      <c r="G83" s="128">
        <f t="shared" si="41"/>
        <v>2.29</v>
      </c>
      <c r="H83" s="9">
        <f t="shared" si="42"/>
        <v>2.6700000000000004</v>
      </c>
      <c r="I83" s="9">
        <f t="shared" si="42"/>
        <v>2.7700000000000005</v>
      </c>
      <c r="J83" s="129">
        <f t="shared" si="43"/>
        <v>2.9600000000000009</v>
      </c>
    </row>
    <row r="84" spans="2:10" ht="15.75" thickBot="1" x14ac:dyDescent="0.3">
      <c r="B84" s="1" t="s">
        <v>79</v>
      </c>
      <c r="G84" s="2"/>
      <c r="J84" s="2"/>
    </row>
    <row r="85" spans="2:10" x14ac:dyDescent="0.25">
      <c r="B85" s="147" t="s">
        <v>84</v>
      </c>
      <c r="C85" s="46" t="s">
        <v>90</v>
      </c>
      <c r="D85" s="30" t="s">
        <v>90</v>
      </c>
      <c r="E85" s="30" t="s">
        <v>90</v>
      </c>
      <c r="F85" s="148" t="s">
        <v>90</v>
      </c>
      <c r="G85" s="149" t="s">
        <v>90</v>
      </c>
      <c r="H85" s="30" t="s">
        <v>90</v>
      </c>
      <c r="I85" s="30" t="s">
        <v>90</v>
      </c>
      <c r="J85" s="150" t="s">
        <v>90</v>
      </c>
    </row>
    <row r="86" spans="2:10" ht="15.75" thickBot="1" x14ac:dyDescent="0.3">
      <c r="B86" s="151" t="s">
        <v>85</v>
      </c>
      <c r="C86" s="152" t="s">
        <v>90</v>
      </c>
      <c r="D86" s="31" t="s">
        <v>90</v>
      </c>
      <c r="E86" s="31" t="s">
        <v>90</v>
      </c>
      <c r="F86" s="153" t="s">
        <v>90</v>
      </c>
      <c r="G86" s="154" t="s">
        <v>90</v>
      </c>
      <c r="H86" s="31" t="s">
        <v>90</v>
      </c>
      <c r="I86" s="31" t="s">
        <v>90</v>
      </c>
      <c r="J86" s="155" t="s">
        <v>90</v>
      </c>
    </row>
    <row r="87" spans="2:10" x14ac:dyDescent="0.25">
      <c r="B87" s="147" t="s">
        <v>86</v>
      </c>
      <c r="C87" s="117">
        <f>D87-(F87-E87)</f>
        <v>0.89999999999999991</v>
      </c>
      <c r="D87" s="141">
        <f>0.95-0.01</f>
        <v>0.94</v>
      </c>
      <c r="E87" s="4">
        <f>D87+0.02</f>
        <v>0.96</v>
      </c>
      <c r="F87" s="118">
        <f>(D88+E88)/2</f>
        <v>1</v>
      </c>
      <c r="G87" s="117">
        <f t="shared" ref="G87:G91" si="46">H87-(H87-C87)/2</f>
        <v>0.91999999999999993</v>
      </c>
      <c r="H87" s="4">
        <f t="shared" ref="H87:I91" si="47">D87</f>
        <v>0.94</v>
      </c>
      <c r="I87" s="4">
        <f t="shared" si="47"/>
        <v>0.96</v>
      </c>
      <c r="J87" s="118">
        <f>I87+(F87-I87)/2</f>
        <v>0.98</v>
      </c>
    </row>
    <row r="88" spans="2:10" x14ac:dyDescent="0.25">
      <c r="B88" s="143" t="s">
        <v>102</v>
      </c>
      <c r="C88" s="144">
        <f t="shared" ref="C88:C89" si="48">(D87+E87)/2</f>
        <v>0.95</v>
      </c>
      <c r="D88" s="12">
        <f>1-0.01</f>
        <v>0.99</v>
      </c>
      <c r="E88" s="12">
        <f t="shared" ref="E88:E91" si="49">D88+0.02</f>
        <v>1.01</v>
      </c>
      <c r="F88" s="145">
        <f t="shared" ref="F88:F90" si="50">(D89+E89)/2</f>
        <v>1.07</v>
      </c>
      <c r="G88" s="144">
        <f t="shared" si="46"/>
        <v>0.97</v>
      </c>
      <c r="H88" s="12">
        <f t="shared" si="47"/>
        <v>0.99</v>
      </c>
      <c r="I88" s="12">
        <f t="shared" si="47"/>
        <v>1.01</v>
      </c>
      <c r="J88" s="145">
        <f t="shared" ref="J88:J91" si="51">I88+(F88-I88)/2</f>
        <v>1.04</v>
      </c>
    </row>
    <row r="89" spans="2:10" x14ac:dyDescent="0.25">
      <c r="B89" s="156" t="s">
        <v>87</v>
      </c>
      <c r="C89" s="120">
        <f t="shared" si="48"/>
        <v>1</v>
      </c>
      <c r="D89" s="142">
        <f>1.07-0.01</f>
        <v>1.06</v>
      </c>
      <c r="E89">
        <f t="shared" si="49"/>
        <v>1.08</v>
      </c>
      <c r="F89" s="105">
        <f t="shared" si="50"/>
        <v>1.1499999999999999</v>
      </c>
      <c r="G89" s="120">
        <f t="shared" si="46"/>
        <v>1.03</v>
      </c>
      <c r="H89">
        <f t="shared" si="47"/>
        <v>1.06</v>
      </c>
      <c r="I89">
        <f t="shared" si="47"/>
        <v>1.08</v>
      </c>
      <c r="J89" s="105">
        <f t="shared" si="51"/>
        <v>1.115</v>
      </c>
    </row>
    <row r="90" spans="2:10" x14ac:dyDescent="0.25">
      <c r="B90" s="156" t="s">
        <v>88</v>
      </c>
      <c r="C90" s="120">
        <f>(D89+E89)/2</f>
        <v>1.07</v>
      </c>
      <c r="D90" s="142">
        <f>1.15-0.01</f>
        <v>1.1399999999999999</v>
      </c>
      <c r="E90">
        <f t="shared" si="49"/>
        <v>1.1599999999999999</v>
      </c>
      <c r="F90" s="105">
        <f t="shared" si="50"/>
        <v>1.24</v>
      </c>
      <c r="G90" s="120">
        <f t="shared" ref="G90" si="52">H90-(H90-C90)/2</f>
        <v>1.105</v>
      </c>
      <c r="H90">
        <f t="shared" si="47"/>
        <v>1.1399999999999999</v>
      </c>
      <c r="I90">
        <f t="shared" si="47"/>
        <v>1.1599999999999999</v>
      </c>
      <c r="J90" s="105">
        <f t="shared" ref="J90" si="53">I90+(F90-I90)/2</f>
        <v>1.2</v>
      </c>
    </row>
    <row r="91" spans="2:10" ht="15.75" thickBot="1" x14ac:dyDescent="0.3">
      <c r="B91" s="151" t="s">
        <v>89</v>
      </c>
      <c r="C91" s="128">
        <f>(D90+E90)/2</f>
        <v>1.1499999999999999</v>
      </c>
      <c r="D91" s="146">
        <f>1.24-0.01</f>
        <v>1.23</v>
      </c>
      <c r="E91" s="9">
        <f t="shared" si="49"/>
        <v>1.25</v>
      </c>
      <c r="F91" s="129">
        <f>E91+(D91-C91)/2</f>
        <v>1.29</v>
      </c>
      <c r="G91" s="128">
        <f t="shared" si="46"/>
        <v>1.19</v>
      </c>
      <c r="H91" s="9">
        <f t="shared" si="47"/>
        <v>1.23</v>
      </c>
      <c r="I91" s="9">
        <f t="shared" si="47"/>
        <v>1.25</v>
      </c>
      <c r="J91" s="129">
        <f t="shared" si="51"/>
        <v>1.27</v>
      </c>
    </row>
    <row r="92" spans="2:10" ht="15.75" thickBot="1" x14ac:dyDescent="0.3">
      <c r="B92" s="1" t="s">
        <v>80</v>
      </c>
      <c r="G92" s="2"/>
      <c r="J92" s="2"/>
    </row>
    <row r="93" spans="2:10" x14ac:dyDescent="0.25">
      <c r="B93" s="147" t="s">
        <v>84</v>
      </c>
      <c r="C93" s="46" t="s">
        <v>90</v>
      </c>
      <c r="D93" s="30" t="s">
        <v>90</v>
      </c>
      <c r="E93" s="30" t="s">
        <v>90</v>
      </c>
      <c r="F93" s="148" t="s">
        <v>90</v>
      </c>
      <c r="G93" s="149" t="s">
        <v>90</v>
      </c>
      <c r="H93" s="30" t="s">
        <v>90</v>
      </c>
      <c r="I93" s="30" t="s">
        <v>90</v>
      </c>
      <c r="J93" s="150" t="s">
        <v>90</v>
      </c>
    </row>
    <row r="94" spans="2:10" ht="15.75" thickBot="1" x14ac:dyDescent="0.3">
      <c r="B94" s="151" t="s">
        <v>85</v>
      </c>
      <c r="C94" s="152" t="s">
        <v>90</v>
      </c>
      <c r="D94" s="31" t="s">
        <v>90</v>
      </c>
      <c r="E94" s="31" t="s">
        <v>90</v>
      </c>
      <c r="F94" s="153" t="s">
        <v>90</v>
      </c>
      <c r="G94" s="154" t="s">
        <v>90</v>
      </c>
      <c r="H94" s="31" t="s">
        <v>90</v>
      </c>
      <c r="I94" s="31" t="s">
        <v>90</v>
      </c>
      <c r="J94" s="155" t="s">
        <v>90</v>
      </c>
    </row>
    <row r="95" spans="2:10" x14ac:dyDescent="0.25">
      <c r="B95" s="157" t="s">
        <v>86</v>
      </c>
      <c r="C95" s="117">
        <f>D95-(F95-E95)</f>
        <v>0.73999999999999988</v>
      </c>
      <c r="D95" s="141">
        <f>0.87-0.05</f>
        <v>0.82</v>
      </c>
      <c r="E95" s="4">
        <f>D95+0.1</f>
        <v>0.91999999999999993</v>
      </c>
      <c r="F95" s="118">
        <f>(D96+E96)/2</f>
        <v>1</v>
      </c>
      <c r="G95" s="120">
        <f t="shared" ref="G95:G99" si="54">H95-(H95-C95)/2</f>
        <v>0.77999999999999992</v>
      </c>
      <c r="H95">
        <f t="shared" ref="H95:I99" si="55">D95</f>
        <v>0.82</v>
      </c>
      <c r="I95">
        <f t="shared" si="55"/>
        <v>0.91999999999999993</v>
      </c>
      <c r="J95" s="105">
        <f t="shared" ref="J95:J99" si="56">I95+(F95-I95)/2</f>
        <v>0.96</v>
      </c>
    </row>
    <row r="96" spans="2:10" x14ac:dyDescent="0.25">
      <c r="B96" s="143" t="s">
        <v>102</v>
      </c>
      <c r="C96" s="144">
        <f t="shared" ref="C96:C97" si="57">(D95+E95)/2</f>
        <v>0.86999999999999988</v>
      </c>
      <c r="D96" s="12">
        <f>1-0.05</f>
        <v>0.95</v>
      </c>
      <c r="E96" s="12">
        <f t="shared" ref="E96:E99" si="58">D96+0.1</f>
        <v>1.05</v>
      </c>
      <c r="F96" s="145">
        <f t="shared" ref="F96:F98" si="59">(D97+E97)/2</f>
        <v>1.29</v>
      </c>
      <c r="G96" s="144">
        <f t="shared" si="54"/>
        <v>0.90999999999999992</v>
      </c>
      <c r="H96" s="12">
        <f t="shared" si="55"/>
        <v>0.95</v>
      </c>
      <c r="I96" s="12">
        <f t="shared" si="55"/>
        <v>1.05</v>
      </c>
      <c r="J96" s="145">
        <f t="shared" si="56"/>
        <v>1.17</v>
      </c>
    </row>
    <row r="97" spans="2:10" x14ac:dyDescent="0.25">
      <c r="B97" s="140" t="s">
        <v>87</v>
      </c>
      <c r="C97" s="120">
        <f t="shared" si="57"/>
        <v>1</v>
      </c>
      <c r="D97" s="142">
        <f>1.29-0.05</f>
        <v>1.24</v>
      </c>
      <c r="E97">
        <f t="shared" si="58"/>
        <v>1.34</v>
      </c>
      <c r="F97" s="105">
        <f t="shared" si="59"/>
        <v>1.81</v>
      </c>
      <c r="G97" s="120">
        <f t="shared" si="54"/>
        <v>1.1200000000000001</v>
      </c>
      <c r="H97">
        <f t="shared" si="55"/>
        <v>1.24</v>
      </c>
      <c r="I97">
        <f t="shared" si="55"/>
        <v>1.34</v>
      </c>
      <c r="J97" s="105">
        <f t="shared" si="56"/>
        <v>1.5750000000000002</v>
      </c>
    </row>
    <row r="98" spans="2:10" x14ac:dyDescent="0.25">
      <c r="B98" s="140" t="s">
        <v>88</v>
      </c>
      <c r="C98" s="120">
        <f>(D97+E97)/2</f>
        <v>1.29</v>
      </c>
      <c r="D98" s="142">
        <f>1.81-0.05</f>
        <v>1.76</v>
      </c>
      <c r="E98">
        <f t="shared" si="58"/>
        <v>1.86</v>
      </c>
      <c r="F98" s="105">
        <f t="shared" si="59"/>
        <v>2.6100000000000003</v>
      </c>
      <c r="G98" s="120">
        <f t="shared" ref="G98" si="60">H98-(H98-C98)/2</f>
        <v>1.5249999999999999</v>
      </c>
      <c r="H98">
        <f t="shared" si="55"/>
        <v>1.76</v>
      </c>
      <c r="I98">
        <f t="shared" si="55"/>
        <v>1.86</v>
      </c>
      <c r="J98" s="105">
        <f t="shared" ref="J98" si="61">I98+(F98-I98)/2</f>
        <v>2.2350000000000003</v>
      </c>
    </row>
    <row r="99" spans="2:10" ht="15.75" thickBot="1" x14ac:dyDescent="0.3">
      <c r="B99" s="140" t="s">
        <v>89</v>
      </c>
      <c r="C99" s="128">
        <f>(D98+E98)/2</f>
        <v>1.81</v>
      </c>
      <c r="D99" s="146">
        <f>2.61-0.05</f>
        <v>2.56</v>
      </c>
      <c r="E99" s="9">
        <f t="shared" si="58"/>
        <v>2.66</v>
      </c>
      <c r="F99" s="129">
        <f>E99+(D99-C99)/2</f>
        <v>3.0350000000000001</v>
      </c>
      <c r="G99" s="128">
        <f t="shared" si="54"/>
        <v>2.1850000000000001</v>
      </c>
      <c r="H99" s="9">
        <f t="shared" si="55"/>
        <v>2.56</v>
      </c>
      <c r="I99" s="9">
        <f t="shared" si="55"/>
        <v>2.66</v>
      </c>
      <c r="J99" s="129">
        <f t="shared" si="56"/>
        <v>2.8475000000000001</v>
      </c>
    </row>
    <row r="100" spans="2:10" ht="15.75" thickBot="1" x14ac:dyDescent="0.3">
      <c r="B100" s="1" t="s">
        <v>81</v>
      </c>
      <c r="G100" s="2"/>
      <c r="J100" s="2"/>
    </row>
    <row r="101" spans="2:10" x14ac:dyDescent="0.25">
      <c r="B101" s="140" t="s">
        <v>84</v>
      </c>
      <c r="C101" s="3">
        <f t="shared" ref="C101:C106" si="62">(D102+E102)/2</f>
        <v>1.33</v>
      </c>
      <c r="D101" s="141">
        <f>1.59-0.05</f>
        <v>1.54</v>
      </c>
      <c r="E101" s="4">
        <f t="shared" ref="E101:E106" si="63">D101+0.1</f>
        <v>1.6400000000000001</v>
      </c>
      <c r="F101" s="5">
        <f>D101-C101+E101</f>
        <v>1.85</v>
      </c>
      <c r="G101" s="117">
        <f>H101-(H101-C101)/2</f>
        <v>1.4350000000000001</v>
      </c>
      <c r="H101" s="4">
        <f>D101</f>
        <v>1.54</v>
      </c>
      <c r="I101" s="4">
        <f>E101</f>
        <v>1.6400000000000001</v>
      </c>
      <c r="J101" s="118">
        <f>I101+(F101-I101)/2</f>
        <v>1.7450000000000001</v>
      </c>
    </row>
    <row r="102" spans="2:10" x14ac:dyDescent="0.25">
      <c r="B102" s="140" t="s">
        <v>85</v>
      </c>
      <c r="C102" s="6">
        <f t="shared" si="62"/>
        <v>1.22</v>
      </c>
      <c r="D102" s="142">
        <f>1.33-0.05</f>
        <v>1.28</v>
      </c>
      <c r="E102">
        <f t="shared" si="63"/>
        <v>1.3800000000000001</v>
      </c>
      <c r="F102" s="7">
        <f t="shared" ref="F102:F107" si="64">(D101+E101)/2</f>
        <v>1.59</v>
      </c>
      <c r="G102" s="120">
        <f t="shared" ref="G102:G107" si="65">H102-(H102-C102)/2</f>
        <v>1.25</v>
      </c>
      <c r="H102">
        <f t="shared" ref="H102:I107" si="66">D102</f>
        <v>1.28</v>
      </c>
      <c r="I102">
        <f t="shared" si="66"/>
        <v>1.3800000000000001</v>
      </c>
      <c r="J102" s="105">
        <f>I102+(F102-I102)/2</f>
        <v>1.4850000000000001</v>
      </c>
    </row>
    <row r="103" spans="2:10" x14ac:dyDescent="0.25">
      <c r="B103" s="140" t="s">
        <v>86</v>
      </c>
      <c r="C103" s="6">
        <f t="shared" si="62"/>
        <v>1</v>
      </c>
      <c r="D103" s="142">
        <f>1.22-0.05</f>
        <v>1.17</v>
      </c>
      <c r="E103">
        <f t="shared" si="63"/>
        <v>1.27</v>
      </c>
      <c r="F103" s="7">
        <f t="shared" si="64"/>
        <v>1.33</v>
      </c>
      <c r="G103" s="120">
        <f t="shared" si="65"/>
        <v>1.085</v>
      </c>
      <c r="H103">
        <f t="shared" si="66"/>
        <v>1.17</v>
      </c>
      <c r="I103">
        <f t="shared" si="66"/>
        <v>1.27</v>
      </c>
      <c r="J103" s="105">
        <f t="shared" ref="J103:J107" si="67">I103+(F103-I103)/2</f>
        <v>1.3</v>
      </c>
    </row>
    <row r="104" spans="2:10" x14ac:dyDescent="0.25">
      <c r="B104" s="140" t="s">
        <v>102</v>
      </c>
      <c r="C104" s="6">
        <f t="shared" si="62"/>
        <v>0.86999999999999988</v>
      </c>
      <c r="D104" s="142">
        <f>1-0.05</f>
        <v>0.95</v>
      </c>
      <c r="E104">
        <f t="shared" si="63"/>
        <v>1.05</v>
      </c>
      <c r="F104" s="7">
        <f t="shared" si="64"/>
        <v>1.22</v>
      </c>
      <c r="G104" s="120">
        <f t="shared" si="65"/>
        <v>0.90999999999999992</v>
      </c>
      <c r="H104">
        <f t="shared" si="66"/>
        <v>0.95</v>
      </c>
      <c r="I104">
        <f t="shared" si="66"/>
        <v>1.05</v>
      </c>
      <c r="J104" s="105">
        <f t="shared" si="67"/>
        <v>1.135</v>
      </c>
    </row>
    <row r="105" spans="2:10" x14ac:dyDescent="0.25">
      <c r="B105" s="140" t="s">
        <v>87</v>
      </c>
      <c r="C105" s="6">
        <f t="shared" si="62"/>
        <v>0.74</v>
      </c>
      <c r="D105" s="142">
        <f>0.87-0.05</f>
        <v>0.82</v>
      </c>
      <c r="E105">
        <f t="shared" si="63"/>
        <v>0.91999999999999993</v>
      </c>
      <c r="F105" s="7">
        <f t="shared" si="64"/>
        <v>1</v>
      </c>
      <c r="G105" s="120">
        <f t="shared" si="65"/>
        <v>0.78</v>
      </c>
      <c r="H105">
        <f t="shared" si="66"/>
        <v>0.82</v>
      </c>
      <c r="I105">
        <f t="shared" si="66"/>
        <v>0.91999999999999993</v>
      </c>
      <c r="J105" s="105">
        <f t="shared" si="67"/>
        <v>0.96</v>
      </c>
    </row>
    <row r="106" spans="2:10" x14ac:dyDescent="0.25">
      <c r="B106" s="143" t="s">
        <v>88</v>
      </c>
      <c r="C106" s="11">
        <f t="shared" si="62"/>
        <v>0.61999999999999988</v>
      </c>
      <c r="D106" s="12">
        <f>0.74-0.05</f>
        <v>0.69</v>
      </c>
      <c r="E106" s="12">
        <f t="shared" si="63"/>
        <v>0.78999999999999992</v>
      </c>
      <c r="F106" s="13">
        <f t="shared" si="64"/>
        <v>0.86999999999999988</v>
      </c>
      <c r="G106" s="144">
        <f t="shared" ref="G106" si="68">H106-(H106-C106)/2</f>
        <v>0.65499999999999992</v>
      </c>
      <c r="H106" s="12">
        <f t="shared" si="66"/>
        <v>0.69</v>
      </c>
      <c r="I106" s="12">
        <f t="shared" si="66"/>
        <v>0.78999999999999992</v>
      </c>
      <c r="J106" s="145">
        <f t="shared" ref="J106" si="69">I106+(F106-I106)/2</f>
        <v>0.82999999999999985</v>
      </c>
    </row>
    <row r="107" spans="2:10" ht="15.75" thickBot="1" x14ac:dyDescent="0.3">
      <c r="B107" s="140" t="s">
        <v>89</v>
      </c>
      <c r="C107" s="8">
        <f>D107-(F107-E107)</f>
        <v>0.49999999999999989</v>
      </c>
      <c r="D107" s="146">
        <f>0.62-0.05</f>
        <v>0.56999999999999995</v>
      </c>
      <c r="E107" s="9">
        <f>D107+0.1</f>
        <v>0.66999999999999993</v>
      </c>
      <c r="F107" s="10">
        <f t="shared" si="64"/>
        <v>0.74</v>
      </c>
      <c r="G107" s="128">
        <f t="shared" si="65"/>
        <v>0.53499999999999992</v>
      </c>
      <c r="H107" s="9">
        <f t="shared" si="66"/>
        <v>0.56999999999999995</v>
      </c>
      <c r="I107" s="9">
        <f t="shared" si="66"/>
        <v>0.66999999999999993</v>
      </c>
      <c r="J107" s="129">
        <f t="shared" si="67"/>
        <v>0.70499999999999996</v>
      </c>
    </row>
    <row r="108" spans="2:10" ht="15.75" thickBot="1" x14ac:dyDescent="0.3">
      <c r="B108" s="1" t="s">
        <v>82</v>
      </c>
      <c r="G108" s="2"/>
      <c r="J108" s="2"/>
    </row>
    <row r="109" spans="2:10" x14ac:dyDescent="0.25">
      <c r="B109" s="140" t="s">
        <v>84</v>
      </c>
      <c r="C109" s="3">
        <f t="shared" ref="C109:C114" si="70">(D110+E110)/2</f>
        <v>1.3</v>
      </c>
      <c r="D109" s="141">
        <f>1.43-0.05</f>
        <v>1.38</v>
      </c>
      <c r="E109" s="4">
        <f t="shared" ref="E109:E114" si="71">D109+0.1</f>
        <v>1.48</v>
      </c>
      <c r="F109" s="5">
        <f>D109-C109+E109</f>
        <v>1.5599999999999998</v>
      </c>
      <c r="G109" s="117">
        <f>H109-(H109-C109)/2</f>
        <v>1.3399999999999999</v>
      </c>
      <c r="H109" s="4">
        <f>D109</f>
        <v>1.38</v>
      </c>
      <c r="I109" s="4">
        <f>E109</f>
        <v>1.48</v>
      </c>
      <c r="J109" s="118">
        <f>I109+(F109-I109)/2</f>
        <v>1.52</v>
      </c>
    </row>
    <row r="110" spans="2:10" x14ac:dyDescent="0.25">
      <c r="B110" s="140" t="s">
        <v>85</v>
      </c>
      <c r="C110" s="6">
        <f t="shared" si="70"/>
        <v>1.1000000000000001</v>
      </c>
      <c r="D110" s="142">
        <f>1.3-0.05</f>
        <v>1.25</v>
      </c>
      <c r="E110">
        <f t="shared" si="71"/>
        <v>1.35</v>
      </c>
      <c r="F110" s="7">
        <f t="shared" ref="F110:F115" si="72">(D109+E109)/2</f>
        <v>1.43</v>
      </c>
      <c r="G110" s="120">
        <f t="shared" ref="G110:G115" si="73">H110-(H110-C110)/2</f>
        <v>1.175</v>
      </c>
      <c r="H110">
        <f t="shared" ref="H110:I115" si="74">D110</f>
        <v>1.25</v>
      </c>
      <c r="I110">
        <f t="shared" si="74"/>
        <v>1.35</v>
      </c>
      <c r="J110" s="105">
        <f>I110+(F110-I110)/2</f>
        <v>1.3900000000000001</v>
      </c>
    </row>
    <row r="111" spans="2:10" x14ac:dyDescent="0.25">
      <c r="B111" s="140" t="s">
        <v>86</v>
      </c>
      <c r="C111" s="6">
        <f t="shared" si="70"/>
        <v>1</v>
      </c>
      <c r="D111" s="142">
        <f>1.1-0.05</f>
        <v>1.05</v>
      </c>
      <c r="E111">
        <f t="shared" si="71"/>
        <v>1.1500000000000001</v>
      </c>
      <c r="F111" s="7">
        <f t="shared" si="72"/>
        <v>1.3</v>
      </c>
      <c r="G111" s="120">
        <f t="shared" si="73"/>
        <v>1.0249999999999999</v>
      </c>
      <c r="H111">
        <f t="shared" si="74"/>
        <v>1.05</v>
      </c>
      <c r="I111">
        <f t="shared" si="74"/>
        <v>1.1500000000000001</v>
      </c>
      <c r="J111" s="105">
        <f t="shared" ref="J111:J115" si="75">I111+(F111-I111)/2</f>
        <v>1.2250000000000001</v>
      </c>
    </row>
    <row r="112" spans="2:10" x14ac:dyDescent="0.25">
      <c r="B112" s="140" t="s">
        <v>102</v>
      </c>
      <c r="C112" s="6">
        <f t="shared" si="70"/>
        <v>0.86999999999999988</v>
      </c>
      <c r="D112" s="142">
        <f>1-0.05</f>
        <v>0.95</v>
      </c>
      <c r="E112">
        <f t="shared" si="71"/>
        <v>1.05</v>
      </c>
      <c r="F112" s="7">
        <f t="shared" si="72"/>
        <v>1.1000000000000001</v>
      </c>
      <c r="G112" s="120">
        <f t="shared" si="73"/>
        <v>0.90999999999999992</v>
      </c>
      <c r="H112">
        <f t="shared" si="74"/>
        <v>0.95</v>
      </c>
      <c r="I112">
        <f t="shared" si="74"/>
        <v>1.05</v>
      </c>
      <c r="J112" s="105">
        <f t="shared" si="75"/>
        <v>1.0750000000000002</v>
      </c>
    </row>
    <row r="113" spans="1:10" x14ac:dyDescent="0.25">
      <c r="B113" s="143" t="s">
        <v>87</v>
      </c>
      <c r="C113" s="11">
        <f t="shared" si="70"/>
        <v>0.73</v>
      </c>
      <c r="D113" s="12">
        <f>0.87-0.05</f>
        <v>0.82</v>
      </c>
      <c r="E113" s="12">
        <f t="shared" si="71"/>
        <v>0.91999999999999993</v>
      </c>
      <c r="F113" s="13">
        <f t="shared" si="72"/>
        <v>1</v>
      </c>
      <c r="G113" s="144">
        <f t="shared" si="73"/>
        <v>0.77499999999999991</v>
      </c>
      <c r="H113" s="12">
        <f t="shared" si="74"/>
        <v>0.82</v>
      </c>
      <c r="I113" s="12">
        <f t="shared" si="74"/>
        <v>0.91999999999999993</v>
      </c>
      <c r="J113" s="145">
        <f t="shared" si="75"/>
        <v>0.96</v>
      </c>
    </row>
    <row r="114" spans="1:10" x14ac:dyDescent="0.25">
      <c r="B114" s="140" t="s">
        <v>88</v>
      </c>
      <c r="C114" s="6">
        <f t="shared" si="70"/>
        <v>0.61999999999999988</v>
      </c>
      <c r="D114" s="142">
        <f>0.73-0.05</f>
        <v>0.67999999999999994</v>
      </c>
      <c r="E114">
        <f t="shared" si="71"/>
        <v>0.77999999999999992</v>
      </c>
      <c r="F114" s="7">
        <f t="shared" si="72"/>
        <v>0.86999999999999988</v>
      </c>
      <c r="G114" s="120">
        <f t="shared" ref="G114" si="76">H114-(H114-C114)/2</f>
        <v>0.64999999999999991</v>
      </c>
      <c r="H114">
        <f t="shared" si="74"/>
        <v>0.67999999999999994</v>
      </c>
      <c r="I114">
        <f t="shared" si="74"/>
        <v>0.77999999999999992</v>
      </c>
      <c r="J114" s="105">
        <f t="shared" ref="J114" si="77">I114+(F114-I114)/2</f>
        <v>0.82499999999999996</v>
      </c>
    </row>
    <row r="115" spans="1:10" ht="15.75" thickBot="1" x14ac:dyDescent="0.3">
      <c r="B115" s="140" t="s">
        <v>89</v>
      </c>
      <c r="C115" s="8">
        <f>D115-(F115-E115)</f>
        <v>0.5099999999999999</v>
      </c>
      <c r="D115" s="146">
        <f>0.62-0.05</f>
        <v>0.56999999999999995</v>
      </c>
      <c r="E115" s="9">
        <f>D115+0.1</f>
        <v>0.66999999999999993</v>
      </c>
      <c r="F115" s="10">
        <f t="shared" si="72"/>
        <v>0.73</v>
      </c>
      <c r="G115" s="128">
        <f t="shared" si="73"/>
        <v>0.53999999999999992</v>
      </c>
      <c r="H115" s="9">
        <f t="shared" si="74"/>
        <v>0.56999999999999995</v>
      </c>
      <c r="I115" s="9">
        <f t="shared" si="74"/>
        <v>0.66999999999999993</v>
      </c>
      <c r="J115" s="129">
        <f t="shared" si="75"/>
        <v>0.7</v>
      </c>
    </row>
    <row r="116" spans="1:10" ht="15.75" thickBot="1" x14ac:dyDescent="0.3">
      <c r="B116" s="1" t="s">
        <v>83</v>
      </c>
      <c r="G116" s="2"/>
      <c r="J116" s="2"/>
    </row>
    <row r="117" spans="1:10" ht="15.75" thickBot="1" x14ac:dyDescent="0.3">
      <c r="B117" s="15" t="s">
        <v>84</v>
      </c>
      <c r="C117" s="158" t="s">
        <v>90</v>
      </c>
      <c r="D117" s="159" t="s">
        <v>90</v>
      </c>
      <c r="E117" s="159" t="s">
        <v>90</v>
      </c>
      <c r="F117" s="160" t="s">
        <v>90</v>
      </c>
      <c r="G117" s="161" t="s">
        <v>90</v>
      </c>
      <c r="H117" s="159" t="s">
        <v>90</v>
      </c>
      <c r="I117" s="159" t="s">
        <v>90</v>
      </c>
      <c r="J117" s="162" t="s">
        <v>90</v>
      </c>
    </row>
    <row r="118" spans="1:10" x14ac:dyDescent="0.25">
      <c r="B118" s="157" t="s">
        <v>85</v>
      </c>
      <c r="C118" s="3">
        <f>(D119+E119)/2</f>
        <v>1.1399999999999999</v>
      </c>
      <c r="D118" s="142">
        <f>1.43-0.05</f>
        <v>1.38</v>
      </c>
      <c r="E118" s="4">
        <f t="shared" ref="E118:E122" si="78">D118+0.1</f>
        <v>1.48</v>
      </c>
      <c r="F118" s="5">
        <f>D118-C118+E118</f>
        <v>1.72</v>
      </c>
      <c r="G118" s="120">
        <f t="shared" ref="G118:G121" si="79">H118-(H118-C118)/2</f>
        <v>1.2599999999999998</v>
      </c>
      <c r="H118">
        <f t="shared" ref="H118:I122" si="80">D118</f>
        <v>1.38</v>
      </c>
      <c r="I118">
        <f t="shared" si="80"/>
        <v>1.48</v>
      </c>
      <c r="J118" s="105">
        <f>I118+(F118-I118)/2</f>
        <v>1.6</v>
      </c>
    </row>
    <row r="119" spans="1:10" x14ac:dyDescent="0.25">
      <c r="B119" s="143" t="s">
        <v>86</v>
      </c>
      <c r="C119" s="11">
        <f>(D120+E120)/2</f>
        <v>1</v>
      </c>
      <c r="D119" s="12">
        <f>1.14-0.05</f>
        <v>1.0899999999999999</v>
      </c>
      <c r="E119" s="12">
        <f t="shared" si="78"/>
        <v>1.19</v>
      </c>
      <c r="F119" s="13">
        <f>(D118+E118)/2</f>
        <v>1.43</v>
      </c>
      <c r="G119" s="144">
        <f t="shared" si="79"/>
        <v>1.0449999999999999</v>
      </c>
      <c r="H119" s="12">
        <f t="shared" si="80"/>
        <v>1.0899999999999999</v>
      </c>
      <c r="I119" s="12">
        <f t="shared" si="80"/>
        <v>1.19</v>
      </c>
      <c r="J119" s="145">
        <f t="shared" ref="J119:J121" si="81">I119+(F119-I119)/2</f>
        <v>1.31</v>
      </c>
    </row>
    <row r="120" spans="1:10" x14ac:dyDescent="0.25">
      <c r="B120" s="140" t="s">
        <v>102</v>
      </c>
      <c r="C120" s="120">
        <f>D120-(F120-E120)</f>
        <v>0.8600000000000001</v>
      </c>
      <c r="D120" s="142">
        <f>1-0.05</f>
        <v>0.95</v>
      </c>
      <c r="E120">
        <f t="shared" si="78"/>
        <v>1.05</v>
      </c>
      <c r="F120" s="105">
        <f>(D119+E119)/2</f>
        <v>1.1399999999999999</v>
      </c>
      <c r="G120" s="120">
        <f t="shared" si="79"/>
        <v>0.90500000000000003</v>
      </c>
      <c r="H120">
        <f t="shared" si="80"/>
        <v>0.95</v>
      </c>
      <c r="I120">
        <f t="shared" si="80"/>
        <v>1.05</v>
      </c>
      <c r="J120" s="105">
        <f t="shared" si="81"/>
        <v>1.095</v>
      </c>
    </row>
    <row r="121" spans="1:10" x14ac:dyDescent="0.25">
      <c r="B121" s="140" t="s">
        <v>87</v>
      </c>
      <c r="C121" s="120">
        <f>C120</f>
        <v>0.8600000000000001</v>
      </c>
      <c r="D121" s="142">
        <f>1-0.05</f>
        <v>0.95</v>
      </c>
      <c r="E121">
        <f t="shared" si="78"/>
        <v>1.05</v>
      </c>
      <c r="F121" s="105">
        <f>F120</f>
        <v>1.1399999999999999</v>
      </c>
      <c r="G121" s="120">
        <f t="shared" si="79"/>
        <v>0.90500000000000003</v>
      </c>
      <c r="H121">
        <f t="shared" si="80"/>
        <v>0.95</v>
      </c>
      <c r="I121">
        <f t="shared" si="80"/>
        <v>1.05</v>
      </c>
      <c r="J121" s="105">
        <f t="shared" si="81"/>
        <v>1.095</v>
      </c>
    </row>
    <row r="122" spans="1:10" ht="15.75" thickBot="1" x14ac:dyDescent="0.3">
      <c r="B122" s="163" t="s">
        <v>88</v>
      </c>
      <c r="C122" s="120">
        <f>C120</f>
        <v>0.8600000000000001</v>
      </c>
      <c r="D122" s="142">
        <f>1-0.05</f>
        <v>0.95</v>
      </c>
      <c r="E122">
        <f t="shared" si="78"/>
        <v>1.05</v>
      </c>
      <c r="F122" s="105">
        <f>F120</f>
        <v>1.1399999999999999</v>
      </c>
      <c r="G122" s="120">
        <f t="shared" ref="G122" si="82">H122-(H122-C122)/2</f>
        <v>0.90500000000000003</v>
      </c>
      <c r="H122">
        <f t="shared" si="80"/>
        <v>0.95</v>
      </c>
      <c r="I122">
        <f t="shared" si="80"/>
        <v>1.05</v>
      </c>
      <c r="J122" s="105">
        <f t="shared" ref="J122" si="83">I122+(F122-I122)/2</f>
        <v>1.095</v>
      </c>
    </row>
    <row r="123" spans="1:10" ht="15.75" thickBot="1" x14ac:dyDescent="0.3">
      <c r="B123" s="15" t="s">
        <v>89</v>
      </c>
      <c r="C123" s="158" t="s">
        <v>90</v>
      </c>
      <c r="D123" s="159" t="s">
        <v>90</v>
      </c>
      <c r="E123" s="159" t="s">
        <v>90</v>
      </c>
      <c r="F123" s="160" t="s">
        <v>90</v>
      </c>
      <c r="G123" s="161" t="s">
        <v>90</v>
      </c>
      <c r="H123" s="159" t="s">
        <v>90</v>
      </c>
      <c r="I123" s="159" t="s">
        <v>90</v>
      </c>
      <c r="J123" s="162" t="s">
        <v>90</v>
      </c>
    </row>
    <row r="124" spans="1:10" ht="15.75" thickBot="1" x14ac:dyDescent="0.3"/>
    <row r="125" spans="1:10" x14ac:dyDescent="0.25">
      <c r="A125" s="66">
        <v>1</v>
      </c>
      <c r="C125" s="184">
        <v>1</v>
      </c>
      <c r="D125" s="185">
        <v>1.21</v>
      </c>
      <c r="E125" s="185">
        <v>1.31</v>
      </c>
      <c r="F125" s="186">
        <v>1.62</v>
      </c>
      <c r="G125" s="184">
        <v>1.105</v>
      </c>
      <c r="H125" s="185">
        <v>1.21</v>
      </c>
      <c r="I125" s="185">
        <v>1.31</v>
      </c>
      <c r="J125" s="186">
        <v>1.4650000000000001</v>
      </c>
    </row>
    <row r="126" spans="1:10" x14ac:dyDescent="0.25">
      <c r="A126" s="66">
        <v>2</v>
      </c>
      <c r="C126" s="164">
        <v>0.49</v>
      </c>
      <c r="D126" s="183">
        <v>0.54999999999999993</v>
      </c>
      <c r="E126" s="183">
        <v>0.64999999999999991</v>
      </c>
      <c r="F126" s="111">
        <v>0.82999999999999985</v>
      </c>
      <c r="G126" s="164">
        <v>0.52</v>
      </c>
      <c r="H126" s="183">
        <v>0.54999999999999993</v>
      </c>
      <c r="I126" s="183">
        <v>0.64999999999999991</v>
      </c>
      <c r="J126" s="111">
        <v>0.73999999999999988</v>
      </c>
    </row>
    <row r="127" spans="1:10" x14ac:dyDescent="0.25">
      <c r="C127" s="120"/>
      <c r="D127" s="2"/>
      <c r="E127" s="2"/>
      <c r="F127" s="105"/>
      <c r="G127" s="120"/>
      <c r="H127" s="2"/>
      <c r="I127" s="2"/>
      <c r="J127" s="105"/>
    </row>
    <row r="128" spans="1:10" x14ac:dyDescent="0.25">
      <c r="A128" s="66" t="s">
        <v>91</v>
      </c>
      <c r="C128" s="187">
        <f>C125*D126+C126*D125-D128</f>
        <v>0.47740000000000016</v>
      </c>
      <c r="D128" s="188">
        <f>D125*D126</f>
        <v>0.66549999999999987</v>
      </c>
      <c r="E128" s="188">
        <f>E125*E126</f>
        <v>0.85149999999999992</v>
      </c>
      <c r="F128" s="189">
        <f>E125*F126+E126*F125-E128</f>
        <v>1.2887999999999999</v>
      </c>
      <c r="G128" s="187">
        <f>G125*H126+G126*H125-H128</f>
        <v>0.5714499999999999</v>
      </c>
      <c r="H128" s="188">
        <f>H125*H126</f>
        <v>0.66549999999999987</v>
      </c>
      <c r="I128" s="188">
        <f>I125*I126</f>
        <v>0.85149999999999992</v>
      </c>
      <c r="J128" s="189">
        <f>I125*J126+I126*J125-I128</f>
        <v>1.0701499999999999</v>
      </c>
    </row>
    <row r="129" spans="1:10" x14ac:dyDescent="0.25">
      <c r="A129" s="66">
        <v>3</v>
      </c>
      <c r="C129" s="164">
        <v>0.95</v>
      </c>
      <c r="D129" s="183">
        <v>0.99</v>
      </c>
      <c r="E129" s="183">
        <v>1.01</v>
      </c>
      <c r="F129" s="111">
        <v>1.07</v>
      </c>
      <c r="G129" s="164">
        <v>0.97</v>
      </c>
      <c r="H129" s="183">
        <v>0.99</v>
      </c>
      <c r="I129" s="183">
        <v>1.01</v>
      </c>
      <c r="J129" s="111">
        <v>1.04</v>
      </c>
    </row>
    <row r="130" spans="1:10" x14ac:dyDescent="0.25">
      <c r="C130" s="120"/>
      <c r="D130" s="2"/>
      <c r="E130" s="2"/>
      <c r="F130" s="105"/>
      <c r="G130" s="120"/>
      <c r="H130" s="2"/>
      <c r="I130" s="2"/>
      <c r="J130" s="105"/>
    </row>
    <row r="131" spans="1:10" x14ac:dyDescent="0.25">
      <c r="A131" s="66" t="s">
        <v>92</v>
      </c>
      <c r="C131" s="187">
        <f>C128*D129+C129*D128-D131</f>
        <v>0.44600600000000012</v>
      </c>
      <c r="D131" s="188">
        <f>D128*D129</f>
        <v>0.6588449999999999</v>
      </c>
      <c r="E131" s="188">
        <f>E128*E129</f>
        <v>0.86001499999999997</v>
      </c>
      <c r="F131" s="189">
        <f>E128*F129+E129*F128-E131</f>
        <v>1.352778</v>
      </c>
      <c r="G131" s="187">
        <f>G128*H129+G129*H128-H131</f>
        <v>0.55242550000000001</v>
      </c>
      <c r="H131" s="188">
        <f>H128*H129</f>
        <v>0.6588449999999999</v>
      </c>
      <c r="I131" s="188">
        <f>I128*I129</f>
        <v>0.86001499999999997</v>
      </c>
      <c r="J131" s="189">
        <f>I128*J129+I129*J128-I131</f>
        <v>1.1063964999999998</v>
      </c>
    </row>
    <row r="132" spans="1:10" x14ac:dyDescent="0.25">
      <c r="A132" s="66">
        <v>4</v>
      </c>
      <c r="C132" s="164">
        <v>0.86999999999999988</v>
      </c>
      <c r="D132" s="183">
        <v>0.95</v>
      </c>
      <c r="E132" s="183">
        <v>1.05</v>
      </c>
      <c r="F132" s="111">
        <v>1.29</v>
      </c>
      <c r="G132" s="164">
        <v>0.90999999999999992</v>
      </c>
      <c r="H132" s="183">
        <v>0.95</v>
      </c>
      <c r="I132" s="183">
        <v>1.05</v>
      </c>
      <c r="J132" s="111">
        <v>1.17</v>
      </c>
    </row>
    <row r="133" spans="1:10" x14ac:dyDescent="0.25">
      <c r="C133" s="120"/>
      <c r="D133" s="2"/>
      <c r="E133" s="2"/>
      <c r="F133" s="105"/>
      <c r="G133" s="120"/>
      <c r="H133" s="2"/>
      <c r="I133" s="2"/>
      <c r="J133" s="105"/>
    </row>
    <row r="134" spans="1:10" x14ac:dyDescent="0.25">
      <c r="A134" s="66" t="s">
        <v>93</v>
      </c>
      <c r="C134" s="187">
        <f>C131*D132+C132*D131-D134</f>
        <v>0.37099810000000011</v>
      </c>
      <c r="D134" s="188">
        <f>D131*D132</f>
        <v>0.62590274999999984</v>
      </c>
      <c r="E134" s="188">
        <f>E131*E132</f>
        <v>0.90301575000000001</v>
      </c>
      <c r="F134" s="189">
        <f>E131*F132+E132*F131-E134</f>
        <v>1.6268205000000002</v>
      </c>
      <c r="G134" s="187">
        <f>G131*H132+G132*H131-H134</f>
        <v>0.49845042500000014</v>
      </c>
      <c r="H134" s="188">
        <f>H131*H132</f>
        <v>0.62590274999999984</v>
      </c>
      <c r="I134" s="188">
        <f>I131*I132</f>
        <v>0.90301575000000001</v>
      </c>
      <c r="J134" s="189">
        <f>I131*J132+I132*J131-I134</f>
        <v>1.2649181249999997</v>
      </c>
    </row>
    <row r="135" spans="1:10" x14ac:dyDescent="0.25">
      <c r="A135" s="66">
        <v>5</v>
      </c>
      <c r="C135" s="164">
        <v>0.61999999999999988</v>
      </c>
      <c r="D135" s="183">
        <v>0.69</v>
      </c>
      <c r="E135" s="183">
        <v>0.78999999999999992</v>
      </c>
      <c r="F135" s="111">
        <v>0.86999999999999988</v>
      </c>
      <c r="G135" s="164">
        <v>0.65499999999999992</v>
      </c>
      <c r="H135" s="183">
        <v>0.69</v>
      </c>
      <c r="I135" s="183">
        <v>0.78999999999999992</v>
      </c>
      <c r="J135" s="111">
        <v>0.82999999999999985</v>
      </c>
    </row>
    <row r="136" spans="1:10" x14ac:dyDescent="0.25">
      <c r="C136" s="120"/>
      <c r="D136" s="2"/>
      <c r="E136" s="2"/>
      <c r="F136" s="105"/>
      <c r="G136" s="120"/>
      <c r="H136" s="2"/>
      <c r="I136" s="2"/>
      <c r="J136" s="105"/>
    </row>
    <row r="137" spans="1:10" x14ac:dyDescent="0.25">
      <c r="A137" s="66" t="s">
        <v>94</v>
      </c>
      <c r="C137" s="187">
        <f>C134*D135+C135*D134-D137</f>
        <v>0.21217549650000006</v>
      </c>
      <c r="D137" s="188">
        <f>D134*D135</f>
        <v>0.43187289749999985</v>
      </c>
      <c r="E137" s="188">
        <f>E134*E135</f>
        <v>0.71338244249999994</v>
      </c>
      <c r="F137" s="189">
        <f>E134*F135+E135*F134-E137</f>
        <v>1.3574294550000001</v>
      </c>
      <c r="G137" s="187">
        <f>G134*H135+G135*H134-H137</f>
        <v>0.32202419700000001</v>
      </c>
      <c r="H137" s="188">
        <f>H134*H135</f>
        <v>0.43187289749999985</v>
      </c>
      <c r="I137" s="188">
        <f>I134*I135</f>
        <v>0.71338244249999994</v>
      </c>
      <c r="J137" s="189">
        <f>I134*J135+I135*J134-I137</f>
        <v>1.0354059487499996</v>
      </c>
    </row>
    <row r="138" spans="1:10" x14ac:dyDescent="0.25">
      <c r="A138" s="66">
        <v>6</v>
      </c>
      <c r="C138" s="164">
        <v>0.73</v>
      </c>
      <c r="D138" s="183">
        <v>0.82</v>
      </c>
      <c r="E138" s="183">
        <v>0.91999999999999993</v>
      </c>
      <c r="F138" s="111">
        <v>1</v>
      </c>
      <c r="G138" s="164">
        <v>0.77499999999999991</v>
      </c>
      <c r="H138" s="183">
        <v>0.82</v>
      </c>
      <c r="I138" s="183">
        <v>0.91999999999999993</v>
      </c>
      <c r="J138" s="111">
        <v>0.96</v>
      </c>
    </row>
    <row r="139" spans="1:10" x14ac:dyDescent="0.25">
      <c r="C139" s="120"/>
      <c r="D139" s="2"/>
      <c r="E139" s="2"/>
      <c r="F139" s="105"/>
      <c r="G139" s="120"/>
      <c r="H139" s="2"/>
      <c r="I139" s="2"/>
      <c r="J139" s="105"/>
    </row>
    <row r="140" spans="1:10" x14ac:dyDescent="0.25">
      <c r="A140" s="66" t="s">
        <v>95</v>
      </c>
      <c r="C140" s="187">
        <f>C137*D138+C138*D137-D140</f>
        <v>0.13511534635500005</v>
      </c>
      <c r="D140" s="188">
        <f>D137*D138</f>
        <v>0.35413577594999984</v>
      </c>
      <c r="E140" s="188">
        <f>E137*E138</f>
        <v>0.6563118470999999</v>
      </c>
      <c r="F140" s="189">
        <f>E137*F138+E138*F137-E140</f>
        <v>1.3059056940000002</v>
      </c>
      <c r="G140" s="187">
        <f>G137*H138+G138*H137-H140</f>
        <v>0.24462556115249995</v>
      </c>
      <c r="H140" s="188">
        <f>H137*H138</f>
        <v>0.35413577594999984</v>
      </c>
      <c r="I140" s="188">
        <f>I137*I138</f>
        <v>0.6563118470999999</v>
      </c>
      <c r="J140" s="189">
        <f>I137*J138+I138*J137-I140</f>
        <v>0.98110877054999934</v>
      </c>
    </row>
    <row r="141" spans="1:10" ht="15.75" thickBot="1" x14ac:dyDescent="0.3">
      <c r="A141" s="66">
        <v>7</v>
      </c>
      <c r="C141" s="190">
        <v>1</v>
      </c>
      <c r="D141" s="191">
        <v>1.0899999999999999</v>
      </c>
      <c r="E141" s="191">
        <v>1.19</v>
      </c>
      <c r="F141" s="192">
        <v>1.43</v>
      </c>
      <c r="G141" s="190">
        <v>1.0449999999999999</v>
      </c>
      <c r="H141" s="191">
        <v>1.0899999999999999</v>
      </c>
      <c r="I141" s="191">
        <v>1.19</v>
      </c>
      <c r="J141" s="192">
        <v>1.31</v>
      </c>
    </row>
    <row r="142" spans="1:10" ht="15.75" thickBot="1" x14ac:dyDescent="0.3">
      <c r="C142" s="2"/>
      <c r="D142" s="2"/>
      <c r="E142" s="2"/>
      <c r="F142" s="2"/>
      <c r="G142" s="2"/>
      <c r="H142" s="2"/>
      <c r="I142" s="2"/>
      <c r="J142" s="2"/>
    </row>
    <row r="143" spans="1:10" ht="15.75" thickBot="1" x14ac:dyDescent="0.3">
      <c r="A143" s="66" t="s">
        <v>96</v>
      </c>
      <c r="B143" s="1" t="s">
        <v>159</v>
      </c>
      <c r="C143" s="193">
        <f>C140*D141+C141*D140-D143</f>
        <v>0.11540350769145008</v>
      </c>
      <c r="D143" s="194">
        <f>D140*D141</f>
        <v>0.38600799578549977</v>
      </c>
      <c r="E143" s="194">
        <f>E140*E141</f>
        <v>0.78101109804899982</v>
      </c>
      <c r="F143" s="195">
        <f>E140*F141+E141*F140-E143</f>
        <v>1.7115426191640002</v>
      </c>
      <c r="G143" s="193">
        <f>G140*H141+G141*H140-H143</f>
        <v>0.25070575173847492</v>
      </c>
      <c r="H143" s="194">
        <f>H140*H141</f>
        <v>0.38600799578549977</v>
      </c>
      <c r="I143" s="194">
        <f>I140*I141</f>
        <v>0.78101109804899982</v>
      </c>
      <c r="J143" s="195">
        <f>I140*J141+I141*J140-I143</f>
        <v>1.2462768586064992</v>
      </c>
    </row>
    <row r="144" spans="1:10" ht="15.75" thickBot="1" x14ac:dyDescent="0.3">
      <c r="C144" s="2"/>
      <c r="D144" s="2"/>
      <c r="E144" s="2"/>
      <c r="F144" s="2"/>
      <c r="G144" s="2"/>
      <c r="H144" s="2"/>
      <c r="I144" s="2"/>
      <c r="J144" s="2"/>
    </row>
    <row r="145" spans="1:10" ht="15.75" thickBot="1" x14ac:dyDescent="0.3">
      <c r="A145" s="29" t="s">
        <v>99</v>
      </c>
      <c r="B145" s="199">
        <v>2.94</v>
      </c>
      <c r="C145" s="2"/>
      <c r="D145" s="2"/>
      <c r="E145" s="2"/>
      <c r="F145" s="2"/>
      <c r="G145" s="2"/>
      <c r="H145" s="2"/>
      <c r="I145" s="2"/>
      <c r="J145" s="2"/>
    </row>
    <row r="146" spans="1:10" ht="15.75" thickBot="1" x14ac:dyDescent="0.3">
      <c r="A146" s="29"/>
      <c r="B146" s="27" t="s">
        <v>97</v>
      </c>
      <c r="C146" s="196">
        <v>5.7</v>
      </c>
      <c r="D146" s="197">
        <v>6.7</v>
      </c>
      <c r="E146" s="197">
        <v>7.7</v>
      </c>
      <c r="F146" s="106">
        <v>8.6999999999999993</v>
      </c>
      <c r="G146" s="196">
        <v>6.2</v>
      </c>
      <c r="H146" s="197">
        <v>6.7</v>
      </c>
      <c r="I146" s="197">
        <v>7.7</v>
      </c>
      <c r="J146" s="106">
        <v>8.1999999999999993</v>
      </c>
    </row>
    <row r="147" spans="1:10" ht="15.75" thickBot="1" x14ac:dyDescent="0.3">
      <c r="B147" s="27" t="s">
        <v>98</v>
      </c>
      <c r="C147" s="95">
        <f>C53</f>
        <v>1.0231000000000001</v>
      </c>
      <c r="D147" s="96">
        <f t="shared" ref="D147:J147" si="84">D53</f>
        <v>1.0508</v>
      </c>
      <c r="E147" s="96">
        <f t="shared" si="84"/>
        <v>1.0908</v>
      </c>
      <c r="F147" s="96">
        <f t="shared" si="84"/>
        <v>1.1341000000000001</v>
      </c>
      <c r="G147" s="95">
        <f t="shared" si="84"/>
        <v>1.03695</v>
      </c>
      <c r="H147" s="96">
        <f t="shared" si="84"/>
        <v>1.0508</v>
      </c>
      <c r="I147" s="96">
        <f t="shared" si="84"/>
        <v>1.0908</v>
      </c>
      <c r="J147" s="97">
        <f t="shared" si="84"/>
        <v>1.1124500000000002</v>
      </c>
    </row>
    <row r="148" spans="1:10" x14ac:dyDescent="0.25">
      <c r="C148" s="2"/>
      <c r="D148" s="2"/>
      <c r="E148" s="2"/>
      <c r="F148" s="2"/>
      <c r="G148" s="2"/>
      <c r="H148" s="2"/>
      <c r="I148" s="2"/>
      <c r="J148" s="2"/>
    </row>
    <row r="149" spans="1:10" ht="15.75" thickBot="1" x14ac:dyDescent="0.3">
      <c r="A149" s="198" t="s">
        <v>160</v>
      </c>
      <c r="C149" s="1" t="s">
        <v>18</v>
      </c>
      <c r="F149" s="1" t="s">
        <v>19</v>
      </c>
    </row>
    <row r="150" spans="1:10" ht="15.75" thickBot="1" x14ac:dyDescent="0.3">
      <c r="A150" s="1">
        <v>0.8</v>
      </c>
      <c r="C150" s="41">
        <f>A150*D147+(1-A150)*C147</f>
        <v>1.0452600000000001</v>
      </c>
      <c r="D150" s="42">
        <f>A150*E147+(1-A150)*F147</f>
        <v>1.0994600000000001</v>
      </c>
      <c r="E150" s="43"/>
      <c r="F150" s="41">
        <f>A150*H147+(1-A150)*G147</f>
        <v>1.04803</v>
      </c>
      <c r="G150" s="42">
        <f>A150*I147+(1-A150)*J147</f>
        <v>1.0951300000000002</v>
      </c>
      <c r="H150" s="2"/>
      <c r="I150" s="2"/>
      <c r="J150" s="2"/>
    </row>
    <row r="151" spans="1:10" ht="15.75" thickBot="1" x14ac:dyDescent="0.3">
      <c r="A151" s="1"/>
      <c r="B151" s="29" t="s">
        <v>197</v>
      </c>
      <c r="C151" s="302">
        <f>(C150+D150)/2</f>
        <v>1.0723600000000002</v>
      </c>
      <c r="D151" s="43"/>
      <c r="E151" s="43"/>
      <c r="F151" s="302">
        <f>(F150+G150)/2</f>
        <v>1.07158</v>
      </c>
      <c r="G151" s="43"/>
    </row>
    <row r="152" spans="1:10" ht="15.75" thickBot="1" x14ac:dyDescent="0.3">
      <c r="A152" s="1"/>
      <c r="B152" s="29" t="s">
        <v>198</v>
      </c>
      <c r="C152" s="181">
        <f>(C151+F151)/2</f>
        <v>1.0719700000000001</v>
      </c>
      <c r="D152" s="303"/>
      <c r="E152" s="303"/>
      <c r="F152" s="303"/>
      <c r="G152" s="29"/>
      <c r="H152" s="29"/>
      <c r="I152" s="29"/>
    </row>
    <row r="153" spans="1:10" x14ac:dyDescent="0.25">
      <c r="A153"/>
    </row>
    <row r="154" spans="1:10" x14ac:dyDescent="0.25">
      <c r="A154" s="1" t="s">
        <v>162</v>
      </c>
    </row>
    <row r="155" spans="1:10" ht="15.75" thickBot="1" x14ac:dyDescent="0.3"/>
    <row r="156" spans="1:10" ht="15.75" thickBot="1" x14ac:dyDescent="0.3">
      <c r="B156" s="27" t="s">
        <v>161</v>
      </c>
      <c r="C156" s="203">
        <f>$B145*(C146^$C152)</f>
        <v>18.994265290549311</v>
      </c>
      <c r="D156" s="204">
        <f t="shared" ref="D156:J156" si="85">$B145*(D146^$C152)</f>
        <v>22.587841762843496</v>
      </c>
      <c r="E156" s="204">
        <f t="shared" si="85"/>
        <v>26.220368628068922</v>
      </c>
      <c r="F156" s="205">
        <f t="shared" si="85"/>
        <v>29.887100478031414</v>
      </c>
      <c r="G156" s="203">
        <f t="shared" si="85"/>
        <v>20.785833770539568</v>
      </c>
      <c r="H156" s="204">
        <f t="shared" si="85"/>
        <v>22.587841762843496</v>
      </c>
      <c r="I156" s="204">
        <f t="shared" si="85"/>
        <v>26.220368628068922</v>
      </c>
      <c r="J156" s="205">
        <f t="shared" si="85"/>
        <v>28.049709368020146</v>
      </c>
    </row>
    <row r="157" spans="1:10" ht="15.75" thickBot="1" x14ac:dyDescent="0.3">
      <c r="B157" s="178" t="s">
        <v>159</v>
      </c>
      <c r="C157" s="203">
        <v>0.11540350769145</v>
      </c>
      <c r="D157" s="204">
        <v>0.38600799578549977</v>
      </c>
      <c r="E157" s="204">
        <v>0.78101109804899982</v>
      </c>
      <c r="F157" s="205">
        <v>1.7115426191640002</v>
      </c>
      <c r="G157" s="203">
        <v>0.25070575173847492</v>
      </c>
      <c r="H157" s="204">
        <v>0.38600799578549977</v>
      </c>
      <c r="I157" s="204">
        <v>0.78101109804899982</v>
      </c>
      <c r="J157" s="205">
        <v>1.2462768586064992</v>
      </c>
    </row>
    <row r="158" spans="1:10" ht="15.75" thickBot="1" x14ac:dyDescent="0.3"/>
    <row r="159" spans="1:10" ht="15.75" thickBot="1" x14ac:dyDescent="0.3">
      <c r="B159" s="27" t="s">
        <v>155</v>
      </c>
      <c r="C159" s="58">
        <f>C156*D157+C157*D156-D159</f>
        <v>1.2195669188393605</v>
      </c>
      <c r="D159" s="59">
        <f>D156*D157</f>
        <v>8.719087527995228</v>
      </c>
      <c r="E159" s="59">
        <f>E156*E157</f>
        <v>20.478398893457655</v>
      </c>
      <c r="F159" s="206">
        <f>E156*F157+E157*F156-E159</f>
        <v>47.741036665521122</v>
      </c>
      <c r="G159" s="58">
        <f>G156*H157+G157*H156-H159</f>
        <v>4.9673123558047063</v>
      </c>
      <c r="H159" s="59">
        <f>H156*H157</f>
        <v>8.719087527995228</v>
      </c>
      <c r="I159" s="59">
        <f>I156*I157</f>
        <v>20.478398893457655</v>
      </c>
      <c r="J159" s="206">
        <f>I156*J157+I157*J156-I159</f>
        <v>34.106574065309218</v>
      </c>
    </row>
    <row r="161" spans="1:8" ht="15.75" thickBot="1" x14ac:dyDescent="0.3">
      <c r="A161" s="1"/>
      <c r="C161" s="1" t="s">
        <v>18</v>
      </c>
      <c r="F161" s="1" t="s">
        <v>19</v>
      </c>
    </row>
    <row r="162" spans="1:8" ht="15.75" thickBot="1" x14ac:dyDescent="0.3">
      <c r="A162" s="1">
        <v>0.8</v>
      </c>
      <c r="B162" s="27" t="s">
        <v>155</v>
      </c>
      <c r="C162" s="41">
        <f>A162*D159+(1-A162)*C159</f>
        <v>7.2191834061640545</v>
      </c>
      <c r="D162" s="42">
        <f>A162*E159+(1-A162)*F159</f>
        <v>25.930926447870348</v>
      </c>
      <c r="E162" t="s">
        <v>157</v>
      </c>
      <c r="F162" s="41">
        <f>A162*H159+(1-A162)*G159</f>
        <v>7.9687324935571233</v>
      </c>
      <c r="G162" s="42">
        <f>A162*I159+(1-A162)*J159</f>
        <v>23.204033927827968</v>
      </c>
      <c r="H162" t="s">
        <v>157</v>
      </c>
    </row>
    <row r="163" spans="1:8" ht="15.75" thickBot="1" x14ac:dyDescent="0.3">
      <c r="B163" s="27" t="s">
        <v>155</v>
      </c>
      <c r="C163" s="302">
        <f>(C162+D162)/2</f>
        <v>16.575054927017202</v>
      </c>
      <c r="D163" s="61" t="s">
        <v>157</v>
      </c>
      <c r="E163" s="43"/>
      <c r="F163" s="302">
        <f>(F162+G162)/2</f>
        <v>15.586383210692546</v>
      </c>
      <c r="G163" t="s">
        <v>157</v>
      </c>
    </row>
    <row r="164" spans="1:8" ht="15.75" thickBot="1" x14ac:dyDescent="0.3">
      <c r="B164" s="27" t="s">
        <v>199</v>
      </c>
      <c r="C164" s="181">
        <f>(C163+F163)/2</f>
        <v>16.080719068854876</v>
      </c>
      <c r="D164" s="61"/>
      <c r="E164" s="61"/>
      <c r="F164" s="61"/>
    </row>
  </sheetData>
  <mergeCells count="4">
    <mergeCell ref="B6:B7"/>
    <mergeCell ref="C6:H6"/>
    <mergeCell ref="B57:B58"/>
    <mergeCell ref="C57:I57"/>
  </mergeCells>
  <phoneticPr fontId="2" type="noConversion"/>
  <pageMargins left="0.25" right="0.25" top="0.75" bottom="0.75" header="0.3" footer="0.3"/>
  <pageSetup scale="96" fitToHeight="0" orientation="landscape" r:id="rId1"/>
  <rowBreaks count="6" manualBreakCount="6">
    <brk id="28" max="16383" man="1"/>
    <brk id="54" max="16383" man="1"/>
    <brk id="83" max="16383" man="1"/>
    <brk id="107" max="16383" man="1"/>
    <brk id="124" max="16383" man="1"/>
    <brk id="14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CDCE-EDD7-4202-9C83-56D9AF8964E0}">
  <sheetPr>
    <pageSetUpPr fitToPage="1"/>
  </sheetPr>
  <dimension ref="A2:R51"/>
  <sheetViews>
    <sheetView topLeftCell="A39" zoomScaleNormal="100" workbookViewId="0">
      <selection activeCell="E37" sqref="E37"/>
    </sheetView>
  </sheetViews>
  <sheetFormatPr defaultRowHeight="15" x14ac:dyDescent="0.25"/>
  <cols>
    <col min="1" max="1" width="18.140625" style="66" customWidth="1"/>
    <col min="2" max="2" width="24.85546875" customWidth="1"/>
    <col min="3" max="3" width="14.7109375" customWidth="1"/>
    <col min="4" max="4" width="14.140625" customWidth="1"/>
    <col min="5" max="5" width="16.42578125" customWidth="1"/>
    <col min="6" max="6" width="16.85546875" customWidth="1"/>
  </cols>
  <sheetData>
    <row r="2" spans="2:9" ht="18.75" x14ac:dyDescent="0.3">
      <c r="B2" s="20" t="s">
        <v>166</v>
      </c>
    </row>
    <row r="4" spans="2:9" x14ac:dyDescent="0.25">
      <c r="B4" s="1" t="s">
        <v>154</v>
      </c>
    </row>
    <row r="5" spans="2:9" ht="15.75" thickBot="1" x14ac:dyDescent="0.3"/>
    <row r="6" spans="2:9" ht="15.75" thickBot="1" x14ac:dyDescent="0.3">
      <c r="B6" s="275" t="s">
        <v>42</v>
      </c>
      <c r="C6" s="277" t="s">
        <v>43</v>
      </c>
      <c r="D6" s="278"/>
      <c r="E6" s="278"/>
      <c r="F6" s="278"/>
      <c r="G6" s="278"/>
      <c r="H6" s="279"/>
    </row>
    <row r="7" spans="2:9" ht="30.75" thickBot="1" x14ac:dyDescent="0.3">
      <c r="B7" s="276"/>
      <c r="C7" s="101" t="s">
        <v>44</v>
      </c>
      <c r="D7" s="101" t="s">
        <v>45</v>
      </c>
      <c r="E7" s="101" t="s">
        <v>103</v>
      </c>
      <c r="F7" s="101" t="s">
        <v>46</v>
      </c>
      <c r="G7" s="101" t="s">
        <v>47</v>
      </c>
      <c r="H7" s="101" t="s">
        <v>48</v>
      </c>
    </row>
    <row r="8" spans="2:9" ht="16.5" thickTop="1" thickBot="1" x14ac:dyDescent="0.3">
      <c r="B8" s="102" t="s">
        <v>49</v>
      </c>
      <c r="C8" s="103">
        <v>6.2</v>
      </c>
      <c r="D8" s="103">
        <v>4.96</v>
      </c>
      <c r="E8" s="103">
        <v>3.72</v>
      </c>
      <c r="F8" s="103">
        <v>2.48</v>
      </c>
      <c r="G8" s="103">
        <v>1.24</v>
      </c>
      <c r="H8" s="103">
        <v>0</v>
      </c>
    </row>
    <row r="9" spans="2:9" ht="15.75" thickBot="1" x14ac:dyDescent="0.3">
      <c r="B9" s="102" t="s">
        <v>50</v>
      </c>
      <c r="C9" s="103">
        <v>5.07</v>
      </c>
      <c r="D9" s="103">
        <v>4.05</v>
      </c>
      <c r="E9" s="103">
        <v>3.04</v>
      </c>
      <c r="F9" s="103">
        <v>2.0299999999999998</v>
      </c>
      <c r="G9" s="103">
        <v>1.01</v>
      </c>
      <c r="H9" s="103">
        <v>0</v>
      </c>
    </row>
    <row r="10" spans="2:9" ht="15.75" thickBot="1" x14ac:dyDescent="0.3">
      <c r="B10" s="102" t="s">
        <v>51</v>
      </c>
      <c r="C10" s="103">
        <v>7.07</v>
      </c>
      <c r="D10" s="103">
        <v>5.65</v>
      </c>
      <c r="E10" s="103">
        <v>4.24</v>
      </c>
      <c r="F10" s="103">
        <v>2.83</v>
      </c>
      <c r="G10" s="103">
        <v>1.41</v>
      </c>
      <c r="H10" s="103">
        <v>0</v>
      </c>
    </row>
    <row r="11" spans="2:9" ht="15.75" thickBot="1" x14ac:dyDescent="0.3">
      <c r="B11" s="102" t="s">
        <v>52</v>
      </c>
      <c r="C11" s="103">
        <v>5.48</v>
      </c>
      <c r="D11" s="103">
        <v>4.38</v>
      </c>
      <c r="E11" s="103">
        <v>3.29</v>
      </c>
      <c r="F11" s="103">
        <v>2.19</v>
      </c>
      <c r="G11" s="103">
        <v>1.1000000000000001</v>
      </c>
      <c r="H11" s="103">
        <v>0</v>
      </c>
    </row>
    <row r="12" spans="2:9" ht="15.75" thickBot="1" x14ac:dyDescent="0.3">
      <c r="B12" s="102" t="s">
        <v>53</v>
      </c>
      <c r="C12" s="103">
        <v>7.8</v>
      </c>
      <c r="D12" s="103">
        <v>6.24</v>
      </c>
      <c r="E12" s="103">
        <v>4.68</v>
      </c>
      <c r="F12" s="103">
        <v>3.12</v>
      </c>
      <c r="G12" s="103">
        <v>1.56</v>
      </c>
      <c r="H12" s="103">
        <v>0</v>
      </c>
    </row>
    <row r="14" spans="2:9" x14ac:dyDescent="0.25">
      <c r="B14" s="1" t="s">
        <v>65</v>
      </c>
    </row>
    <row r="15" spans="2:9" ht="15.75" thickBot="1" x14ac:dyDescent="0.3"/>
    <row r="16" spans="2:9" ht="16.5" thickBot="1" x14ac:dyDescent="0.3">
      <c r="B16" s="268" t="s">
        <v>100</v>
      </c>
      <c r="C16" s="280" t="s">
        <v>43</v>
      </c>
      <c r="D16" s="281"/>
      <c r="E16" s="281"/>
      <c r="F16" s="281"/>
      <c r="G16" s="281"/>
      <c r="H16" s="281"/>
      <c r="I16" s="282"/>
    </row>
    <row r="17" spans="2:9" ht="32.25" thickBot="1" x14ac:dyDescent="0.3">
      <c r="B17" s="269"/>
      <c r="C17" s="24" t="s">
        <v>66</v>
      </c>
      <c r="D17" s="24" t="s">
        <v>44</v>
      </c>
      <c r="E17" s="24" t="s">
        <v>45</v>
      </c>
      <c r="F17" s="101" t="s">
        <v>103</v>
      </c>
      <c r="G17" s="24" t="s">
        <v>46</v>
      </c>
      <c r="H17" s="24" t="s">
        <v>47</v>
      </c>
      <c r="I17" s="24" t="s">
        <v>48</v>
      </c>
    </row>
    <row r="18" spans="2:9" ht="17.25" thickTop="1" thickBot="1" x14ac:dyDescent="0.3">
      <c r="B18" s="18" t="s">
        <v>67</v>
      </c>
      <c r="C18" s="19">
        <v>2.12</v>
      </c>
      <c r="D18" s="19">
        <v>1.62</v>
      </c>
      <c r="E18" s="19">
        <v>1.26</v>
      </c>
      <c r="F18" s="19">
        <v>1</v>
      </c>
      <c r="G18" s="19">
        <v>0.83</v>
      </c>
      <c r="H18" s="19">
        <v>0.63</v>
      </c>
      <c r="I18" s="19">
        <v>0.5</v>
      </c>
    </row>
    <row r="19" spans="2:9" ht="16.5" thickBot="1" x14ac:dyDescent="0.3">
      <c r="B19" s="18" t="s">
        <v>68</v>
      </c>
      <c r="C19" s="19">
        <v>0.49</v>
      </c>
      <c r="D19" s="19">
        <v>0.6</v>
      </c>
      <c r="E19" s="19">
        <v>0.83</v>
      </c>
      <c r="F19" s="19">
        <v>1</v>
      </c>
      <c r="G19" s="19">
        <v>1.33</v>
      </c>
      <c r="H19" s="19">
        <v>1.91</v>
      </c>
      <c r="I19" s="19">
        <v>2.72</v>
      </c>
    </row>
    <row r="20" spans="2:9" ht="16.5" thickBot="1" x14ac:dyDescent="0.3">
      <c r="B20" s="18" t="s">
        <v>69</v>
      </c>
      <c r="C20" s="19" t="s">
        <v>70</v>
      </c>
      <c r="D20" s="19" t="s">
        <v>70</v>
      </c>
      <c r="E20" s="19">
        <v>0.95</v>
      </c>
      <c r="F20" s="19">
        <v>1</v>
      </c>
      <c r="G20" s="19">
        <v>1.07</v>
      </c>
      <c r="H20" s="19">
        <v>1.1499999999999999</v>
      </c>
      <c r="I20" s="19">
        <v>1.24</v>
      </c>
    </row>
    <row r="21" spans="2:9" ht="16.5" thickBot="1" x14ac:dyDescent="0.3">
      <c r="B21" s="18" t="s">
        <v>71</v>
      </c>
      <c r="C21" s="19" t="s">
        <v>70</v>
      </c>
      <c r="D21" s="19" t="s">
        <v>70</v>
      </c>
      <c r="E21" s="19">
        <v>0.87</v>
      </c>
      <c r="F21" s="19">
        <v>1</v>
      </c>
      <c r="G21" s="19">
        <v>1.29</v>
      </c>
      <c r="H21" s="19">
        <v>1.81</v>
      </c>
      <c r="I21" s="19">
        <v>2.61</v>
      </c>
    </row>
    <row r="22" spans="2:9" ht="16.5" thickBot="1" x14ac:dyDescent="0.3">
      <c r="B22" s="18" t="s">
        <v>72</v>
      </c>
      <c r="C22" s="19">
        <v>1.59</v>
      </c>
      <c r="D22" s="19">
        <v>1.33</v>
      </c>
      <c r="E22" s="19">
        <v>1.22</v>
      </c>
      <c r="F22" s="19">
        <v>1</v>
      </c>
      <c r="G22" s="19">
        <v>0.87</v>
      </c>
      <c r="H22" s="19">
        <v>0.74</v>
      </c>
      <c r="I22" s="19">
        <v>0.62</v>
      </c>
    </row>
    <row r="23" spans="2:9" ht="16.5" thickBot="1" x14ac:dyDescent="0.3">
      <c r="B23" s="18" t="s">
        <v>73</v>
      </c>
      <c r="C23" s="19">
        <v>1.43</v>
      </c>
      <c r="D23" s="19">
        <v>1.3</v>
      </c>
      <c r="E23" s="19">
        <v>1.1000000000000001</v>
      </c>
      <c r="F23" s="19">
        <v>1</v>
      </c>
      <c r="G23" s="19">
        <v>0.87</v>
      </c>
      <c r="H23" s="19">
        <v>0.73</v>
      </c>
      <c r="I23" s="19">
        <v>0.62</v>
      </c>
    </row>
    <row r="24" spans="2:9" ht="16.5" thickBot="1" x14ac:dyDescent="0.3">
      <c r="B24" s="18" t="s">
        <v>74</v>
      </c>
      <c r="C24" s="19" t="s">
        <v>70</v>
      </c>
      <c r="D24" s="19">
        <v>1.43</v>
      </c>
      <c r="E24" s="19">
        <v>1.1399999999999999</v>
      </c>
      <c r="F24" s="19">
        <v>1</v>
      </c>
      <c r="G24" s="19">
        <v>1</v>
      </c>
      <c r="H24" s="19">
        <v>1</v>
      </c>
      <c r="I24" s="19" t="s">
        <v>70</v>
      </c>
    </row>
    <row r="26" spans="2:9" ht="15.75" x14ac:dyDescent="0.25">
      <c r="B26" s="25" t="s">
        <v>135</v>
      </c>
      <c r="C26" s="2"/>
      <c r="D26" s="2"/>
      <c r="E26" s="2"/>
    </row>
    <row r="27" spans="2:9" ht="45.75" thickBot="1" x14ac:dyDescent="0.3">
      <c r="C27" s="86"/>
      <c r="D27" s="86" t="s">
        <v>148</v>
      </c>
      <c r="E27" s="45" t="s">
        <v>149</v>
      </c>
      <c r="F27" s="45" t="s">
        <v>150</v>
      </c>
    </row>
    <row r="28" spans="2:9" ht="15.75" thickBot="1" x14ac:dyDescent="0.3">
      <c r="B28" s="104" t="s">
        <v>49</v>
      </c>
      <c r="C28" s="106" t="s">
        <v>103</v>
      </c>
      <c r="D28" s="110">
        <f>E8</f>
        <v>3.72</v>
      </c>
      <c r="E28" s="208">
        <v>0.5</v>
      </c>
      <c r="F28" s="110">
        <v>0.6</v>
      </c>
    </row>
    <row r="29" spans="2:9" ht="15.75" thickBot="1" x14ac:dyDescent="0.3">
      <c r="B29" s="102" t="s">
        <v>50</v>
      </c>
      <c r="C29" s="107" t="s">
        <v>45</v>
      </c>
      <c r="D29" s="111">
        <f>D9</f>
        <v>4.05</v>
      </c>
      <c r="E29" s="209">
        <v>0.5</v>
      </c>
      <c r="F29" s="112">
        <v>0.6</v>
      </c>
    </row>
    <row r="30" spans="2:9" ht="15.75" thickBot="1" x14ac:dyDescent="0.3">
      <c r="B30" s="102" t="s">
        <v>51</v>
      </c>
      <c r="C30" s="108" t="s">
        <v>46</v>
      </c>
      <c r="D30" s="112">
        <f>F10</f>
        <v>2.83</v>
      </c>
      <c r="E30" s="209">
        <v>0.5</v>
      </c>
      <c r="F30" s="112">
        <v>0.6</v>
      </c>
    </row>
    <row r="31" spans="2:9" ht="15.75" thickBot="1" x14ac:dyDescent="0.3">
      <c r="B31" s="102" t="s">
        <v>52</v>
      </c>
      <c r="C31" s="107" t="s">
        <v>47</v>
      </c>
      <c r="D31" s="111">
        <f>C11</f>
        <v>5.48</v>
      </c>
      <c r="E31" s="209">
        <v>0.5</v>
      </c>
      <c r="F31" s="112">
        <v>0.6</v>
      </c>
    </row>
    <row r="32" spans="2:9" ht="15.75" thickBot="1" x14ac:dyDescent="0.3">
      <c r="B32" s="102" t="s">
        <v>53</v>
      </c>
      <c r="C32" s="109" t="s">
        <v>48</v>
      </c>
      <c r="D32" s="113">
        <f>H12</f>
        <v>0</v>
      </c>
      <c r="E32" s="210">
        <v>0.5</v>
      </c>
      <c r="F32" s="113">
        <v>0.6</v>
      </c>
    </row>
    <row r="33" spans="2:18" ht="15.75" thickBot="1" x14ac:dyDescent="0.3"/>
    <row r="34" spans="2:18" ht="15.75" thickBot="1" x14ac:dyDescent="0.3">
      <c r="B34" s="114"/>
      <c r="C34" s="166" t="s">
        <v>153</v>
      </c>
      <c r="D34" s="165">
        <f>SUM(D28:D32)</f>
        <v>16.079999999999998</v>
      </c>
      <c r="E34" s="211">
        <v>0.97</v>
      </c>
      <c r="F34" s="212">
        <v>0.98</v>
      </c>
      <c r="G34" s="213">
        <v>0.99</v>
      </c>
    </row>
    <row r="35" spans="2:18" ht="15.75" thickBot="1" x14ac:dyDescent="0.3">
      <c r="B35" s="114"/>
      <c r="C35" s="177" t="s">
        <v>156</v>
      </c>
      <c r="D35" s="175">
        <v>0.91</v>
      </c>
    </row>
    <row r="36" spans="2:18" ht="15.75" thickBot="1" x14ac:dyDescent="0.3">
      <c r="C36" s="27" t="s">
        <v>98</v>
      </c>
      <c r="D36" s="167">
        <f>D35+0.01*D34</f>
        <v>1.0708</v>
      </c>
      <c r="E36" s="203">
        <f>(1-(1-E34)^0.01)</f>
        <v>3.445790507785107E-2</v>
      </c>
      <c r="F36" s="204">
        <f t="shared" ref="F36:G36" si="0">(1-(1-F34)^0.01)</f>
        <v>3.8364915242696584E-2</v>
      </c>
      <c r="G36" s="205">
        <f t="shared" si="0"/>
        <v>4.5007413978564004E-2</v>
      </c>
    </row>
    <row r="37" spans="2:18" ht="15.75" thickBot="1" x14ac:dyDescent="0.3"/>
    <row r="38" spans="2:18" ht="16.5" thickBot="1" x14ac:dyDescent="0.3">
      <c r="B38" s="168" t="s">
        <v>67</v>
      </c>
      <c r="C38" s="169" t="s">
        <v>45</v>
      </c>
      <c r="D38" s="172">
        <f>E18</f>
        <v>1.26</v>
      </c>
      <c r="E38" s="208">
        <v>0.8</v>
      </c>
      <c r="F38" s="110">
        <v>0.9</v>
      </c>
    </row>
    <row r="39" spans="2:18" ht="16.5" thickBot="1" x14ac:dyDescent="0.3">
      <c r="B39" s="18" t="s">
        <v>68</v>
      </c>
      <c r="C39" s="170" t="s">
        <v>44</v>
      </c>
      <c r="D39" s="173">
        <f>D19</f>
        <v>0.6</v>
      </c>
      <c r="E39" s="209">
        <v>0.8</v>
      </c>
      <c r="F39" s="112">
        <v>0.9</v>
      </c>
    </row>
    <row r="40" spans="2:18" ht="16.5" thickBot="1" x14ac:dyDescent="0.3">
      <c r="B40" s="18" t="s">
        <v>69</v>
      </c>
      <c r="C40" s="170" t="s">
        <v>103</v>
      </c>
      <c r="D40" s="173">
        <f>F20</f>
        <v>1</v>
      </c>
      <c r="E40" s="209">
        <v>0.8</v>
      </c>
      <c r="F40" s="112">
        <v>0.9</v>
      </c>
    </row>
    <row r="41" spans="2:18" ht="16.5" thickBot="1" x14ac:dyDescent="0.3">
      <c r="B41" s="18" t="s">
        <v>71</v>
      </c>
      <c r="C41" s="170" t="s">
        <v>103</v>
      </c>
      <c r="D41" s="173">
        <f>F21</f>
        <v>1</v>
      </c>
      <c r="E41" s="209">
        <v>0.8</v>
      </c>
      <c r="F41" s="112">
        <v>0.9</v>
      </c>
    </row>
    <row r="42" spans="2:18" ht="16.5" thickBot="1" x14ac:dyDescent="0.3">
      <c r="B42" s="18" t="s">
        <v>72</v>
      </c>
      <c r="C42" s="170" t="s">
        <v>47</v>
      </c>
      <c r="D42" s="173">
        <f>H22</f>
        <v>0.74</v>
      </c>
      <c r="E42" s="209">
        <v>0.8</v>
      </c>
      <c r="F42" s="112">
        <v>0.9</v>
      </c>
    </row>
    <row r="43" spans="2:18" ht="16.5" thickBot="1" x14ac:dyDescent="0.3">
      <c r="B43" s="18" t="s">
        <v>73</v>
      </c>
      <c r="C43" s="170" t="s">
        <v>46</v>
      </c>
      <c r="D43" s="173">
        <f>G23</f>
        <v>0.87</v>
      </c>
      <c r="E43" s="209">
        <v>0.8</v>
      </c>
      <c r="F43" s="112">
        <v>0.9</v>
      </c>
    </row>
    <row r="44" spans="2:18" ht="16.5" thickBot="1" x14ac:dyDescent="0.3">
      <c r="B44" s="18" t="s">
        <v>74</v>
      </c>
      <c r="C44" s="171" t="s">
        <v>45</v>
      </c>
      <c r="D44" s="174">
        <f>E24</f>
        <v>1.1399999999999999</v>
      </c>
      <c r="E44" s="210">
        <v>0.8</v>
      </c>
      <c r="F44" s="113">
        <v>0.9</v>
      </c>
    </row>
    <row r="45" spans="2:18" ht="15.75" thickBot="1" x14ac:dyDescent="0.3"/>
    <row r="46" spans="2:18" ht="15.75" thickBot="1" x14ac:dyDescent="0.3">
      <c r="C46" s="1" t="s">
        <v>159</v>
      </c>
      <c r="D46" s="167">
        <f>D38*D39*D40*D41*D42*D43*D44</f>
        <v>0.55485259200000003</v>
      </c>
      <c r="E46" s="211">
        <v>0.21</v>
      </c>
      <c r="F46" s="212">
        <v>0.23</v>
      </c>
      <c r="G46" s="212">
        <v>0.24</v>
      </c>
      <c r="H46" s="212">
        <v>0.26</v>
      </c>
      <c r="I46" s="212">
        <v>0.27</v>
      </c>
      <c r="J46" s="212">
        <v>0.3</v>
      </c>
      <c r="K46" s="212">
        <v>0.31</v>
      </c>
      <c r="L46" s="212">
        <v>0.33</v>
      </c>
      <c r="M46" s="212">
        <v>0.34</v>
      </c>
      <c r="N46" s="212">
        <v>0.37</v>
      </c>
      <c r="O46" s="212">
        <v>0.38</v>
      </c>
      <c r="P46" s="212">
        <v>0.42</v>
      </c>
      <c r="Q46" s="212">
        <v>0.43</v>
      </c>
      <c r="R46" s="213">
        <v>0.48</v>
      </c>
    </row>
    <row r="47" spans="2:18" ht="15.75" thickBot="1" x14ac:dyDescent="0.3">
      <c r="C47" s="27" t="s">
        <v>97</v>
      </c>
      <c r="D47" s="175">
        <v>7.2</v>
      </c>
      <c r="E47" s="32">
        <v>0.8</v>
      </c>
      <c r="F47" s="34">
        <v>0.9</v>
      </c>
    </row>
    <row r="48" spans="2:18" ht="15.75" thickBot="1" x14ac:dyDescent="0.3">
      <c r="C48" s="27" t="s">
        <v>163</v>
      </c>
      <c r="D48" s="167">
        <f>D47^D36</f>
        <v>8.2800247925695292</v>
      </c>
      <c r="E48" s="214">
        <f>E47^$D36</f>
        <v>0.78746046340139064</v>
      </c>
      <c r="F48" s="215">
        <f>F47^$D36</f>
        <v>0.89331140582364099</v>
      </c>
    </row>
    <row r="49" spans="3:18" ht="15.75" thickBot="1" x14ac:dyDescent="0.3">
      <c r="C49" s="178" t="s">
        <v>99</v>
      </c>
      <c r="D49" s="179">
        <v>2.94</v>
      </c>
    </row>
    <row r="50" spans="3:18" ht="15.75" thickBot="1" x14ac:dyDescent="0.3">
      <c r="C50" s="27" t="s">
        <v>164</v>
      </c>
      <c r="D50" s="167">
        <f>D49*D48</f>
        <v>24.343272890154417</v>
      </c>
      <c r="E50" s="214">
        <f>(1-(1-E48)^$D49)</f>
        <v>0.98946407175291073</v>
      </c>
      <c r="F50" s="215">
        <f>(1-(1-F48)^$D49)</f>
        <v>0.99861111304774108</v>
      </c>
    </row>
    <row r="51" spans="3:18" ht="15.75" thickBot="1" x14ac:dyDescent="0.3">
      <c r="C51" s="27" t="s">
        <v>155</v>
      </c>
      <c r="D51" s="182">
        <f>D50*D46</f>
        <v>13.50692806086551</v>
      </c>
      <c r="E51" s="62">
        <f>$E50*E46</f>
        <v>0.20778745506811125</v>
      </c>
      <c r="F51" s="63">
        <f t="shared" ref="F51:R51" si="1">$E50*F46</f>
        <v>0.22757673650316948</v>
      </c>
      <c r="G51" s="63">
        <f t="shared" si="1"/>
        <v>0.23747137722069855</v>
      </c>
      <c r="H51" s="63">
        <f t="shared" si="1"/>
        <v>0.25726065865575681</v>
      </c>
      <c r="I51" s="63">
        <f t="shared" si="1"/>
        <v>0.26715529937328591</v>
      </c>
      <c r="J51" s="63">
        <f t="shared" si="1"/>
        <v>0.29683922152587322</v>
      </c>
      <c r="K51" s="63">
        <f t="shared" si="1"/>
        <v>0.30673386224340232</v>
      </c>
      <c r="L51" s="63">
        <f t="shared" si="1"/>
        <v>0.32652314367846058</v>
      </c>
      <c r="M51" s="63">
        <f t="shared" si="1"/>
        <v>0.33641778439598968</v>
      </c>
      <c r="N51" s="63">
        <f t="shared" si="1"/>
        <v>0.36610170654857699</v>
      </c>
      <c r="O51" s="63">
        <f t="shared" si="1"/>
        <v>0.37599634726610609</v>
      </c>
      <c r="P51" s="63">
        <f t="shared" si="1"/>
        <v>0.4155749101362225</v>
      </c>
      <c r="Q51" s="63">
        <f t="shared" si="1"/>
        <v>0.4254695508537516</v>
      </c>
      <c r="R51" s="218">
        <f t="shared" si="1"/>
        <v>0.47494275444139711</v>
      </c>
    </row>
  </sheetData>
  <mergeCells count="4">
    <mergeCell ref="B6:B7"/>
    <mergeCell ref="C6:H6"/>
    <mergeCell ref="B16:B17"/>
    <mergeCell ref="C16:I16"/>
  </mergeCells>
  <pageMargins left="0.25" right="0.25" top="0.75" bottom="0.75" header="0.3" footer="0.3"/>
  <pageSetup scale="96" fitToHeight="0" orientation="landscape" r:id="rId1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DF19-F25C-408A-A4E1-A49F05F95FD5}">
  <dimension ref="A2:D51"/>
  <sheetViews>
    <sheetView topLeftCell="A18" workbookViewId="0">
      <selection activeCell="B51" sqref="B51"/>
    </sheetView>
  </sheetViews>
  <sheetFormatPr defaultRowHeight="15" x14ac:dyDescent="0.25"/>
  <cols>
    <col min="1" max="1" width="3.5703125" customWidth="1"/>
    <col min="2" max="2" width="30.85546875" customWidth="1"/>
  </cols>
  <sheetData>
    <row r="2" spans="2:4" ht="18.75" x14ac:dyDescent="0.3">
      <c r="B2" s="20" t="s">
        <v>188</v>
      </c>
    </row>
    <row r="4" spans="2:4" x14ac:dyDescent="0.25">
      <c r="B4" s="1" t="s">
        <v>1</v>
      </c>
    </row>
    <row r="5" spans="2:4" ht="15.75" thickBot="1" x14ac:dyDescent="0.3">
      <c r="C5" t="s">
        <v>167</v>
      </c>
    </row>
    <row r="6" spans="2:4" x14ac:dyDescent="0.25">
      <c r="B6">
        <v>1</v>
      </c>
      <c r="C6" t="s">
        <v>168</v>
      </c>
      <c r="D6" s="219">
        <v>2</v>
      </c>
    </row>
    <row r="7" spans="2:4" x14ac:dyDescent="0.25">
      <c r="B7">
        <v>2</v>
      </c>
      <c r="C7" t="s">
        <v>169</v>
      </c>
      <c r="D7" s="220">
        <v>2</v>
      </c>
    </row>
    <row r="8" spans="2:4" ht="15.75" thickBot="1" x14ac:dyDescent="0.3">
      <c r="B8">
        <v>3</v>
      </c>
      <c r="C8" t="s">
        <v>170</v>
      </c>
      <c r="D8" s="221">
        <v>3</v>
      </c>
    </row>
    <row r="9" spans="2:4" ht="15.75" thickBot="1" x14ac:dyDescent="0.3">
      <c r="C9" s="1" t="s">
        <v>99</v>
      </c>
      <c r="D9" s="165">
        <f>B6*D6+B7*D7+B8*D8</f>
        <v>15</v>
      </c>
    </row>
    <row r="10" spans="2:4" ht="15.75" thickBot="1" x14ac:dyDescent="0.3"/>
    <row r="11" spans="2:4" ht="15.75" thickBot="1" x14ac:dyDescent="0.3">
      <c r="B11">
        <v>10</v>
      </c>
      <c r="C11" t="s">
        <v>171</v>
      </c>
      <c r="D11" s="222">
        <v>7</v>
      </c>
    </row>
    <row r="12" spans="2:4" ht="15.75" thickBot="1" x14ac:dyDescent="0.3">
      <c r="B12" s="1" t="s">
        <v>2</v>
      </c>
      <c r="C12" s="1" t="s">
        <v>173</v>
      </c>
      <c r="D12" s="165">
        <f>B11*D11</f>
        <v>70</v>
      </c>
    </row>
    <row r="13" spans="2:4" ht="15.75" thickBot="1" x14ac:dyDescent="0.3">
      <c r="B13" s="1" t="s">
        <v>3</v>
      </c>
      <c r="C13" s="1" t="s">
        <v>172</v>
      </c>
      <c r="D13" s="225">
        <f>D9+D12</f>
        <v>85</v>
      </c>
    </row>
    <row r="15" spans="2:4" x14ac:dyDescent="0.25">
      <c r="B15" s="1" t="s">
        <v>174</v>
      </c>
    </row>
    <row r="16" spans="2:4" ht="15.75" thickBot="1" x14ac:dyDescent="0.3">
      <c r="B16" t="s">
        <v>0</v>
      </c>
    </row>
    <row r="17" spans="1:4" x14ac:dyDescent="0.25">
      <c r="A17">
        <v>1</v>
      </c>
      <c r="B17">
        <v>2</v>
      </c>
      <c r="C17" t="s">
        <v>4</v>
      </c>
      <c r="D17" s="169">
        <v>4</v>
      </c>
    </row>
    <row r="18" spans="1:4" x14ac:dyDescent="0.25">
      <c r="A18">
        <v>2</v>
      </c>
      <c r="B18">
        <v>1</v>
      </c>
      <c r="C18" t="s">
        <v>5</v>
      </c>
      <c r="D18" s="170">
        <v>3</v>
      </c>
    </row>
    <row r="19" spans="1:4" x14ac:dyDescent="0.25">
      <c r="A19">
        <v>3</v>
      </c>
      <c r="B19">
        <v>1</v>
      </c>
      <c r="C19" t="s">
        <v>6</v>
      </c>
      <c r="D19" s="170">
        <v>5</v>
      </c>
    </row>
    <row r="20" spans="1:4" x14ac:dyDescent="0.25">
      <c r="A20">
        <v>4</v>
      </c>
      <c r="B20">
        <v>1</v>
      </c>
      <c r="C20" t="s">
        <v>7</v>
      </c>
      <c r="D20" s="170">
        <v>1</v>
      </c>
    </row>
    <row r="21" spans="1:4" x14ac:dyDescent="0.25">
      <c r="A21">
        <v>5</v>
      </c>
      <c r="B21">
        <v>1</v>
      </c>
      <c r="C21" t="s">
        <v>8</v>
      </c>
      <c r="D21" s="170">
        <v>0</v>
      </c>
    </row>
    <row r="22" spans="1:4" x14ac:dyDescent="0.25">
      <c r="A22">
        <v>6</v>
      </c>
      <c r="B22">
        <v>0.5</v>
      </c>
      <c r="C22" t="s">
        <v>9</v>
      </c>
      <c r="D22" s="170">
        <v>5</v>
      </c>
    </row>
    <row r="23" spans="1:4" x14ac:dyDescent="0.25">
      <c r="A23">
        <v>7</v>
      </c>
      <c r="B23">
        <v>0.5</v>
      </c>
      <c r="C23" t="s">
        <v>10</v>
      </c>
      <c r="D23" s="170">
        <v>2</v>
      </c>
    </row>
    <row r="24" spans="1:4" x14ac:dyDescent="0.25">
      <c r="A24">
        <v>8</v>
      </c>
      <c r="B24">
        <v>2</v>
      </c>
      <c r="C24" t="s">
        <v>11</v>
      </c>
      <c r="D24" s="170">
        <v>0</v>
      </c>
    </row>
    <row r="25" spans="1:4" x14ac:dyDescent="0.25">
      <c r="A25">
        <v>9</v>
      </c>
      <c r="B25">
        <v>1</v>
      </c>
      <c r="C25" t="s">
        <v>12</v>
      </c>
      <c r="D25" s="170">
        <v>4</v>
      </c>
    </row>
    <row r="26" spans="1:4" x14ac:dyDescent="0.25">
      <c r="A26">
        <v>10</v>
      </c>
      <c r="B26">
        <v>1</v>
      </c>
      <c r="C26" t="s">
        <v>13</v>
      </c>
      <c r="D26" s="170">
        <v>5</v>
      </c>
    </row>
    <row r="27" spans="1:4" x14ac:dyDescent="0.25">
      <c r="A27">
        <v>11</v>
      </c>
      <c r="B27">
        <v>1</v>
      </c>
      <c r="C27" t="s">
        <v>14</v>
      </c>
      <c r="D27" s="170">
        <v>3</v>
      </c>
    </row>
    <row r="28" spans="1:4" x14ac:dyDescent="0.25">
      <c r="A28">
        <v>12</v>
      </c>
      <c r="B28">
        <v>1</v>
      </c>
      <c r="C28" t="s">
        <v>15</v>
      </c>
      <c r="D28" s="170">
        <v>5</v>
      </c>
    </row>
    <row r="29" spans="1:4" ht="15.75" thickBot="1" x14ac:dyDescent="0.3">
      <c r="A29">
        <v>13</v>
      </c>
      <c r="B29">
        <v>1</v>
      </c>
      <c r="C29" t="s">
        <v>16</v>
      </c>
      <c r="D29" s="171">
        <v>1</v>
      </c>
    </row>
    <row r="30" spans="1:4" ht="15.75" thickBot="1" x14ac:dyDescent="0.3">
      <c r="C30" s="1" t="s">
        <v>175</v>
      </c>
      <c r="D30" s="165">
        <f>SUMPRODUCT(B17:B29,D17:D29)</f>
        <v>38.5</v>
      </c>
    </row>
    <row r="32" spans="1:4" ht="15.75" thickBot="1" x14ac:dyDescent="0.3">
      <c r="B32" s="1" t="s">
        <v>176</v>
      </c>
    </row>
    <row r="33" spans="1:4" ht="15.75" thickBot="1" x14ac:dyDescent="0.3">
      <c r="B33">
        <v>0.6</v>
      </c>
      <c r="C33">
        <v>0.01</v>
      </c>
      <c r="D33" s="225">
        <f>$C33*D30+$B33</f>
        <v>0.98499999999999999</v>
      </c>
    </row>
    <row r="35" spans="1:4" x14ac:dyDescent="0.25">
      <c r="B35" s="1" t="s">
        <v>177</v>
      </c>
    </row>
    <row r="37" spans="1:4" ht="15.75" thickBot="1" x14ac:dyDescent="0.3">
      <c r="B37" t="s">
        <v>0</v>
      </c>
    </row>
    <row r="38" spans="1:4" x14ac:dyDescent="0.25">
      <c r="A38">
        <v>1</v>
      </c>
      <c r="B38" s="2">
        <v>1.5</v>
      </c>
      <c r="C38" t="s">
        <v>178</v>
      </c>
      <c r="D38" s="169">
        <v>4</v>
      </c>
    </row>
    <row r="39" spans="1:4" x14ac:dyDescent="0.25">
      <c r="A39">
        <v>2</v>
      </c>
      <c r="B39" s="2">
        <v>0.5</v>
      </c>
      <c r="C39" t="s">
        <v>179</v>
      </c>
      <c r="D39" s="170">
        <v>3</v>
      </c>
    </row>
    <row r="40" spans="1:4" x14ac:dyDescent="0.25">
      <c r="A40">
        <v>3</v>
      </c>
      <c r="B40" s="2">
        <v>1</v>
      </c>
      <c r="C40" t="s">
        <v>180</v>
      </c>
      <c r="D40" s="170">
        <v>5</v>
      </c>
    </row>
    <row r="41" spans="1:4" x14ac:dyDescent="0.25">
      <c r="A41">
        <v>4</v>
      </c>
      <c r="B41" s="2">
        <v>0.5</v>
      </c>
      <c r="C41" t="s">
        <v>181</v>
      </c>
      <c r="D41" s="170">
        <v>1</v>
      </c>
    </row>
    <row r="42" spans="1:4" x14ac:dyDescent="0.25">
      <c r="A42">
        <v>5</v>
      </c>
      <c r="B42" s="2">
        <v>1</v>
      </c>
      <c r="C42" t="s">
        <v>182</v>
      </c>
      <c r="D42" s="170">
        <v>0</v>
      </c>
    </row>
    <row r="43" spans="1:4" x14ac:dyDescent="0.25">
      <c r="A43">
        <v>6</v>
      </c>
      <c r="B43" s="2">
        <v>2</v>
      </c>
      <c r="C43" t="s">
        <v>183</v>
      </c>
      <c r="D43" s="170">
        <v>5</v>
      </c>
    </row>
    <row r="44" spans="1:4" x14ac:dyDescent="0.25">
      <c r="A44">
        <v>7</v>
      </c>
      <c r="B44" s="2">
        <v>-1</v>
      </c>
      <c r="C44" t="s">
        <v>184</v>
      </c>
      <c r="D44" s="170">
        <v>5</v>
      </c>
    </row>
    <row r="45" spans="1:4" ht="15.75" thickBot="1" x14ac:dyDescent="0.3">
      <c r="A45">
        <v>8</v>
      </c>
      <c r="B45" s="2">
        <v>-1</v>
      </c>
      <c r="C45" t="s">
        <v>185</v>
      </c>
      <c r="D45" s="171">
        <v>0</v>
      </c>
    </row>
    <row r="46" spans="1:4" ht="15.75" thickBot="1" x14ac:dyDescent="0.3">
      <c r="C46" s="1" t="s">
        <v>186</v>
      </c>
      <c r="D46" s="223">
        <f>SUMPRODUCT(B38:B45,D38:D45)</f>
        <v>18</v>
      </c>
    </row>
    <row r="48" spans="1:4" ht="15.75" thickBot="1" x14ac:dyDescent="0.3">
      <c r="B48" s="1" t="s">
        <v>17</v>
      </c>
    </row>
    <row r="49" spans="2:4" ht="15.75" thickBot="1" x14ac:dyDescent="0.3">
      <c r="B49">
        <v>1.4</v>
      </c>
      <c r="C49">
        <v>-0.03</v>
      </c>
      <c r="D49" s="225">
        <f>D46*$C49+$B49</f>
        <v>0.85999999999999988</v>
      </c>
    </row>
    <row r="50" spans="2:4" ht="15.75" thickBot="1" x14ac:dyDescent="0.3"/>
    <row r="51" spans="2:4" ht="15.75" thickBot="1" x14ac:dyDescent="0.3">
      <c r="B51" s="1" t="s">
        <v>187</v>
      </c>
      <c r="D51" s="226">
        <f>D13*D33*D49</f>
        <v>72.003499999999988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A06F-70D1-449E-9CCC-B9291FF4AE86}">
  <dimension ref="A2:K90"/>
  <sheetViews>
    <sheetView topLeftCell="A27" workbookViewId="0">
      <selection activeCell="G89" sqref="G89"/>
    </sheetView>
  </sheetViews>
  <sheetFormatPr defaultRowHeight="15" x14ac:dyDescent="0.25"/>
  <cols>
    <col min="1" max="1" width="3.5703125" customWidth="1"/>
    <col min="2" max="2" width="29" customWidth="1"/>
  </cols>
  <sheetData>
    <row r="2" spans="2:11" ht="18.75" x14ac:dyDescent="0.3">
      <c r="B2" s="20" t="s">
        <v>189</v>
      </c>
    </row>
    <row r="3" spans="2:11" ht="7.5" customHeight="1" x14ac:dyDescent="0.3">
      <c r="B3" s="20"/>
    </row>
    <row r="4" spans="2:11" ht="15.75" thickBot="1" x14ac:dyDescent="0.3">
      <c r="D4" t="s">
        <v>59</v>
      </c>
      <c r="H4" t="s">
        <v>75</v>
      </c>
    </row>
    <row r="5" spans="2:11" x14ac:dyDescent="0.25">
      <c r="B5" s="1" t="s">
        <v>1</v>
      </c>
      <c r="C5">
        <v>1</v>
      </c>
      <c r="D5" s="293">
        <v>2</v>
      </c>
      <c r="E5" s="294">
        <v>2</v>
      </c>
      <c r="F5" s="294">
        <v>2</v>
      </c>
      <c r="G5" s="295">
        <v>2</v>
      </c>
      <c r="H5" s="293">
        <v>2</v>
      </c>
      <c r="I5" s="294">
        <v>2</v>
      </c>
      <c r="J5" s="294">
        <v>2</v>
      </c>
      <c r="K5" s="295">
        <v>2</v>
      </c>
    </row>
    <row r="6" spans="2:11" x14ac:dyDescent="0.25">
      <c r="C6">
        <v>2</v>
      </c>
      <c r="D6" s="296">
        <v>2</v>
      </c>
      <c r="E6" s="297">
        <v>2</v>
      </c>
      <c r="F6" s="297">
        <v>2</v>
      </c>
      <c r="G6" s="298">
        <v>2</v>
      </c>
      <c r="H6" s="296">
        <v>2</v>
      </c>
      <c r="I6" s="297">
        <v>2</v>
      </c>
      <c r="J6" s="297">
        <v>2</v>
      </c>
      <c r="K6" s="298">
        <v>2</v>
      </c>
    </row>
    <row r="7" spans="2:11" ht="15.75" thickBot="1" x14ac:dyDescent="0.3">
      <c r="C7">
        <v>3</v>
      </c>
      <c r="D7" s="299">
        <v>3</v>
      </c>
      <c r="E7" s="300">
        <v>3</v>
      </c>
      <c r="F7" s="300">
        <v>3</v>
      </c>
      <c r="G7" s="301">
        <v>3</v>
      </c>
      <c r="H7" s="299">
        <v>3</v>
      </c>
      <c r="I7" s="300">
        <v>3</v>
      </c>
      <c r="J7" s="300">
        <v>3</v>
      </c>
      <c r="K7" s="301">
        <v>3</v>
      </c>
    </row>
    <row r="8" spans="2:11" x14ac:dyDescent="0.25">
      <c r="D8" s="3">
        <f>D5*$C5</f>
        <v>2</v>
      </c>
      <c r="E8" s="4">
        <f t="shared" ref="E8:K8" si="0">E5*$C5</f>
        <v>2</v>
      </c>
      <c r="F8" s="4">
        <f t="shared" si="0"/>
        <v>2</v>
      </c>
      <c r="G8" s="5">
        <f t="shared" si="0"/>
        <v>2</v>
      </c>
      <c r="H8" s="3">
        <f t="shared" si="0"/>
        <v>2</v>
      </c>
      <c r="I8" s="4">
        <f t="shared" si="0"/>
        <v>2</v>
      </c>
      <c r="J8" s="4">
        <f t="shared" si="0"/>
        <v>2</v>
      </c>
      <c r="K8" s="5">
        <f t="shared" si="0"/>
        <v>2</v>
      </c>
    </row>
    <row r="9" spans="2:11" x14ac:dyDescent="0.25">
      <c r="D9" s="6">
        <f t="shared" ref="D9:K9" si="1">D6*$C6</f>
        <v>4</v>
      </c>
      <c r="E9">
        <f t="shared" si="1"/>
        <v>4</v>
      </c>
      <c r="F9">
        <f t="shared" si="1"/>
        <v>4</v>
      </c>
      <c r="G9" s="7">
        <f t="shared" si="1"/>
        <v>4</v>
      </c>
      <c r="H9" s="6">
        <f t="shared" si="1"/>
        <v>4</v>
      </c>
      <c r="I9">
        <f t="shared" si="1"/>
        <v>4</v>
      </c>
      <c r="J9">
        <f t="shared" si="1"/>
        <v>4</v>
      </c>
      <c r="K9" s="7">
        <f t="shared" si="1"/>
        <v>4</v>
      </c>
    </row>
    <row r="10" spans="2:11" ht="15.75" thickBot="1" x14ac:dyDescent="0.3">
      <c r="D10" s="8">
        <f t="shared" ref="D10:K10" si="2">D7*$C7</f>
        <v>9</v>
      </c>
      <c r="E10" s="9">
        <f t="shared" si="2"/>
        <v>9</v>
      </c>
      <c r="F10" s="9">
        <f t="shared" si="2"/>
        <v>9</v>
      </c>
      <c r="G10" s="10">
        <f t="shared" si="2"/>
        <v>9</v>
      </c>
      <c r="H10" s="8">
        <f t="shared" si="2"/>
        <v>9</v>
      </c>
      <c r="I10" s="9">
        <f t="shared" si="2"/>
        <v>9</v>
      </c>
      <c r="J10" s="9">
        <f t="shared" si="2"/>
        <v>9</v>
      </c>
      <c r="K10" s="10">
        <f t="shared" si="2"/>
        <v>9</v>
      </c>
    </row>
    <row r="11" spans="2:11" ht="15.75" thickBot="1" x14ac:dyDescent="0.3">
      <c r="C11" s="1" t="s">
        <v>99</v>
      </c>
      <c r="D11" s="211">
        <f>SUM(D8:D10)</f>
        <v>15</v>
      </c>
      <c r="E11" s="212">
        <f t="shared" ref="E11:K11" si="3">SUM(E8:E10)</f>
        <v>15</v>
      </c>
      <c r="F11" s="212">
        <f t="shared" si="3"/>
        <v>15</v>
      </c>
      <c r="G11" s="213">
        <f t="shared" si="3"/>
        <v>15</v>
      </c>
      <c r="H11" s="212">
        <f t="shared" si="3"/>
        <v>15</v>
      </c>
      <c r="I11" s="212">
        <f t="shared" si="3"/>
        <v>15</v>
      </c>
      <c r="J11" s="212">
        <f t="shared" si="3"/>
        <v>15</v>
      </c>
      <c r="K11" s="213">
        <f t="shared" si="3"/>
        <v>15</v>
      </c>
    </row>
    <row r="12" spans="2:11" ht="15.75" thickBot="1" x14ac:dyDescent="0.3"/>
    <row r="13" spans="2:11" ht="15.75" thickBot="1" x14ac:dyDescent="0.3">
      <c r="C13" s="1" t="s">
        <v>171</v>
      </c>
      <c r="D13" s="36">
        <v>7</v>
      </c>
      <c r="E13" s="37">
        <v>7</v>
      </c>
      <c r="F13" s="37">
        <v>7</v>
      </c>
      <c r="G13" s="38">
        <v>7</v>
      </c>
      <c r="H13" s="36">
        <v>7</v>
      </c>
      <c r="I13" s="37">
        <v>7</v>
      </c>
      <c r="J13" s="37">
        <v>7</v>
      </c>
      <c r="K13" s="38">
        <v>7</v>
      </c>
    </row>
    <row r="14" spans="2:11" ht="15.75" thickBot="1" x14ac:dyDescent="0.3">
      <c r="D14" s="36">
        <v>8.5</v>
      </c>
      <c r="E14" s="37">
        <v>9.5</v>
      </c>
      <c r="F14" s="37">
        <v>10.5</v>
      </c>
      <c r="G14" s="38">
        <v>11.5</v>
      </c>
      <c r="H14" s="229">
        <v>9</v>
      </c>
      <c r="I14" s="230">
        <v>9.5</v>
      </c>
      <c r="J14" s="230">
        <v>10.5</v>
      </c>
      <c r="K14" s="231">
        <v>11</v>
      </c>
    </row>
    <row r="15" spans="2:11" ht="15.75" thickBot="1" x14ac:dyDescent="0.3"/>
    <row r="16" spans="2:11" ht="15.75" thickBot="1" x14ac:dyDescent="0.3">
      <c r="B16" s="1" t="s">
        <v>2</v>
      </c>
      <c r="D16" s="203">
        <f>D13*E14+D14*E13-E16</f>
        <v>59.5</v>
      </c>
      <c r="E16" s="204">
        <f>E13*E14</f>
        <v>66.5</v>
      </c>
      <c r="F16" s="204">
        <f>F13*F14</f>
        <v>73.5</v>
      </c>
      <c r="G16" s="205">
        <f>F13*G14+F14*G13-F16</f>
        <v>80.5</v>
      </c>
      <c r="H16" s="203">
        <f>H13*I14+H14*I13-I16</f>
        <v>63</v>
      </c>
      <c r="I16" s="204">
        <f>I13*I14</f>
        <v>66.5</v>
      </c>
      <c r="J16" s="204">
        <f>J13*J14</f>
        <v>73.5</v>
      </c>
      <c r="K16" s="205">
        <f>J13*K14+J14*K13-J16</f>
        <v>77</v>
      </c>
    </row>
    <row r="17" spans="1:11" ht="15.75" thickBot="1" x14ac:dyDescent="0.3"/>
    <row r="18" spans="1:11" ht="15.75" thickBot="1" x14ac:dyDescent="0.3">
      <c r="B18" s="1" t="s">
        <v>3</v>
      </c>
      <c r="D18" s="232">
        <f>D11+D16</f>
        <v>74.5</v>
      </c>
      <c r="E18" s="233">
        <f t="shared" ref="E18:K18" si="4">E11+E16</f>
        <v>81.5</v>
      </c>
      <c r="F18" s="233">
        <f t="shared" si="4"/>
        <v>88.5</v>
      </c>
      <c r="G18" s="233">
        <f t="shared" si="4"/>
        <v>95.5</v>
      </c>
      <c r="H18" s="234">
        <f t="shared" si="4"/>
        <v>78</v>
      </c>
      <c r="I18" s="233">
        <f t="shared" si="4"/>
        <v>81.5</v>
      </c>
      <c r="J18" s="233">
        <f t="shared" si="4"/>
        <v>88.5</v>
      </c>
      <c r="K18" s="235">
        <f t="shared" si="4"/>
        <v>92</v>
      </c>
    </row>
    <row r="20" spans="1:11" x14ac:dyDescent="0.25">
      <c r="B20" s="1" t="s">
        <v>174</v>
      </c>
    </row>
    <row r="21" spans="1:11" ht="15.75" thickBot="1" x14ac:dyDescent="0.3">
      <c r="D21" t="s">
        <v>59</v>
      </c>
      <c r="H21" t="s">
        <v>75</v>
      </c>
    </row>
    <row r="22" spans="1:11" x14ac:dyDescent="0.25">
      <c r="A22">
        <v>1</v>
      </c>
      <c r="B22">
        <v>2</v>
      </c>
      <c r="C22" t="s">
        <v>4</v>
      </c>
      <c r="D22" s="196">
        <v>2.5</v>
      </c>
      <c r="E22" s="197">
        <v>3.5</v>
      </c>
      <c r="F22" s="197">
        <v>4.5</v>
      </c>
      <c r="G22" s="106">
        <v>5.5</v>
      </c>
      <c r="H22" s="196">
        <f>D22+0.5</f>
        <v>3</v>
      </c>
      <c r="I22" s="197">
        <v>3.5</v>
      </c>
      <c r="J22" s="197">
        <v>4.5</v>
      </c>
      <c r="K22" s="106">
        <f>J22+0.5</f>
        <v>5</v>
      </c>
    </row>
    <row r="23" spans="1:11" x14ac:dyDescent="0.25">
      <c r="A23">
        <v>2</v>
      </c>
      <c r="B23">
        <v>1</v>
      </c>
      <c r="C23" t="s">
        <v>5</v>
      </c>
      <c r="D23" s="224">
        <v>1.5</v>
      </c>
      <c r="E23" s="53">
        <v>2.5</v>
      </c>
      <c r="F23" s="53">
        <v>3.5</v>
      </c>
      <c r="G23" s="108">
        <v>4.5</v>
      </c>
      <c r="H23" s="224">
        <f t="shared" ref="H23:H33" si="5">D23+0.5</f>
        <v>2</v>
      </c>
      <c r="I23" s="53">
        <v>2.5</v>
      </c>
      <c r="J23" s="53">
        <v>3.5</v>
      </c>
      <c r="K23" s="108">
        <f t="shared" ref="K23:K34" si="6">J23+0.5</f>
        <v>4</v>
      </c>
    </row>
    <row r="24" spans="1:11" x14ac:dyDescent="0.25">
      <c r="A24">
        <v>3</v>
      </c>
      <c r="B24">
        <v>1</v>
      </c>
      <c r="C24" t="s">
        <v>6</v>
      </c>
      <c r="D24" s="224">
        <v>3.5</v>
      </c>
      <c r="E24" s="53">
        <v>4.5</v>
      </c>
      <c r="F24" s="53">
        <v>5.5</v>
      </c>
      <c r="G24" s="108">
        <v>6.5</v>
      </c>
      <c r="H24" s="224">
        <f t="shared" si="5"/>
        <v>4</v>
      </c>
      <c r="I24" s="53">
        <v>4.5</v>
      </c>
      <c r="J24" s="53">
        <v>5.5</v>
      </c>
      <c r="K24" s="108">
        <f t="shared" si="6"/>
        <v>6</v>
      </c>
    </row>
    <row r="25" spans="1:11" x14ac:dyDescent="0.25">
      <c r="A25">
        <v>4</v>
      </c>
      <c r="B25">
        <v>1</v>
      </c>
      <c r="C25" t="s">
        <v>7</v>
      </c>
      <c r="D25" s="224">
        <v>0</v>
      </c>
      <c r="E25" s="53">
        <v>0.5</v>
      </c>
      <c r="F25" s="53">
        <v>1.5</v>
      </c>
      <c r="G25" s="108">
        <v>2.5</v>
      </c>
      <c r="H25" s="224">
        <v>0</v>
      </c>
      <c r="I25" s="53">
        <v>0.5</v>
      </c>
      <c r="J25" s="53">
        <v>1.5</v>
      </c>
      <c r="K25" s="108">
        <f t="shared" si="6"/>
        <v>2</v>
      </c>
    </row>
    <row r="26" spans="1:11" x14ac:dyDescent="0.25">
      <c r="A26">
        <v>5</v>
      </c>
      <c r="B26">
        <v>1</v>
      </c>
      <c r="C26" t="s">
        <v>8</v>
      </c>
      <c r="D26" s="224">
        <v>0</v>
      </c>
      <c r="E26" s="53">
        <v>0</v>
      </c>
      <c r="F26" s="53">
        <v>0</v>
      </c>
      <c r="G26" s="108">
        <v>1</v>
      </c>
      <c r="H26" s="224">
        <v>0</v>
      </c>
      <c r="I26" s="53">
        <v>0</v>
      </c>
      <c r="J26" s="53">
        <v>0</v>
      </c>
      <c r="K26" s="108">
        <f t="shared" si="6"/>
        <v>0.5</v>
      </c>
    </row>
    <row r="27" spans="1:11" x14ac:dyDescent="0.25">
      <c r="A27">
        <v>6</v>
      </c>
      <c r="B27">
        <v>0.5</v>
      </c>
      <c r="C27" t="s">
        <v>9</v>
      </c>
      <c r="D27" s="224">
        <v>3.5</v>
      </c>
      <c r="E27" s="53">
        <v>4.5</v>
      </c>
      <c r="F27" s="53">
        <v>5.5</v>
      </c>
      <c r="G27" s="108">
        <v>6.5</v>
      </c>
      <c r="H27" s="224">
        <f t="shared" si="5"/>
        <v>4</v>
      </c>
      <c r="I27" s="53">
        <v>4.5</v>
      </c>
      <c r="J27" s="53">
        <v>5.5</v>
      </c>
      <c r="K27" s="108">
        <f t="shared" si="6"/>
        <v>6</v>
      </c>
    </row>
    <row r="28" spans="1:11" x14ac:dyDescent="0.25">
      <c r="A28">
        <v>7</v>
      </c>
      <c r="B28">
        <v>0.5</v>
      </c>
      <c r="C28" t="s">
        <v>10</v>
      </c>
      <c r="D28" s="224">
        <v>0.5</v>
      </c>
      <c r="E28" s="53">
        <v>1.5</v>
      </c>
      <c r="F28" s="53">
        <v>2.5</v>
      </c>
      <c r="G28" s="108">
        <v>3.5</v>
      </c>
      <c r="H28" s="224">
        <f t="shared" si="5"/>
        <v>1</v>
      </c>
      <c r="I28" s="53">
        <v>1.5</v>
      </c>
      <c r="J28" s="53">
        <v>2.5</v>
      </c>
      <c r="K28" s="108">
        <f t="shared" si="6"/>
        <v>3</v>
      </c>
    </row>
    <row r="29" spans="1:11" x14ac:dyDescent="0.25">
      <c r="A29">
        <v>8</v>
      </c>
      <c r="B29">
        <v>2</v>
      </c>
      <c r="C29" t="s">
        <v>11</v>
      </c>
      <c r="D29" s="224">
        <v>0</v>
      </c>
      <c r="E29" s="53">
        <v>0</v>
      </c>
      <c r="F29" s="53">
        <v>0</v>
      </c>
      <c r="G29" s="108">
        <v>1</v>
      </c>
      <c r="H29" s="224">
        <v>0</v>
      </c>
      <c r="I29" s="53">
        <v>0</v>
      </c>
      <c r="J29" s="53">
        <v>0</v>
      </c>
      <c r="K29" s="108">
        <f t="shared" si="6"/>
        <v>0.5</v>
      </c>
    </row>
    <row r="30" spans="1:11" x14ac:dyDescent="0.25">
      <c r="A30">
        <v>9</v>
      </c>
      <c r="B30">
        <v>1</v>
      </c>
      <c r="C30" t="s">
        <v>12</v>
      </c>
      <c r="D30" s="224">
        <v>2.5</v>
      </c>
      <c r="E30" s="53">
        <v>3.5</v>
      </c>
      <c r="F30" s="53">
        <v>4.5</v>
      </c>
      <c r="G30" s="108">
        <v>5.5</v>
      </c>
      <c r="H30" s="224">
        <f t="shared" si="5"/>
        <v>3</v>
      </c>
      <c r="I30" s="53">
        <v>3.5</v>
      </c>
      <c r="J30" s="53">
        <v>4.5</v>
      </c>
      <c r="K30" s="108">
        <f t="shared" si="6"/>
        <v>5</v>
      </c>
    </row>
    <row r="31" spans="1:11" x14ac:dyDescent="0.25">
      <c r="A31">
        <v>10</v>
      </c>
      <c r="B31">
        <v>1</v>
      </c>
      <c r="C31" t="s">
        <v>13</v>
      </c>
      <c r="D31" s="224">
        <v>3.5</v>
      </c>
      <c r="E31" s="53">
        <v>4.5</v>
      </c>
      <c r="F31" s="53">
        <v>5.5</v>
      </c>
      <c r="G31" s="108">
        <v>6.5</v>
      </c>
      <c r="H31" s="224">
        <f t="shared" si="5"/>
        <v>4</v>
      </c>
      <c r="I31" s="53">
        <v>4.5</v>
      </c>
      <c r="J31" s="53">
        <v>5.5</v>
      </c>
      <c r="K31" s="108">
        <f t="shared" si="6"/>
        <v>6</v>
      </c>
    </row>
    <row r="32" spans="1:11" x14ac:dyDescent="0.25">
      <c r="A32">
        <v>11</v>
      </c>
      <c r="B32">
        <v>1</v>
      </c>
      <c r="C32" t="s">
        <v>14</v>
      </c>
      <c r="D32" s="224">
        <v>1.5</v>
      </c>
      <c r="E32" s="53">
        <v>2.5</v>
      </c>
      <c r="F32" s="53">
        <v>3.5</v>
      </c>
      <c r="G32" s="108">
        <v>4.5</v>
      </c>
      <c r="H32" s="224">
        <f t="shared" si="5"/>
        <v>2</v>
      </c>
      <c r="I32" s="53">
        <v>2.5</v>
      </c>
      <c r="J32" s="53">
        <v>3.5</v>
      </c>
      <c r="K32" s="108">
        <f t="shared" si="6"/>
        <v>4</v>
      </c>
    </row>
    <row r="33" spans="1:11" x14ac:dyDescent="0.25">
      <c r="A33">
        <v>12</v>
      </c>
      <c r="B33">
        <v>1</v>
      </c>
      <c r="C33" t="s">
        <v>15</v>
      </c>
      <c r="D33" s="224">
        <v>3.5</v>
      </c>
      <c r="E33" s="53">
        <v>4.5</v>
      </c>
      <c r="F33" s="53">
        <v>5.5</v>
      </c>
      <c r="G33" s="108">
        <v>6.5</v>
      </c>
      <c r="H33" s="224">
        <f t="shared" si="5"/>
        <v>4</v>
      </c>
      <c r="I33" s="53">
        <v>4.5</v>
      </c>
      <c r="J33" s="53">
        <v>5.5</v>
      </c>
      <c r="K33" s="108">
        <f t="shared" si="6"/>
        <v>6</v>
      </c>
    </row>
    <row r="34" spans="1:11" ht="15.75" thickBot="1" x14ac:dyDescent="0.3">
      <c r="A34">
        <v>13</v>
      </c>
      <c r="B34">
        <v>1</v>
      </c>
      <c r="C34" t="s">
        <v>16</v>
      </c>
      <c r="D34" s="227">
        <v>0</v>
      </c>
      <c r="E34" s="228">
        <v>0.5</v>
      </c>
      <c r="F34" s="228">
        <v>1.5</v>
      </c>
      <c r="G34" s="109">
        <v>2.5</v>
      </c>
      <c r="H34" s="227">
        <v>0</v>
      </c>
      <c r="I34" s="228">
        <v>0.5</v>
      </c>
      <c r="J34" s="228">
        <v>1.5</v>
      </c>
      <c r="K34" s="109">
        <f t="shared" si="6"/>
        <v>2</v>
      </c>
    </row>
    <row r="35" spans="1:11" x14ac:dyDescent="0.25">
      <c r="D35" s="3">
        <f>$B22*D22</f>
        <v>5</v>
      </c>
      <c r="E35" s="4">
        <f t="shared" ref="E35:K35" si="7">$B22*E22</f>
        <v>7</v>
      </c>
      <c r="F35" s="4">
        <f t="shared" si="7"/>
        <v>9</v>
      </c>
      <c r="G35" s="5">
        <f t="shared" si="7"/>
        <v>11</v>
      </c>
      <c r="H35" s="3">
        <f t="shared" si="7"/>
        <v>6</v>
      </c>
      <c r="I35" s="4">
        <f t="shared" si="7"/>
        <v>7</v>
      </c>
      <c r="J35" s="4">
        <f t="shared" si="7"/>
        <v>9</v>
      </c>
      <c r="K35" s="5">
        <f t="shared" si="7"/>
        <v>10</v>
      </c>
    </row>
    <row r="36" spans="1:11" x14ac:dyDescent="0.25">
      <c r="D36" s="6">
        <f t="shared" ref="D36:K36" si="8">$B23*D23</f>
        <v>1.5</v>
      </c>
      <c r="E36">
        <f t="shared" si="8"/>
        <v>2.5</v>
      </c>
      <c r="F36">
        <f t="shared" si="8"/>
        <v>3.5</v>
      </c>
      <c r="G36" s="7">
        <f t="shared" si="8"/>
        <v>4.5</v>
      </c>
      <c r="H36" s="6">
        <f t="shared" si="8"/>
        <v>2</v>
      </c>
      <c r="I36">
        <f t="shared" si="8"/>
        <v>2.5</v>
      </c>
      <c r="J36">
        <f t="shared" si="8"/>
        <v>3.5</v>
      </c>
      <c r="K36" s="7">
        <f t="shared" si="8"/>
        <v>4</v>
      </c>
    </row>
    <row r="37" spans="1:11" x14ac:dyDescent="0.25">
      <c r="D37" s="6">
        <f t="shared" ref="D37:K37" si="9">$B24*D24</f>
        <v>3.5</v>
      </c>
      <c r="E37">
        <f t="shared" si="9"/>
        <v>4.5</v>
      </c>
      <c r="F37">
        <f t="shared" si="9"/>
        <v>5.5</v>
      </c>
      <c r="G37" s="7">
        <f t="shared" si="9"/>
        <v>6.5</v>
      </c>
      <c r="H37" s="6">
        <f t="shared" si="9"/>
        <v>4</v>
      </c>
      <c r="I37">
        <f t="shared" si="9"/>
        <v>4.5</v>
      </c>
      <c r="J37">
        <f t="shared" si="9"/>
        <v>5.5</v>
      </c>
      <c r="K37" s="7">
        <f t="shared" si="9"/>
        <v>6</v>
      </c>
    </row>
    <row r="38" spans="1:11" x14ac:dyDescent="0.25">
      <c r="D38" s="6">
        <f t="shared" ref="D38:K38" si="10">$B25*D25</f>
        <v>0</v>
      </c>
      <c r="E38">
        <f t="shared" si="10"/>
        <v>0.5</v>
      </c>
      <c r="F38">
        <f t="shared" si="10"/>
        <v>1.5</v>
      </c>
      <c r="G38" s="7">
        <f t="shared" si="10"/>
        <v>2.5</v>
      </c>
      <c r="H38" s="6">
        <f t="shared" si="10"/>
        <v>0</v>
      </c>
      <c r="I38">
        <f t="shared" si="10"/>
        <v>0.5</v>
      </c>
      <c r="J38">
        <f t="shared" si="10"/>
        <v>1.5</v>
      </c>
      <c r="K38" s="7">
        <f t="shared" si="10"/>
        <v>2</v>
      </c>
    </row>
    <row r="39" spans="1:11" x14ac:dyDescent="0.25">
      <c r="D39" s="6">
        <f t="shared" ref="D39:K39" si="11">$B26*D26</f>
        <v>0</v>
      </c>
      <c r="E39">
        <f t="shared" si="11"/>
        <v>0</v>
      </c>
      <c r="F39">
        <f t="shared" si="11"/>
        <v>0</v>
      </c>
      <c r="G39" s="7">
        <f t="shared" si="11"/>
        <v>1</v>
      </c>
      <c r="H39" s="6">
        <f t="shared" si="11"/>
        <v>0</v>
      </c>
      <c r="I39">
        <f t="shared" si="11"/>
        <v>0</v>
      </c>
      <c r="J39">
        <f t="shared" si="11"/>
        <v>0</v>
      </c>
      <c r="K39" s="7">
        <f t="shared" si="11"/>
        <v>0.5</v>
      </c>
    </row>
    <row r="40" spans="1:11" x14ac:dyDescent="0.25">
      <c r="D40" s="6">
        <f t="shared" ref="D40:K40" si="12">$B27*D27</f>
        <v>1.75</v>
      </c>
      <c r="E40">
        <f t="shared" si="12"/>
        <v>2.25</v>
      </c>
      <c r="F40">
        <f t="shared" si="12"/>
        <v>2.75</v>
      </c>
      <c r="G40" s="7">
        <f t="shared" si="12"/>
        <v>3.25</v>
      </c>
      <c r="H40" s="6">
        <f t="shared" si="12"/>
        <v>2</v>
      </c>
      <c r="I40">
        <f t="shared" si="12"/>
        <v>2.25</v>
      </c>
      <c r="J40">
        <f t="shared" si="12"/>
        <v>2.75</v>
      </c>
      <c r="K40" s="7">
        <f t="shared" si="12"/>
        <v>3</v>
      </c>
    </row>
    <row r="41" spans="1:11" x14ac:dyDescent="0.25">
      <c r="D41" s="6">
        <f t="shared" ref="D41:K41" si="13">$B28*D28</f>
        <v>0.25</v>
      </c>
      <c r="E41">
        <f t="shared" si="13"/>
        <v>0.75</v>
      </c>
      <c r="F41">
        <f t="shared" si="13"/>
        <v>1.25</v>
      </c>
      <c r="G41" s="7">
        <f t="shared" si="13"/>
        <v>1.75</v>
      </c>
      <c r="H41" s="6">
        <f t="shared" si="13"/>
        <v>0.5</v>
      </c>
      <c r="I41">
        <f t="shared" si="13"/>
        <v>0.75</v>
      </c>
      <c r="J41">
        <f t="shared" si="13"/>
        <v>1.25</v>
      </c>
      <c r="K41" s="7">
        <f t="shared" si="13"/>
        <v>1.5</v>
      </c>
    </row>
    <row r="42" spans="1:11" x14ac:dyDescent="0.25">
      <c r="D42" s="6">
        <f t="shared" ref="D42:K42" si="14">$B29*D29</f>
        <v>0</v>
      </c>
      <c r="E42">
        <f t="shared" si="14"/>
        <v>0</v>
      </c>
      <c r="F42">
        <f t="shared" si="14"/>
        <v>0</v>
      </c>
      <c r="G42" s="7">
        <f t="shared" si="14"/>
        <v>2</v>
      </c>
      <c r="H42" s="6">
        <f t="shared" si="14"/>
        <v>0</v>
      </c>
      <c r="I42">
        <f t="shared" si="14"/>
        <v>0</v>
      </c>
      <c r="J42">
        <f t="shared" si="14"/>
        <v>0</v>
      </c>
      <c r="K42" s="7">
        <f t="shared" si="14"/>
        <v>1</v>
      </c>
    </row>
    <row r="43" spans="1:11" x14ac:dyDescent="0.25">
      <c r="D43" s="6">
        <f t="shared" ref="D43:K43" si="15">$B30*D30</f>
        <v>2.5</v>
      </c>
      <c r="E43">
        <f t="shared" si="15"/>
        <v>3.5</v>
      </c>
      <c r="F43">
        <f t="shared" si="15"/>
        <v>4.5</v>
      </c>
      <c r="G43" s="7">
        <f t="shared" si="15"/>
        <v>5.5</v>
      </c>
      <c r="H43" s="6">
        <f t="shared" si="15"/>
        <v>3</v>
      </c>
      <c r="I43">
        <f t="shared" si="15"/>
        <v>3.5</v>
      </c>
      <c r="J43">
        <f t="shared" si="15"/>
        <v>4.5</v>
      </c>
      <c r="K43" s="7">
        <f t="shared" si="15"/>
        <v>5</v>
      </c>
    </row>
    <row r="44" spans="1:11" x14ac:dyDescent="0.25">
      <c r="D44" s="6">
        <f t="shared" ref="D44:K44" si="16">$B31*D31</f>
        <v>3.5</v>
      </c>
      <c r="E44">
        <f t="shared" si="16"/>
        <v>4.5</v>
      </c>
      <c r="F44">
        <f t="shared" si="16"/>
        <v>5.5</v>
      </c>
      <c r="G44" s="7">
        <f t="shared" si="16"/>
        <v>6.5</v>
      </c>
      <c r="H44" s="6">
        <f t="shared" si="16"/>
        <v>4</v>
      </c>
      <c r="I44">
        <f t="shared" si="16"/>
        <v>4.5</v>
      </c>
      <c r="J44">
        <f t="shared" si="16"/>
        <v>5.5</v>
      </c>
      <c r="K44" s="7">
        <f t="shared" si="16"/>
        <v>6</v>
      </c>
    </row>
    <row r="45" spans="1:11" x14ac:dyDescent="0.25">
      <c r="D45" s="6">
        <f t="shared" ref="D45:K45" si="17">$B32*D32</f>
        <v>1.5</v>
      </c>
      <c r="E45">
        <f t="shared" si="17"/>
        <v>2.5</v>
      </c>
      <c r="F45">
        <f t="shared" si="17"/>
        <v>3.5</v>
      </c>
      <c r="G45" s="7">
        <f t="shared" si="17"/>
        <v>4.5</v>
      </c>
      <c r="H45" s="6">
        <f t="shared" si="17"/>
        <v>2</v>
      </c>
      <c r="I45">
        <f t="shared" si="17"/>
        <v>2.5</v>
      </c>
      <c r="J45">
        <f t="shared" si="17"/>
        <v>3.5</v>
      </c>
      <c r="K45" s="7">
        <f t="shared" si="17"/>
        <v>4</v>
      </c>
    </row>
    <row r="46" spans="1:11" x14ac:dyDescent="0.25">
      <c r="D46" s="6">
        <f t="shared" ref="D46:K47" si="18">$B33*D33</f>
        <v>3.5</v>
      </c>
      <c r="E46">
        <f t="shared" si="18"/>
        <v>4.5</v>
      </c>
      <c r="F46">
        <f t="shared" si="18"/>
        <v>5.5</v>
      </c>
      <c r="G46" s="7">
        <f t="shared" si="18"/>
        <v>6.5</v>
      </c>
      <c r="H46" s="6">
        <f t="shared" si="18"/>
        <v>4</v>
      </c>
      <c r="I46">
        <f t="shared" si="18"/>
        <v>4.5</v>
      </c>
      <c r="J46">
        <f t="shared" si="18"/>
        <v>5.5</v>
      </c>
      <c r="K46" s="7">
        <f t="shared" si="18"/>
        <v>6</v>
      </c>
    </row>
    <row r="47" spans="1:11" ht="15.75" thickBot="1" x14ac:dyDescent="0.3">
      <c r="D47" s="6">
        <f t="shared" si="18"/>
        <v>0</v>
      </c>
      <c r="E47">
        <f t="shared" si="18"/>
        <v>0.5</v>
      </c>
      <c r="F47">
        <f t="shared" si="18"/>
        <v>1.5</v>
      </c>
      <c r="G47" s="7">
        <f t="shared" si="18"/>
        <v>2.5</v>
      </c>
      <c r="H47" s="6">
        <f t="shared" si="18"/>
        <v>0</v>
      </c>
      <c r="I47">
        <f t="shared" si="18"/>
        <v>0.5</v>
      </c>
      <c r="J47">
        <f t="shared" si="18"/>
        <v>1.5</v>
      </c>
      <c r="K47" s="7">
        <f t="shared" si="18"/>
        <v>2</v>
      </c>
    </row>
    <row r="48" spans="1:11" ht="15.75" thickBot="1" x14ac:dyDescent="0.3">
      <c r="C48" s="1" t="s">
        <v>190</v>
      </c>
      <c r="D48" s="211">
        <f>SUM(D35:D47)</f>
        <v>23</v>
      </c>
      <c r="E48" s="212">
        <f>SUM(E35:E47)</f>
        <v>33</v>
      </c>
      <c r="F48" s="212">
        <f>SUM(F35:F47)</f>
        <v>44</v>
      </c>
      <c r="G48" s="213">
        <f>SUM(G35:G47)</f>
        <v>58</v>
      </c>
      <c r="H48" s="212">
        <f>SUM(H35:H47)</f>
        <v>27.5</v>
      </c>
      <c r="I48" s="212">
        <f t="shared" ref="I48:K48" si="19">SUM(I35:I47)</f>
        <v>33</v>
      </c>
      <c r="J48" s="212">
        <f t="shared" si="19"/>
        <v>44</v>
      </c>
      <c r="K48" s="213">
        <f t="shared" si="19"/>
        <v>51</v>
      </c>
    </row>
    <row r="50" spans="1:11" ht="15.75" thickBot="1" x14ac:dyDescent="0.3">
      <c r="B50" s="1" t="s">
        <v>176</v>
      </c>
    </row>
    <row r="51" spans="1:11" ht="15.75" thickBot="1" x14ac:dyDescent="0.3">
      <c r="B51">
        <v>0.6</v>
      </c>
      <c r="C51">
        <v>0.01</v>
      </c>
      <c r="D51" s="234">
        <f>$C51*D48+$B51</f>
        <v>0.83</v>
      </c>
      <c r="E51" s="233">
        <f t="shared" ref="E51:K51" si="20">$C51*E48+$B51</f>
        <v>0.92999999999999994</v>
      </c>
      <c r="F51" s="233">
        <f t="shared" si="20"/>
        <v>1.04</v>
      </c>
      <c r="G51" s="233">
        <f t="shared" si="20"/>
        <v>1.18</v>
      </c>
      <c r="H51" s="234">
        <f t="shared" si="20"/>
        <v>0.875</v>
      </c>
      <c r="I51" s="233">
        <f t="shared" si="20"/>
        <v>0.92999999999999994</v>
      </c>
      <c r="J51" s="233">
        <f t="shared" si="20"/>
        <v>1.04</v>
      </c>
      <c r="K51" s="235">
        <f t="shared" si="20"/>
        <v>1.1099999999999999</v>
      </c>
    </row>
    <row r="53" spans="1:11" x14ac:dyDescent="0.25">
      <c r="B53" s="1" t="s">
        <v>177</v>
      </c>
    </row>
    <row r="55" spans="1:11" ht="15.75" thickBot="1" x14ac:dyDescent="0.3">
      <c r="B55" t="s">
        <v>0</v>
      </c>
    </row>
    <row r="56" spans="1:11" x14ac:dyDescent="0.25">
      <c r="A56">
        <v>1</v>
      </c>
      <c r="B56" s="2">
        <v>1.5</v>
      </c>
      <c r="C56" t="s">
        <v>178</v>
      </c>
      <c r="D56" s="196">
        <v>2.5</v>
      </c>
      <c r="E56" s="197">
        <v>3.5</v>
      </c>
      <c r="F56" s="197">
        <v>4.5</v>
      </c>
      <c r="G56" s="106">
        <v>5.5</v>
      </c>
      <c r="H56" s="196">
        <f>D56+0.5</f>
        <v>3</v>
      </c>
      <c r="I56" s="197">
        <f>E56</f>
        <v>3.5</v>
      </c>
      <c r="J56" s="197">
        <f>F56</f>
        <v>4.5</v>
      </c>
      <c r="K56" s="106">
        <f>G56-0.5</f>
        <v>5</v>
      </c>
    </row>
    <row r="57" spans="1:11" x14ac:dyDescent="0.25">
      <c r="A57">
        <v>2</v>
      </c>
      <c r="B57" s="2">
        <v>0.5</v>
      </c>
      <c r="C57" t="s">
        <v>179</v>
      </c>
      <c r="D57" s="224">
        <v>1.5</v>
      </c>
      <c r="E57" s="53">
        <v>2.5</v>
      </c>
      <c r="F57" s="53">
        <v>3.5</v>
      </c>
      <c r="G57" s="108">
        <v>4.5</v>
      </c>
      <c r="H57" s="224">
        <f t="shared" ref="H57:H62" si="21">D57+0.5</f>
        <v>2</v>
      </c>
      <c r="I57" s="53">
        <f t="shared" ref="I57:J63" si="22">E57</f>
        <v>2.5</v>
      </c>
      <c r="J57" s="53">
        <f t="shared" si="22"/>
        <v>3.5</v>
      </c>
      <c r="K57" s="108">
        <f t="shared" ref="K57:K63" si="23">G57-0.5</f>
        <v>4</v>
      </c>
    </row>
    <row r="58" spans="1:11" x14ac:dyDescent="0.25">
      <c r="A58">
        <v>3</v>
      </c>
      <c r="B58" s="2">
        <v>1</v>
      </c>
      <c r="C58" t="s">
        <v>180</v>
      </c>
      <c r="D58" s="224">
        <v>3.5</v>
      </c>
      <c r="E58" s="53">
        <v>4.5</v>
      </c>
      <c r="F58" s="53">
        <v>5.5</v>
      </c>
      <c r="G58" s="108">
        <v>6.5</v>
      </c>
      <c r="H58" s="224">
        <f t="shared" si="21"/>
        <v>4</v>
      </c>
      <c r="I58" s="53">
        <f t="shared" si="22"/>
        <v>4.5</v>
      </c>
      <c r="J58" s="53">
        <f t="shared" si="22"/>
        <v>5.5</v>
      </c>
      <c r="K58" s="108">
        <f t="shared" si="23"/>
        <v>6</v>
      </c>
    </row>
    <row r="59" spans="1:11" x14ac:dyDescent="0.25">
      <c r="A59">
        <v>4</v>
      </c>
      <c r="B59" s="2">
        <v>0.5</v>
      </c>
      <c r="C59" t="s">
        <v>181</v>
      </c>
      <c r="D59" s="224">
        <v>0</v>
      </c>
      <c r="E59" s="53">
        <v>0.5</v>
      </c>
      <c r="F59" s="53">
        <v>1.5</v>
      </c>
      <c r="G59" s="108">
        <v>2.5</v>
      </c>
      <c r="H59" s="224">
        <v>0</v>
      </c>
      <c r="I59" s="53">
        <f t="shared" si="22"/>
        <v>0.5</v>
      </c>
      <c r="J59" s="53">
        <f t="shared" si="22"/>
        <v>1.5</v>
      </c>
      <c r="K59" s="108">
        <f t="shared" si="23"/>
        <v>2</v>
      </c>
    </row>
    <row r="60" spans="1:11" x14ac:dyDescent="0.25">
      <c r="A60">
        <v>5</v>
      </c>
      <c r="B60" s="2">
        <v>1</v>
      </c>
      <c r="C60" t="s">
        <v>182</v>
      </c>
      <c r="D60" s="224">
        <v>0</v>
      </c>
      <c r="E60" s="53">
        <v>0</v>
      </c>
      <c r="F60" s="53">
        <v>0</v>
      </c>
      <c r="G60" s="108">
        <v>1</v>
      </c>
      <c r="H60" s="224">
        <v>0</v>
      </c>
      <c r="I60" s="53">
        <f t="shared" si="22"/>
        <v>0</v>
      </c>
      <c r="J60" s="53">
        <f t="shared" si="22"/>
        <v>0</v>
      </c>
      <c r="K60" s="108">
        <f t="shared" si="23"/>
        <v>0.5</v>
      </c>
    </row>
    <row r="61" spans="1:11" x14ac:dyDescent="0.25">
      <c r="A61">
        <v>6</v>
      </c>
      <c r="B61" s="2">
        <v>2</v>
      </c>
      <c r="C61" t="s">
        <v>183</v>
      </c>
      <c r="D61" s="224">
        <v>3.5</v>
      </c>
      <c r="E61" s="53">
        <v>4.5</v>
      </c>
      <c r="F61" s="53">
        <v>5.5</v>
      </c>
      <c r="G61" s="108">
        <v>6.5</v>
      </c>
      <c r="H61" s="224">
        <f t="shared" si="21"/>
        <v>4</v>
      </c>
      <c r="I61" s="53">
        <f t="shared" si="22"/>
        <v>4.5</v>
      </c>
      <c r="J61" s="53">
        <f t="shared" si="22"/>
        <v>5.5</v>
      </c>
      <c r="K61" s="108">
        <f t="shared" si="23"/>
        <v>6</v>
      </c>
    </row>
    <row r="62" spans="1:11" x14ac:dyDescent="0.25">
      <c r="A62">
        <v>7</v>
      </c>
      <c r="B62" s="2">
        <v>-1</v>
      </c>
      <c r="C62" t="s">
        <v>184</v>
      </c>
      <c r="D62" s="224">
        <v>3.5</v>
      </c>
      <c r="E62" s="53">
        <v>4.5</v>
      </c>
      <c r="F62" s="53">
        <v>5.5</v>
      </c>
      <c r="G62" s="108">
        <v>6.5</v>
      </c>
      <c r="H62" s="224">
        <f t="shared" si="21"/>
        <v>4</v>
      </c>
      <c r="I62" s="53">
        <f t="shared" si="22"/>
        <v>4.5</v>
      </c>
      <c r="J62" s="53">
        <f t="shared" si="22"/>
        <v>5.5</v>
      </c>
      <c r="K62" s="108">
        <f t="shared" si="23"/>
        <v>6</v>
      </c>
    </row>
    <row r="63" spans="1:11" ht="15.75" thickBot="1" x14ac:dyDescent="0.3">
      <c r="A63">
        <v>8</v>
      </c>
      <c r="B63" s="2">
        <v>-1</v>
      </c>
      <c r="C63" t="s">
        <v>185</v>
      </c>
      <c r="D63" s="227">
        <v>0</v>
      </c>
      <c r="E63" s="228">
        <v>0</v>
      </c>
      <c r="F63" s="228">
        <v>0</v>
      </c>
      <c r="G63" s="109">
        <v>1</v>
      </c>
      <c r="H63" s="227">
        <v>0</v>
      </c>
      <c r="I63" s="228">
        <f t="shared" si="22"/>
        <v>0</v>
      </c>
      <c r="J63" s="228">
        <f t="shared" si="22"/>
        <v>0</v>
      </c>
      <c r="K63" s="109">
        <f t="shared" si="23"/>
        <v>0.5</v>
      </c>
    </row>
    <row r="64" spans="1:11" x14ac:dyDescent="0.25">
      <c r="B64" s="2"/>
      <c r="D64" s="3">
        <f>D56*$B56</f>
        <v>3.75</v>
      </c>
      <c r="E64" s="4">
        <f t="shared" ref="E64:J64" si="24">E56*$B56</f>
        <v>5.25</v>
      </c>
      <c r="F64" s="4">
        <f t="shared" si="24"/>
        <v>6.75</v>
      </c>
      <c r="G64" s="5">
        <f t="shared" si="24"/>
        <v>8.25</v>
      </c>
      <c r="H64" s="3">
        <f t="shared" si="24"/>
        <v>4.5</v>
      </c>
      <c r="I64" s="4">
        <f t="shared" si="24"/>
        <v>5.25</v>
      </c>
      <c r="J64" s="4">
        <f t="shared" si="24"/>
        <v>6.75</v>
      </c>
      <c r="K64" s="5">
        <f>K56*$B56</f>
        <v>7.5</v>
      </c>
    </row>
    <row r="65" spans="2:11" x14ac:dyDescent="0.25">
      <c r="B65" s="2"/>
      <c r="D65" s="6">
        <f t="shared" ref="D65:K65" si="25">D57*$B57</f>
        <v>0.75</v>
      </c>
      <c r="E65">
        <f t="shared" si="25"/>
        <v>1.25</v>
      </c>
      <c r="F65">
        <f t="shared" si="25"/>
        <v>1.75</v>
      </c>
      <c r="G65" s="7">
        <f t="shared" si="25"/>
        <v>2.25</v>
      </c>
      <c r="H65" s="6">
        <f t="shared" si="25"/>
        <v>1</v>
      </c>
      <c r="I65">
        <f t="shared" si="25"/>
        <v>1.25</v>
      </c>
      <c r="J65">
        <f t="shared" si="25"/>
        <v>1.75</v>
      </c>
      <c r="K65" s="7">
        <f t="shared" si="25"/>
        <v>2</v>
      </c>
    </row>
    <row r="66" spans="2:11" x14ac:dyDescent="0.25">
      <c r="B66" s="2"/>
      <c r="D66" s="6">
        <f t="shared" ref="D66:K66" si="26">D58*$B58</f>
        <v>3.5</v>
      </c>
      <c r="E66">
        <f t="shared" si="26"/>
        <v>4.5</v>
      </c>
      <c r="F66">
        <f t="shared" si="26"/>
        <v>5.5</v>
      </c>
      <c r="G66" s="7">
        <f t="shared" si="26"/>
        <v>6.5</v>
      </c>
      <c r="H66" s="6">
        <f t="shared" si="26"/>
        <v>4</v>
      </c>
      <c r="I66">
        <f t="shared" si="26"/>
        <v>4.5</v>
      </c>
      <c r="J66">
        <f t="shared" si="26"/>
        <v>5.5</v>
      </c>
      <c r="K66" s="7">
        <f t="shared" si="26"/>
        <v>6</v>
      </c>
    </row>
    <row r="67" spans="2:11" x14ac:dyDescent="0.25">
      <c r="D67" s="6">
        <f t="shared" ref="D67:K67" si="27">D59*$B59</f>
        <v>0</v>
      </c>
      <c r="E67">
        <f t="shared" si="27"/>
        <v>0.25</v>
      </c>
      <c r="F67">
        <f t="shared" si="27"/>
        <v>0.75</v>
      </c>
      <c r="G67" s="7">
        <f t="shared" si="27"/>
        <v>1.25</v>
      </c>
      <c r="H67" s="6">
        <f t="shared" si="27"/>
        <v>0</v>
      </c>
      <c r="I67">
        <f t="shared" si="27"/>
        <v>0.25</v>
      </c>
      <c r="J67">
        <f t="shared" si="27"/>
        <v>0.75</v>
      </c>
      <c r="K67" s="7">
        <f t="shared" si="27"/>
        <v>1</v>
      </c>
    </row>
    <row r="68" spans="2:11" x14ac:dyDescent="0.25">
      <c r="D68" s="6">
        <f t="shared" ref="D68:K68" si="28">D60*$B60</f>
        <v>0</v>
      </c>
      <c r="E68">
        <f t="shared" si="28"/>
        <v>0</v>
      </c>
      <c r="F68">
        <f t="shared" si="28"/>
        <v>0</v>
      </c>
      <c r="G68" s="7">
        <f t="shared" si="28"/>
        <v>1</v>
      </c>
      <c r="H68" s="6">
        <f t="shared" si="28"/>
        <v>0</v>
      </c>
      <c r="I68">
        <f t="shared" si="28"/>
        <v>0</v>
      </c>
      <c r="J68">
        <f t="shared" si="28"/>
        <v>0</v>
      </c>
      <c r="K68" s="7">
        <f t="shared" si="28"/>
        <v>0.5</v>
      </c>
    </row>
    <row r="69" spans="2:11" x14ac:dyDescent="0.25">
      <c r="D69" s="6">
        <f>D61*$B61</f>
        <v>7</v>
      </c>
      <c r="E69">
        <f t="shared" ref="E69:K69" si="29">E61*$B61</f>
        <v>9</v>
      </c>
      <c r="F69">
        <f t="shared" si="29"/>
        <v>11</v>
      </c>
      <c r="G69" s="7">
        <f t="shared" si="29"/>
        <v>13</v>
      </c>
      <c r="H69" s="6">
        <f t="shared" si="29"/>
        <v>8</v>
      </c>
      <c r="I69">
        <f t="shared" si="29"/>
        <v>9</v>
      </c>
      <c r="J69">
        <f t="shared" si="29"/>
        <v>11</v>
      </c>
      <c r="K69" s="7">
        <f t="shared" si="29"/>
        <v>12</v>
      </c>
    </row>
    <row r="70" spans="2:11" x14ac:dyDescent="0.25">
      <c r="D70" s="11">
        <f>G62*B62</f>
        <v>-6.5</v>
      </c>
      <c r="E70" s="12">
        <f>F62*B62</f>
        <v>-5.5</v>
      </c>
      <c r="F70" s="12">
        <f>E62*B62</f>
        <v>-4.5</v>
      </c>
      <c r="G70" s="13">
        <f>D62*B62</f>
        <v>-3.5</v>
      </c>
      <c r="H70" s="11">
        <f>K62*B62</f>
        <v>-6</v>
      </c>
      <c r="I70" s="12">
        <f>J62*B62</f>
        <v>-5.5</v>
      </c>
      <c r="J70" s="12">
        <f>I62*B62</f>
        <v>-4.5</v>
      </c>
      <c r="K70" s="13">
        <f>H62*B62</f>
        <v>-4</v>
      </c>
    </row>
    <row r="71" spans="2:11" ht="15.75" thickBot="1" x14ac:dyDescent="0.3">
      <c r="D71" s="11">
        <f>G63*B63</f>
        <v>-1</v>
      </c>
      <c r="E71" s="12">
        <f>-F63*B63</f>
        <v>0</v>
      </c>
      <c r="F71" s="12">
        <f>E63*B63</f>
        <v>0</v>
      </c>
      <c r="G71" s="13">
        <f>D63*B63</f>
        <v>0</v>
      </c>
      <c r="H71" s="11">
        <f>K63*B63</f>
        <v>-0.5</v>
      </c>
      <c r="I71" s="12">
        <f>J63*B63</f>
        <v>0</v>
      </c>
      <c r="J71" s="12">
        <f>I63*B63</f>
        <v>0</v>
      </c>
      <c r="K71" s="13">
        <f>H63*B63</f>
        <v>0</v>
      </c>
    </row>
    <row r="72" spans="2:11" ht="15.75" thickBot="1" x14ac:dyDescent="0.3">
      <c r="C72" s="1" t="s">
        <v>191</v>
      </c>
      <c r="D72" s="15">
        <f>SUM(D64:D71)</f>
        <v>7.5</v>
      </c>
      <c r="E72" s="39">
        <f t="shared" ref="E72:K72" si="30">SUM(E64:E71)</f>
        <v>14.75</v>
      </c>
      <c r="F72" s="39">
        <f t="shared" si="30"/>
        <v>21.25</v>
      </c>
      <c r="G72" s="40">
        <f t="shared" si="30"/>
        <v>28.75</v>
      </c>
      <c r="H72" s="15">
        <f t="shared" si="30"/>
        <v>11</v>
      </c>
      <c r="I72" s="39">
        <f t="shared" si="30"/>
        <v>14.75</v>
      </c>
      <c r="J72" s="39">
        <f t="shared" si="30"/>
        <v>21.25</v>
      </c>
      <c r="K72" s="40">
        <f t="shared" si="30"/>
        <v>25</v>
      </c>
    </row>
    <row r="73" spans="2:11" x14ac:dyDescent="0.25">
      <c r="C73" s="1"/>
    </row>
    <row r="74" spans="2:11" ht="15.75" thickBot="1" x14ac:dyDescent="0.3">
      <c r="B74" s="1" t="s">
        <v>17</v>
      </c>
    </row>
    <row r="75" spans="2:11" ht="15.75" thickBot="1" x14ac:dyDescent="0.3">
      <c r="B75">
        <v>1.4</v>
      </c>
      <c r="C75">
        <v>-0.03</v>
      </c>
      <c r="D75" s="236">
        <f>G72*$C75+$B75</f>
        <v>0.53749999999999998</v>
      </c>
      <c r="E75" s="237">
        <f>F72*$C75+$B75</f>
        <v>0.76249999999999996</v>
      </c>
      <c r="F75" s="237">
        <f>E72*$C75+$B75</f>
        <v>0.95749999999999991</v>
      </c>
      <c r="G75" s="237">
        <f>D72*$C75+$B75</f>
        <v>1.1749999999999998</v>
      </c>
      <c r="H75" s="236">
        <f>K72*$C75+$B75</f>
        <v>0.64999999999999991</v>
      </c>
      <c r="I75" s="237">
        <f>J72*$C75+$B75</f>
        <v>0.76249999999999996</v>
      </c>
      <c r="J75" s="237">
        <f>I72*$C75+$B75</f>
        <v>0.95749999999999991</v>
      </c>
      <c r="K75" s="238">
        <f>H72*$C75+$B75</f>
        <v>1.0699999999999998</v>
      </c>
    </row>
    <row r="77" spans="2:11" x14ac:dyDescent="0.25">
      <c r="B77" s="1" t="s">
        <v>187</v>
      </c>
    </row>
    <row r="78" spans="2:11" ht="15.75" thickBot="1" x14ac:dyDescent="0.3"/>
    <row r="79" spans="2:11" ht="15.75" thickBot="1" x14ac:dyDescent="0.3">
      <c r="C79" s="1" t="s">
        <v>172</v>
      </c>
      <c r="D79" s="200">
        <f>D18</f>
        <v>74.5</v>
      </c>
      <c r="E79" s="201">
        <f t="shared" ref="E79:K79" si="31">E18</f>
        <v>81.5</v>
      </c>
      <c r="F79" s="201">
        <f t="shared" si="31"/>
        <v>88.5</v>
      </c>
      <c r="G79" s="201">
        <f t="shared" si="31"/>
        <v>95.5</v>
      </c>
      <c r="H79" s="200">
        <f t="shared" si="31"/>
        <v>78</v>
      </c>
      <c r="I79" s="201">
        <f t="shared" si="31"/>
        <v>81.5</v>
      </c>
      <c r="J79" s="201">
        <f t="shared" si="31"/>
        <v>88.5</v>
      </c>
      <c r="K79" s="202">
        <f t="shared" si="31"/>
        <v>92</v>
      </c>
    </row>
    <row r="80" spans="2:11" ht="15.75" thickBot="1" x14ac:dyDescent="0.3">
      <c r="C80" s="1" t="s">
        <v>192</v>
      </c>
      <c r="D80" s="239">
        <f>D51</f>
        <v>0.83</v>
      </c>
      <c r="E80" s="240">
        <f t="shared" ref="E80:K80" si="32">E51</f>
        <v>0.92999999999999994</v>
      </c>
      <c r="F80" s="240">
        <f t="shared" si="32"/>
        <v>1.04</v>
      </c>
      <c r="G80" s="240">
        <f t="shared" si="32"/>
        <v>1.18</v>
      </c>
      <c r="H80" s="239">
        <f t="shared" si="32"/>
        <v>0.875</v>
      </c>
      <c r="I80" s="240">
        <f t="shared" si="32"/>
        <v>0.92999999999999994</v>
      </c>
      <c r="J80" s="240">
        <f t="shared" si="32"/>
        <v>1.04</v>
      </c>
      <c r="K80" s="241">
        <f t="shared" si="32"/>
        <v>1.1099999999999999</v>
      </c>
    </row>
    <row r="81" spans="2:11" ht="15.75" thickBot="1" x14ac:dyDescent="0.3"/>
    <row r="82" spans="2:11" ht="15.75" thickBot="1" x14ac:dyDescent="0.3">
      <c r="C82" s="29" t="s">
        <v>193</v>
      </c>
      <c r="D82" s="242">
        <f>D79*E80+D80*E79-E82</f>
        <v>61.135000000000005</v>
      </c>
      <c r="E82" s="243">
        <f>E79*E80</f>
        <v>75.795000000000002</v>
      </c>
      <c r="F82" s="243">
        <f>F79*F80</f>
        <v>92.04</v>
      </c>
      <c r="G82" s="243">
        <f>F79*G80+F80*G79-F82</f>
        <v>111.71</v>
      </c>
      <c r="H82" s="242">
        <f>H79*I80+H80*I79-I82</f>
        <v>68.05749999999999</v>
      </c>
      <c r="I82" s="243">
        <f>I79*I80</f>
        <v>75.795000000000002</v>
      </c>
      <c r="J82" s="243">
        <f>J79*J80</f>
        <v>92.04</v>
      </c>
      <c r="K82" s="244">
        <f>J79*K80+J80*K79-J82</f>
        <v>101.87499999999999</v>
      </c>
    </row>
    <row r="83" spans="2:11" ht="15.75" thickBot="1" x14ac:dyDescent="0.3">
      <c r="C83" s="1" t="s">
        <v>194</v>
      </c>
      <c r="D83" s="200">
        <f>D75</f>
        <v>0.53749999999999998</v>
      </c>
      <c r="E83" s="201">
        <f t="shared" ref="E83:K83" si="33">E75</f>
        <v>0.76249999999999996</v>
      </c>
      <c r="F83" s="201">
        <f t="shared" si="33"/>
        <v>0.95749999999999991</v>
      </c>
      <c r="G83" s="201">
        <f t="shared" si="33"/>
        <v>1.1749999999999998</v>
      </c>
      <c r="H83" s="200">
        <f t="shared" si="33"/>
        <v>0.64999999999999991</v>
      </c>
      <c r="I83" s="201">
        <f t="shared" si="33"/>
        <v>0.76249999999999996</v>
      </c>
      <c r="J83" s="201">
        <f t="shared" si="33"/>
        <v>0.95749999999999991</v>
      </c>
      <c r="K83" s="202">
        <f t="shared" si="33"/>
        <v>1.0699999999999998</v>
      </c>
    </row>
    <row r="84" spans="2:11" ht="15.75" thickBot="1" x14ac:dyDescent="0.3"/>
    <row r="85" spans="2:11" ht="15.75" thickBot="1" x14ac:dyDescent="0.3">
      <c r="B85" s="1" t="s">
        <v>195</v>
      </c>
      <c r="D85" s="62">
        <f>D82*E83+D83*E82-E85</f>
        <v>29.561562500000001</v>
      </c>
      <c r="E85" s="63">
        <f>E82*E83</f>
        <v>57.793687499999997</v>
      </c>
      <c r="F85" s="63">
        <f>F82*F83</f>
        <v>88.128299999999996</v>
      </c>
      <c r="G85" s="63">
        <f>F82*G83+F83*G82-F85</f>
        <v>126.98102499999996</v>
      </c>
      <c r="H85" s="62">
        <f>H82*I83+H83*I82-I85</f>
        <v>43.366906249999978</v>
      </c>
      <c r="I85" s="63">
        <f>I82*I83</f>
        <v>57.793687499999997</v>
      </c>
      <c r="J85" s="63">
        <f>J82*J83</f>
        <v>88.128299999999996</v>
      </c>
      <c r="K85" s="218">
        <f>J82*K83+J83*K82-J85</f>
        <v>107.89981249999997</v>
      </c>
    </row>
    <row r="87" spans="2:11" ht="15.75" thickBot="1" x14ac:dyDescent="0.3">
      <c r="B87" s="1"/>
      <c r="D87" s="1" t="s">
        <v>18</v>
      </c>
      <c r="G87" s="1" t="s">
        <v>19</v>
      </c>
    </row>
    <row r="88" spans="2:11" ht="15.75" thickBot="1" x14ac:dyDescent="0.3">
      <c r="B88" s="1">
        <v>0.8</v>
      </c>
      <c r="C88" s="27"/>
      <c r="D88" s="41">
        <f>B88*E85+(1-B88)*D85</f>
        <v>52.147262499999997</v>
      </c>
      <c r="E88" s="42">
        <f>B88*F85+(1-B88)*G85</f>
        <v>95.898844999999994</v>
      </c>
      <c r="G88" s="41">
        <f>B88*I85+(1-B88)*H85</f>
        <v>54.908331249999989</v>
      </c>
      <c r="H88" s="42">
        <f>B88*J85+(1-B88)*K85</f>
        <v>92.082602499999993</v>
      </c>
    </row>
    <row r="89" spans="2:11" ht="15.75" thickBot="1" x14ac:dyDescent="0.3">
      <c r="B89" s="66"/>
      <c r="C89" s="27"/>
      <c r="D89" s="291">
        <f>(D88+E88)/2</f>
        <v>74.023053750000003</v>
      </c>
      <c r="F89" s="43"/>
      <c r="G89" s="291">
        <f>(G88+H88)/2</f>
        <v>73.495466874999991</v>
      </c>
    </row>
    <row r="90" spans="2:11" ht="15.75" thickBot="1" x14ac:dyDescent="0.3">
      <c r="C90" s="27" t="s">
        <v>200</v>
      </c>
      <c r="D90" s="181">
        <f>(D89+G89)/2</f>
        <v>73.759260312500004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5232-17C8-4994-A2D2-0A4169F796AA}">
  <dimension ref="A2:K53"/>
  <sheetViews>
    <sheetView workbookViewId="0">
      <selection activeCell="K41" sqref="K41"/>
    </sheetView>
  </sheetViews>
  <sheetFormatPr defaultRowHeight="15" x14ac:dyDescent="0.25"/>
  <cols>
    <col min="1" max="1" width="3.5703125" customWidth="1"/>
    <col min="2" max="2" width="30.85546875" customWidth="1"/>
    <col min="4" max="4" width="19" customWidth="1"/>
    <col min="5" max="5" width="16.5703125" customWidth="1"/>
    <col min="6" max="6" width="19.28515625" customWidth="1"/>
  </cols>
  <sheetData>
    <row r="2" spans="2:9" ht="18.75" x14ac:dyDescent="0.3">
      <c r="B2" s="20" t="s">
        <v>196</v>
      </c>
    </row>
    <row r="4" spans="2:9" x14ac:dyDescent="0.25">
      <c r="B4" s="1" t="s">
        <v>1</v>
      </c>
    </row>
    <row r="5" spans="2:9" ht="30" customHeight="1" thickBot="1" x14ac:dyDescent="0.3">
      <c r="C5" t="s">
        <v>167</v>
      </c>
      <c r="D5" s="86" t="s">
        <v>148</v>
      </c>
      <c r="E5" s="45" t="s">
        <v>149</v>
      </c>
      <c r="F5" s="45" t="s">
        <v>150</v>
      </c>
    </row>
    <row r="6" spans="2:9" x14ac:dyDescent="0.25">
      <c r="B6">
        <v>1</v>
      </c>
      <c r="C6" t="s">
        <v>168</v>
      </c>
      <c r="D6" s="219">
        <v>2</v>
      </c>
      <c r="E6" s="245">
        <v>0.4</v>
      </c>
      <c r="F6" s="257">
        <v>0.5</v>
      </c>
      <c r="G6" s="248">
        <f>B6*D6</f>
        <v>2</v>
      </c>
      <c r="H6" s="249">
        <f>(1-(1-E6)^$B6)</f>
        <v>0.4</v>
      </c>
      <c r="I6" s="250">
        <f>(1-(1-F6)^$B6)</f>
        <v>0.5</v>
      </c>
    </row>
    <row r="7" spans="2:9" x14ac:dyDescent="0.25">
      <c r="B7">
        <v>2</v>
      </c>
      <c r="C7" t="s">
        <v>169</v>
      </c>
      <c r="D7" s="220">
        <v>2</v>
      </c>
      <c r="E7" s="247">
        <v>0.4</v>
      </c>
      <c r="F7" s="35">
        <v>0.5</v>
      </c>
      <c r="G7" s="251">
        <f t="shared" ref="G7:G8" si="0">B7*D7</f>
        <v>4</v>
      </c>
      <c r="H7" s="252">
        <f t="shared" ref="H7:H8" si="1">(1-(1-E7)^$B7)</f>
        <v>0.64</v>
      </c>
      <c r="I7" s="253">
        <f t="shared" ref="I7:I8" si="2">(1-(1-F7)^$B7)</f>
        <v>0.75</v>
      </c>
    </row>
    <row r="8" spans="2:9" ht="15.75" thickBot="1" x14ac:dyDescent="0.3">
      <c r="B8">
        <v>3</v>
      </c>
      <c r="C8" t="s">
        <v>170</v>
      </c>
      <c r="D8" s="221">
        <v>3</v>
      </c>
      <c r="E8" s="51">
        <v>0.4</v>
      </c>
      <c r="F8" s="52">
        <v>0.5</v>
      </c>
      <c r="G8" s="254">
        <f t="shared" si="0"/>
        <v>9</v>
      </c>
      <c r="H8" s="255">
        <f t="shared" si="1"/>
        <v>0.78400000000000003</v>
      </c>
      <c r="I8" s="256">
        <f t="shared" si="2"/>
        <v>0.875</v>
      </c>
    </row>
    <row r="9" spans="2:9" ht="15.75" thickBot="1" x14ac:dyDescent="0.3">
      <c r="C9" s="1" t="s">
        <v>99</v>
      </c>
      <c r="D9" s="165">
        <f>B6*D6+B7*D7+B8*D8</f>
        <v>15</v>
      </c>
      <c r="E9" s="211">
        <v>0.95</v>
      </c>
      <c r="F9" s="212">
        <v>0.96</v>
      </c>
      <c r="G9" s="212">
        <v>0.97</v>
      </c>
      <c r="H9" s="212">
        <v>0.98</v>
      </c>
      <c r="I9" s="213">
        <v>0.99</v>
      </c>
    </row>
    <row r="11" spans="2:9" ht="30.75" customHeight="1" thickBot="1" x14ac:dyDescent="0.3">
      <c r="D11" s="86" t="s">
        <v>148</v>
      </c>
      <c r="E11" s="45" t="s">
        <v>149</v>
      </c>
      <c r="F11" s="45" t="s">
        <v>150</v>
      </c>
    </row>
    <row r="12" spans="2:9" ht="15.75" thickBot="1" x14ac:dyDescent="0.3">
      <c r="B12">
        <v>10</v>
      </c>
      <c r="C12" t="s">
        <v>171</v>
      </c>
      <c r="D12" s="222">
        <v>7</v>
      </c>
      <c r="E12" s="32">
        <v>0.8</v>
      </c>
      <c r="F12" s="34">
        <v>0.9</v>
      </c>
    </row>
    <row r="13" spans="2:9" ht="15.75" thickBot="1" x14ac:dyDescent="0.3">
      <c r="D13" s="222">
        <v>10</v>
      </c>
      <c r="E13" s="245">
        <v>0.9</v>
      </c>
      <c r="F13" s="246">
        <v>0.95</v>
      </c>
    </row>
    <row r="14" spans="2:9" ht="15.75" thickBot="1" x14ac:dyDescent="0.3">
      <c r="B14" s="1" t="s">
        <v>2</v>
      </c>
      <c r="C14" s="1" t="s">
        <v>173</v>
      </c>
      <c r="D14" s="165">
        <f>B12*D12</f>
        <v>70</v>
      </c>
      <c r="E14" s="203">
        <f>E12*E13</f>
        <v>0.72000000000000008</v>
      </c>
      <c r="F14" s="204">
        <f>+E12*F13</f>
        <v>0.76</v>
      </c>
      <c r="G14" s="204">
        <f>F12*E13</f>
        <v>0.81</v>
      </c>
      <c r="H14" s="205">
        <f>F12*F13</f>
        <v>0.85499999999999998</v>
      </c>
    </row>
    <row r="15" spans="2:9" ht="15.75" thickBot="1" x14ac:dyDescent="0.3">
      <c r="B15" s="1" t="s">
        <v>3</v>
      </c>
      <c r="C15" s="1" t="s">
        <v>172</v>
      </c>
      <c r="D15" s="225">
        <f>D9+D14</f>
        <v>85</v>
      </c>
      <c r="E15" s="233">
        <v>0.99</v>
      </c>
      <c r="F15" s="238">
        <v>1</v>
      </c>
    </row>
    <row r="17" spans="1:9" x14ac:dyDescent="0.25">
      <c r="B17" s="1" t="s">
        <v>174</v>
      </c>
    </row>
    <row r="18" spans="1:9" ht="32.25" customHeight="1" thickBot="1" x14ac:dyDescent="0.3">
      <c r="B18" t="s">
        <v>0</v>
      </c>
      <c r="D18" s="86" t="s">
        <v>148</v>
      </c>
      <c r="E18" s="45" t="s">
        <v>149</v>
      </c>
      <c r="F18" s="45" t="s">
        <v>150</v>
      </c>
    </row>
    <row r="19" spans="1:9" x14ac:dyDescent="0.25">
      <c r="A19">
        <v>1</v>
      </c>
      <c r="B19">
        <v>2</v>
      </c>
      <c r="C19" t="s">
        <v>4</v>
      </c>
      <c r="D19" s="169">
        <v>4</v>
      </c>
      <c r="E19" s="196">
        <v>0.4</v>
      </c>
      <c r="F19" s="106">
        <v>0.5</v>
      </c>
      <c r="G19" s="248">
        <f>B19*D19</f>
        <v>8</v>
      </c>
      <c r="H19" s="260">
        <f>(1-(1-E19)^$B19)</f>
        <v>0.64</v>
      </c>
      <c r="I19" s="261">
        <f>(1-(1-F19)^$B19)</f>
        <v>0.75</v>
      </c>
    </row>
    <row r="20" spans="1:9" x14ac:dyDescent="0.25">
      <c r="A20">
        <v>2</v>
      </c>
      <c r="B20">
        <v>1</v>
      </c>
      <c r="C20" t="s">
        <v>5</v>
      </c>
      <c r="D20" s="170">
        <v>3</v>
      </c>
      <c r="E20" s="224">
        <v>0.4</v>
      </c>
      <c r="F20" s="108">
        <v>0.5</v>
      </c>
      <c r="G20" s="258">
        <f t="shared" ref="G20" si="3">B20*D20</f>
        <v>3</v>
      </c>
      <c r="H20" s="262">
        <f t="shared" ref="H20" si="4">(1-(1-E20)^$B20)</f>
        <v>0.4</v>
      </c>
      <c r="I20" s="263">
        <f t="shared" ref="I20" si="5">(1-(1-F20)^$B20)</f>
        <v>0.5</v>
      </c>
    </row>
    <row r="21" spans="1:9" x14ac:dyDescent="0.25">
      <c r="A21">
        <v>3</v>
      </c>
      <c r="B21">
        <v>1</v>
      </c>
      <c r="C21" t="s">
        <v>6</v>
      </c>
      <c r="D21" s="170">
        <v>5</v>
      </c>
      <c r="E21" s="224">
        <v>0.4</v>
      </c>
      <c r="F21" s="108">
        <v>0.5</v>
      </c>
      <c r="G21" s="258">
        <f t="shared" ref="G21:G31" si="6">B21*D21</f>
        <v>5</v>
      </c>
      <c r="H21" s="262">
        <f t="shared" ref="H21:H31" si="7">(1-(1-E21)^$B21)</f>
        <v>0.4</v>
      </c>
      <c r="I21" s="263">
        <f t="shared" ref="I21:I31" si="8">(1-(1-F21)^$B21)</f>
        <v>0.5</v>
      </c>
    </row>
    <row r="22" spans="1:9" x14ac:dyDescent="0.25">
      <c r="A22">
        <v>4</v>
      </c>
      <c r="B22">
        <v>1</v>
      </c>
      <c r="C22" t="s">
        <v>7</v>
      </c>
      <c r="D22" s="170">
        <v>1</v>
      </c>
      <c r="E22" s="224">
        <v>0.4</v>
      </c>
      <c r="F22" s="108">
        <v>0.5</v>
      </c>
      <c r="G22" s="258">
        <f t="shared" si="6"/>
        <v>1</v>
      </c>
      <c r="H22" s="262">
        <f t="shared" si="7"/>
        <v>0.4</v>
      </c>
      <c r="I22" s="263">
        <f t="shared" si="8"/>
        <v>0.5</v>
      </c>
    </row>
    <row r="23" spans="1:9" x14ac:dyDescent="0.25">
      <c r="A23">
        <v>5</v>
      </c>
      <c r="B23">
        <v>1</v>
      </c>
      <c r="C23" t="s">
        <v>8</v>
      </c>
      <c r="D23" s="170">
        <v>0</v>
      </c>
      <c r="E23" s="224">
        <v>0.4</v>
      </c>
      <c r="F23" s="108">
        <v>0.5</v>
      </c>
      <c r="G23" s="258">
        <f t="shared" si="6"/>
        <v>0</v>
      </c>
      <c r="H23" s="262">
        <f t="shared" si="7"/>
        <v>0.4</v>
      </c>
      <c r="I23" s="263">
        <f t="shared" si="8"/>
        <v>0.5</v>
      </c>
    </row>
    <row r="24" spans="1:9" x14ac:dyDescent="0.25">
      <c r="A24">
        <v>6</v>
      </c>
      <c r="B24">
        <v>0.5</v>
      </c>
      <c r="C24" t="s">
        <v>9</v>
      </c>
      <c r="D24" s="170">
        <v>5</v>
      </c>
      <c r="E24" s="224">
        <v>0.4</v>
      </c>
      <c r="F24" s="108">
        <v>0.5</v>
      </c>
      <c r="G24" s="258">
        <f t="shared" si="6"/>
        <v>2.5</v>
      </c>
      <c r="H24" s="262">
        <f t="shared" si="7"/>
        <v>0.2254033307585166</v>
      </c>
      <c r="I24" s="263">
        <f t="shared" si="8"/>
        <v>0.29289321881345243</v>
      </c>
    </row>
    <row r="25" spans="1:9" x14ac:dyDescent="0.25">
      <c r="A25">
        <v>7</v>
      </c>
      <c r="B25">
        <v>0.5</v>
      </c>
      <c r="C25" t="s">
        <v>10</v>
      </c>
      <c r="D25" s="170">
        <v>2</v>
      </c>
      <c r="E25" s="224">
        <v>0.4</v>
      </c>
      <c r="F25" s="108">
        <v>0.5</v>
      </c>
      <c r="G25" s="258">
        <f t="shared" si="6"/>
        <v>1</v>
      </c>
      <c r="H25" s="262">
        <f t="shared" si="7"/>
        <v>0.2254033307585166</v>
      </c>
      <c r="I25" s="263">
        <f t="shared" si="8"/>
        <v>0.29289321881345243</v>
      </c>
    </row>
    <row r="26" spans="1:9" x14ac:dyDescent="0.25">
      <c r="A26">
        <v>8</v>
      </c>
      <c r="B26">
        <v>2</v>
      </c>
      <c r="C26" t="s">
        <v>11</v>
      </c>
      <c r="D26" s="170">
        <v>0</v>
      </c>
      <c r="E26" s="224">
        <v>0.4</v>
      </c>
      <c r="F26" s="108">
        <v>0.5</v>
      </c>
      <c r="G26" s="258">
        <f t="shared" si="6"/>
        <v>0</v>
      </c>
      <c r="H26" s="262">
        <f t="shared" si="7"/>
        <v>0.64</v>
      </c>
      <c r="I26" s="263">
        <f t="shared" si="8"/>
        <v>0.75</v>
      </c>
    </row>
    <row r="27" spans="1:9" x14ac:dyDescent="0.25">
      <c r="A27">
        <v>9</v>
      </c>
      <c r="B27">
        <v>1</v>
      </c>
      <c r="C27" t="s">
        <v>12</v>
      </c>
      <c r="D27" s="170">
        <v>4</v>
      </c>
      <c r="E27" s="224">
        <v>0.4</v>
      </c>
      <c r="F27" s="108">
        <v>0.5</v>
      </c>
      <c r="G27" s="258">
        <f t="shared" si="6"/>
        <v>4</v>
      </c>
      <c r="H27" s="262">
        <f t="shared" si="7"/>
        <v>0.4</v>
      </c>
      <c r="I27" s="263">
        <f t="shared" si="8"/>
        <v>0.5</v>
      </c>
    </row>
    <row r="28" spans="1:9" x14ac:dyDescent="0.25">
      <c r="A28">
        <v>10</v>
      </c>
      <c r="B28">
        <v>1</v>
      </c>
      <c r="C28" t="s">
        <v>13</v>
      </c>
      <c r="D28" s="170">
        <v>5</v>
      </c>
      <c r="E28" s="224">
        <v>0.4</v>
      </c>
      <c r="F28" s="108">
        <v>0.5</v>
      </c>
      <c r="G28" s="258">
        <f t="shared" si="6"/>
        <v>5</v>
      </c>
      <c r="H28" s="262">
        <f t="shared" si="7"/>
        <v>0.4</v>
      </c>
      <c r="I28" s="263">
        <f t="shared" si="8"/>
        <v>0.5</v>
      </c>
    </row>
    <row r="29" spans="1:9" x14ac:dyDescent="0.25">
      <c r="A29">
        <v>11</v>
      </c>
      <c r="B29">
        <v>1</v>
      </c>
      <c r="C29" t="s">
        <v>14</v>
      </c>
      <c r="D29" s="170">
        <v>3</v>
      </c>
      <c r="E29" s="224">
        <v>0.4</v>
      </c>
      <c r="F29" s="108">
        <v>0.5</v>
      </c>
      <c r="G29" s="258">
        <f t="shared" si="6"/>
        <v>3</v>
      </c>
      <c r="H29" s="262">
        <f t="shared" si="7"/>
        <v>0.4</v>
      </c>
      <c r="I29" s="263">
        <f t="shared" si="8"/>
        <v>0.5</v>
      </c>
    </row>
    <row r="30" spans="1:9" x14ac:dyDescent="0.25">
      <c r="A30">
        <v>12</v>
      </c>
      <c r="B30">
        <v>1</v>
      </c>
      <c r="C30" t="s">
        <v>15</v>
      </c>
      <c r="D30" s="170">
        <v>5</v>
      </c>
      <c r="E30" s="224">
        <v>0.4</v>
      </c>
      <c r="F30" s="108">
        <v>0.5</v>
      </c>
      <c r="G30" s="258">
        <f t="shared" si="6"/>
        <v>5</v>
      </c>
      <c r="H30" s="262">
        <f t="shared" si="7"/>
        <v>0.4</v>
      </c>
      <c r="I30" s="263">
        <f t="shared" si="8"/>
        <v>0.5</v>
      </c>
    </row>
    <row r="31" spans="1:9" ht="15.75" thickBot="1" x14ac:dyDescent="0.3">
      <c r="A31">
        <v>13</v>
      </c>
      <c r="B31">
        <v>1</v>
      </c>
      <c r="C31" t="s">
        <v>16</v>
      </c>
      <c r="D31" s="171">
        <v>1</v>
      </c>
      <c r="E31" s="227">
        <v>0.4</v>
      </c>
      <c r="F31" s="109">
        <v>0.5</v>
      </c>
      <c r="G31" s="259">
        <f t="shared" si="6"/>
        <v>1</v>
      </c>
      <c r="H31" s="264">
        <f t="shared" si="7"/>
        <v>0.4</v>
      </c>
      <c r="I31" s="265">
        <f t="shared" si="8"/>
        <v>0.5</v>
      </c>
    </row>
    <row r="32" spans="1:9" ht="15.75" thickBot="1" x14ac:dyDescent="0.3">
      <c r="C32" s="1" t="s">
        <v>175</v>
      </c>
      <c r="D32" s="165">
        <f>SUMPRODUCT(B19:B31,D19:D31)</f>
        <v>38.5</v>
      </c>
      <c r="E32" s="211">
        <v>0.99</v>
      </c>
      <c r="F32" s="215">
        <v>1</v>
      </c>
    </row>
    <row r="34" spans="1:10" ht="15.75" thickBot="1" x14ac:dyDescent="0.3">
      <c r="B34" s="1" t="s">
        <v>176</v>
      </c>
    </row>
    <row r="35" spans="1:10" ht="15.75" thickBot="1" x14ac:dyDescent="0.3">
      <c r="B35">
        <v>0.6</v>
      </c>
      <c r="C35">
        <v>0.01</v>
      </c>
      <c r="D35" s="225">
        <f>$C35*D32+$B35</f>
        <v>0.98499999999999999</v>
      </c>
      <c r="E35" s="234">
        <v>0.05</v>
      </c>
      <c r="F35" s="238">
        <v>1</v>
      </c>
    </row>
    <row r="37" spans="1:10" x14ac:dyDescent="0.25">
      <c r="B37" s="1" t="s">
        <v>177</v>
      </c>
    </row>
    <row r="39" spans="1:10" ht="29.25" customHeight="1" thickBot="1" x14ac:dyDescent="0.3">
      <c r="B39" t="s">
        <v>0</v>
      </c>
      <c r="D39" s="86" t="s">
        <v>148</v>
      </c>
      <c r="E39" s="45" t="s">
        <v>149</v>
      </c>
      <c r="F39" s="45" t="s">
        <v>150</v>
      </c>
    </row>
    <row r="40" spans="1:10" x14ac:dyDescent="0.25">
      <c r="A40">
        <v>1</v>
      </c>
      <c r="B40" s="2">
        <v>1.5</v>
      </c>
      <c r="C40" t="s">
        <v>178</v>
      </c>
      <c r="D40" s="169">
        <v>4</v>
      </c>
      <c r="E40" s="196">
        <v>0.5</v>
      </c>
      <c r="F40" s="106">
        <v>0.6</v>
      </c>
    </row>
    <row r="41" spans="1:10" x14ac:dyDescent="0.25">
      <c r="A41">
        <v>2</v>
      </c>
      <c r="B41" s="2">
        <v>0.5</v>
      </c>
      <c r="C41" t="s">
        <v>179</v>
      </c>
      <c r="D41" s="170">
        <v>3</v>
      </c>
      <c r="E41" s="224">
        <v>0.5</v>
      </c>
      <c r="F41" s="108">
        <v>0.6</v>
      </c>
    </row>
    <row r="42" spans="1:10" x14ac:dyDescent="0.25">
      <c r="A42">
        <v>3</v>
      </c>
      <c r="B42" s="2">
        <v>1</v>
      </c>
      <c r="C42" t="s">
        <v>180</v>
      </c>
      <c r="D42" s="170">
        <v>5</v>
      </c>
      <c r="E42" s="224">
        <v>0.5</v>
      </c>
      <c r="F42" s="108">
        <v>0.6</v>
      </c>
    </row>
    <row r="43" spans="1:10" x14ac:dyDescent="0.25">
      <c r="A43">
        <v>4</v>
      </c>
      <c r="B43" s="2">
        <v>0.5</v>
      </c>
      <c r="C43" t="s">
        <v>181</v>
      </c>
      <c r="D43" s="170">
        <v>1</v>
      </c>
      <c r="E43" s="224">
        <v>0.5</v>
      </c>
      <c r="F43" s="108">
        <v>0.6</v>
      </c>
    </row>
    <row r="44" spans="1:10" x14ac:dyDescent="0.25">
      <c r="A44">
        <v>5</v>
      </c>
      <c r="B44" s="2">
        <v>1</v>
      </c>
      <c r="C44" t="s">
        <v>182</v>
      </c>
      <c r="D44" s="170">
        <v>0</v>
      </c>
      <c r="E44" s="224">
        <v>0.5</v>
      </c>
      <c r="F44" s="108">
        <v>0.6</v>
      </c>
    </row>
    <row r="45" spans="1:10" x14ac:dyDescent="0.25">
      <c r="A45">
        <v>6</v>
      </c>
      <c r="B45" s="2">
        <v>2</v>
      </c>
      <c r="C45" t="s">
        <v>183</v>
      </c>
      <c r="D45" s="170">
        <v>5</v>
      </c>
      <c r="E45" s="224">
        <v>0.5</v>
      </c>
      <c r="F45" s="108">
        <v>0.6</v>
      </c>
    </row>
    <row r="46" spans="1:10" x14ac:dyDescent="0.25">
      <c r="A46">
        <v>7</v>
      </c>
      <c r="B46" s="2">
        <v>-1</v>
      </c>
      <c r="C46" t="s">
        <v>184</v>
      </c>
      <c r="D46" s="170">
        <v>5</v>
      </c>
      <c r="E46" s="224">
        <v>0.5</v>
      </c>
      <c r="F46" s="108">
        <v>0.6</v>
      </c>
    </row>
    <row r="47" spans="1:10" ht="15.75" thickBot="1" x14ac:dyDescent="0.3">
      <c r="A47">
        <v>8</v>
      </c>
      <c r="B47" s="2">
        <v>-1</v>
      </c>
      <c r="C47" t="s">
        <v>185</v>
      </c>
      <c r="D47" s="171">
        <v>0</v>
      </c>
      <c r="E47" s="224">
        <v>0.5</v>
      </c>
      <c r="F47" s="108">
        <v>0.6</v>
      </c>
    </row>
    <row r="48" spans="1:10" ht="15.75" thickBot="1" x14ac:dyDescent="0.3">
      <c r="C48" s="1" t="s">
        <v>186</v>
      </c>
      <c r="D48" s="223">
        <f>SUMPRODUCT(B40:B47,D40:D47)</f>
        <v>18</v>
      </c>
      <c r="E48" s="15">
        <v>0.92</v>
      </c>
      <c r="F48" s="39">
        <v>0.94</v>
      </c>
      <c r="G48" s="39">
        <v>0.95</v>
      </c>
      <c r="H48" s="39">
        <v>0.96</v>
      </c>
      <c r="I48" s="39">
        <v>0.97</v>
      </c>
      <c r="J48" s="40">
        <v>0.98</v>
      </c>
    </row>
    <row r="50" spans="2:11" ht="15.75" thickBot="1" x14ac:dyDescent="0.3">
      <c r="B50" s="1" t="s">
        <v>17</v>
      </c>
    </row>
    <row r="51" spans="2:11" ht="15.75" thickBot="1" x14ac:dyDescent="0.3">
      <c r="B51">
        <v>1.4</v>
      </c>
      <c r="C51">
        <v>-0.03</v>
      </c>
      <c r="D51" s="225">
        <f>D48*$C51+$B51</f>
        <v>0.85999999999999988</v>
      </c>
      <c r="E51" s="234">
        <v>7.0000000000000007E-2</v>
      </c>
      <c r="F51" s="233">
        <v>0.08</v>
      </c>
      <c r="G51" s="233">
        <v>0.09</v>
      </c>
      <c r="H51" s="233">
        <v>0.1</v>
      </c>
      <c r="I51" s="235">
        <v>0.11</v>
      </c>
    </row>
    <row r="52" spans="2:11" ht="15.75" thickBot="1" x14ac:dyDescent="0.3"/>
    <row r="53" spans="2:11" ht="15.75" thickBot="1" x14ac:dyDescent="0.3">
      <c r="B53" s="1" t="s">
        <v>187</v>
      </c>
      <c r="D53" s="226">
        <f>D15*D35*D51</f>
        <v>72.003499999999988</v>
      </c>
      <c r="E53" s="216">
        <v>0</v>
      </c>
      <c r="F53" s="217">
        <v>0.01</v>
      </c>
      <c r="G53" s="217">
        <v>7.0000000000000007E-2</v>
      </c>
      <c r="H53" s="217">
        <v>0.08</v>
      </c>
      <c r="I53" s="217">
        <v>0.09</v>
      </c>
      <c r="J53" s="217">
        <v>0.1</v>
      </c>
      <c r="K53" s="64">
        <v>0.11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FPA_четкая модель</vt:lpstr>
      <vt:lpstr>FPA_нечеткая модель (трапеции)</vt:lpstr>
      <vt:lpstr>FPA_неч модель (колебл.ч.)</vt:lpstr>
      <vt:lpstr>Четкая COCOMO II</vt:lpstr>
      <vt:lpstr>Нечеткая COCOMO (трапеции)</vt:lpstr>
      <vt:lpstr>Нечеткая COCOMO (колебл. числа)</vt:lpstr>
      <vt:lpstr>Четкая модель UCP</vt:lpstr>
      <vt:lpstr>Нечеткая UCP (трапеции)</vt:lpstr>
      <vt:lpstr>Нечеткая UCP (колебл. числа)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Инна Понаровская</dc:creator>
  <cp:lastModifiedBy>Инна Понаровская</cp:lastModifiedBy>
  <cp:lastPrinted>2025-04-14T16:06:00Z</cp:lastPrinted>
  <dcterms:created xsi:type="dcterms:W3CDTF">2025-04-08T17:33:41Z</dcterms:created>
  <dcterms:modified xsi:type="dcterms:W3CDTF">2025-05-16T22:16:57Z</dcterms:modified>
</cp:coreProperties>
</file>