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filterPrivacy="1"/>
  <xr:revisionPtr revIDLastSave="0" documentId="13_ncr:1_{7A3CE07B-6365-494B-A19A-A9ACCFC0FD01}" xr6:coauthVersionLast="46" xr6:coauthVersionMax="46" xr10:uidLastSave="{00000000-0000-0000-0000-000000000000}"/>
  <bookViews>
    <workbookView xWindow="14020" yWindow="480" windowWidth="15420" windowHeight="15720" firstSheet="4" activeTab="7" xr2:uid="{00000000-000D-0000-FFFF-FFFF00000000}"/>
  </bookViews>
  <sheets>
    <sheet name="Aktīvi" sheetId="3" r:id="rId1"/>
    <sheet name="Pasīvi" sheetId="4" r:id="rId2"/>
    <sheet name="PZA" sheetId="1" r:id="rId3"/>
    <sheet name="Naudas plūsma" sheetId="2" r:id="rId4"/>
    <sheet name="1.uzdevums" sheetId="5" r:id="rId5"/>
    <sheet name="2.uzdevums" sheetId="6" r:id="rId6"/>
    <sheet name="3.uzdevums" sheetId="7" r:id="rId7"/>
    <sheet name="4.uzdevum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4" i="7" l="1"/>
  <c r="D106" i="8"/>
  <c r="B93" i="7"/>
  <c r="F19" i="5"/>
  <c r="C69" i="8"/>
  <c r="H64" i="8"/>
  <c r="H65" i="8"/>
  <c r="H66" i="8"/>
  <c r="H67" i="8"/>
  <c r="H68" i="8"/>
  <c r="D69" i="8"/>
  <c r="E69" i="8"/>
  <c r="F69" i="8"/>
  <c r="G69" i="8"/>
  <c r="C61" i="8"/>
  <c r="B63" i="8" s="1"/>
  <c r="E27" i="5"/>
  <c r="E25" i="5"/>
  <c r="E26" i="5"/>
  <c r="B108" i="8" l="1"/>
  <c r="G37" i="8" l="1"/>
  <c r="F37" i="8"/>
  <c r="E37" i="8"/>
  <c r="D37" i="8"/>
  <c r="C37" i="8"/>
  <c r="D38" i="8" s="1"/>
  <c r="B37" i="8"/>
  <c r="B16" i="7"/>
  <c r="C74" i="7"/>
  <c r="D74" i="7"/>
  <c r="C9" i="8"/>
  <c r="D9" i="8"/>
  <c r="E9" i="8"/>
  <c r="F9" i="8"/>
  <c r="B9" i="8"/>
  <c r="C38" i="8" l="1"/>
  <c r="G38" i="8"/>
  <c r="E38" i="8"/>
  <c r="F38" i="8"/>
  <c r="B39" i="8" l="1"/>
  <c r="B37" i="6"/>
  <c r="F47" i="6" s="1"/>
  <c r="B52" i="6"/>
  <c r="B31" i="7"/>
  <c r="D12" i="7"/>
  <c r="B23" i="7"/>
  <c r="C23" i="7"/>
  <c r="D23" i="7"/>
  <c r="B24" i="7"/>
  <c r="C24" i="7"/>
  <c r="D24" i="7"/>
  <c r="E24" i="7"/>
  <c r="H72" i="7"/>
  <c r="C65" i="5"/>
  <c r="D65" i="5"/>
  <c r="D66" i="5"/>
  <c r="B32" i="7" l="1"/>
  <c r="C26" i="7"/>
  <c r="D26" i="7"/>
  <c r="E26" i="7"/>
  <c r="B26" i="7"/>
  <c r="B33" i="7" s="1"/>
  <c r="F24" i="7"/>
  <c r="G24" i="7"/>
  <c r="C25" i="7"/>
  <c r="D25" i="7"/>
  <c r="D62" i="5"/>
  <c r="C66" i="5"/>
  <c r="B65" i="5"/>
  <c r="C18" i="5"/>
  <c r="C69" i="5" s="1"/>
  <c r="C15" i="7" s="1"/>
  <c r="B49" i="3"/>
  <c r="D15" i="7"/>
  <c r="E15" i="7"/>
  <c r="F15" i="7"/>
  <c r="G15" i="7"/>
  <c r="C14" i="7"/>
  <c r="B14" i="7"/>
  <c r="B10" i="7"/>
  <c r="C10" i="7"/>
  <c r="D10" i="7"/>
  <c r="E10" i="7"/>
  <c r="F10" i="7"/>
  <c r="G10" i="7"/>
  <c r="C9" i="7"/>
  <c r="D9" i="7"/>
  <c r="B9" i="7"/>
  <c r="B11" i="7" s="1"/>
  <c r="B13" i="7" s="1"/>
  <c r="B4" i="7"/>
  <c r="D15" i="6"/>
  <c r="C15" i="6"/>
  <c r="H2" i="6" a="1"/>
  <c r="H2" i="6" s="1"/>
  <c r="E104" i="6"/>
  <c r="E102" i="6"/>
  <c r="E94" i="6"/>
  <c r="C37" i="6"/>
  <c r="E93" i="6"/>
  <c r="L109" i="6" a="1"/>
  <c r="L109" i="6" s="1"/>
  <c r="L97" i="6" a="1"/>
  <c r="L97" i="6" s="1"/>
  <c r="E144" i="6"/>
  <c r="E96" i="5"/>
  <c r="F141" i="6"/>
  <c r="G141" i="6"/>
  <c r="E141" i="6"/>
  <c r="E139" i="6"/>
  <c r="F139" i="6"/>
  <c r="G139" i="6"/>
  <c r="F140" i="6"/>
  <c r="G140" i="6"/>
  <c r="E140" i="6"/>
  <c r="E92" i="5"/>
  <c r="E74" i="5"/>
  <c r="E75" i="5"/>
  <c r="E91" i="5"/>
  <c r="F136" i="6"/>
  <c r="G136" i="6"/>
  <c r="E136" i="6"/>
  <c r="F135" i="6"/>
  <c r="G135" i="6" s="1"/>
  <c r="E135" i="6"/>
  <c r="C125" i="6"/>
  <c r="D125" i="6"/>
  <c r="B125" i="6"/>
  <c r="F119" i="6"/>
  <c r="G119" i="6"/>
  <c r="E119" i="6"/>
  <c r="F116" i="6"/>
  <c r="G116" i="6"/>
  <c r="E116" i="6"/>
  <c r="F118" i="6"/>
  <c r="G118" i="6"/>
  <c r="E118" i="6"/>
  <c r="F113" i="6"/>
  <c r="G113" i="6"/>
  <c r="E113" i="6"/>
  <c r="F112" i="6"/>
  <c r="G112" i="6"/>
  <c r="E112" i="6"/>
  <c r="F111" i="6"/>
  <c r="G111" i="6"/>
  <c r="E111" i="6"/>
  <c r="L108" i="6"/>
  <c r="L96" i="6"/>
  <c r="B7" i="6"/>
  <c r="F121" i="6"/>
  <c r="G121" i="6"/>
  <c r="E121" i="6"/>
  <c r="H104" i="6"/>
  <c r="B11" i="5"/>
  <c r="E11" i="5"/>
  <c r="E47" i="6"/>
  <c r="H97" i="6"/>
  <c r="H98" i="6"/>
  <c r="H99" i="6"/>
  <c r="H100" i="6"/>
  <c r="H101" i="6"/>
  <c r="H96" i="6"/>
  <c r="F94" i="6"/>
  <c r="G94" i="6"/>
  <c r="C4" i="6"/>
  <c r="C38" i="6"/>
  <c r="C27" i="7" l="1"/>
  <c r="C11" i="7"/>
  <c r="B25" i="7"/>
  <c r="D33" i="7"/>
  <c r="C33" i="7"/>
  <c r="D11" i="7"/>
  <c r="D13" i="7" s="1"/>
  <c r="D16" i="7" s="1"/>
  <c r="E130" i="6"/>
  <c r="E110" i="6"/>
  <c r="E131" i="6" s="1"/>
  <c r="D16" i="6"/>
  <c r="D17" i="6"/>
  <c r="E15" i="6"/>
  <c r="E4" i="6"/>
  <c r="C16" i="6"/>
  <c r="C17" i="6" s="1"/>
  <c r="G93" i="6" s="1"/>
  <c r="G98" i="6" s="1"/>
  <c r="B86" i="6"/>
  <c r="E65" i="6"/>
  <c r="C65" i="6"/>
  <c r="E64" i="6"/>
  <c r="C64" i="6"/>
  <c r="E63" i="6"/>
  <c r="C63" i="6"/>
  <c r="B57" i="6"/>
  <c r="B56" i="6"/>
  <c r="E49" i="6"/>
  <c r="C49" i="6"/>
  <c r="E48" i="6"/>
  <c r="C48" i="6"/>
  <c r="C47" i="6"/>
  <c r="C73" i="7" l="1"/>
  <c r="D27" i="7"/>
  <c r="D73" i="7" s="1"/>
  <c r="B73" i="7"/>
  <c r="G110" i="6"/>
  <c r="G102" i="6"/>
  <c r="G130" i="6" s="1"/>
  <c r="F93" i="6"/>
  <c r="E16" i="6"/>
  <c r="E17" i="6"/>
  <c r="G100" i="6"/>
  <c r="G99" i="6"/>
  <c r="G101" i="6"/>
  <c r="G95" i="6"/>
  <c r="G97" i="6"/>
  <c r="G96" i="6"/>
  <c r="F95" i="6"/>
  <c r="F99" i="6"/>
  <c r="E99" i="6"/>
  <c r="E97" i="6"/>
  <c r="E95" i="6"/>
  <c r="E96" i="6"/>
  <c r="E100" i="6"/>
  <c r="E101" i="6"/>
  <c r="E98" i="6"/>
  <c r="C50" i="6"/>
  <c r="F96" i="6" l="1"/>
  <c r="F102" i="6"/>
  <c r="F130" i="6" s="1"/>
  <c r="F110" i="6"/>
  <c r="F131" i="6" s="1"/>
  <c r="G131" i="6"/>
  <c r="F98" i="6"/>
  <c r="F97" i="6"/>
  <c r="F101" i="6"/>
  <c r="F100" i="6"/>
  <c r="E103" i="6"/>
  <c r="G103" i="6"/>
  <c r="G104" i="6" s="1"/>
  <c r="F103" i="6" l="1"/>
  <c r="F104" i="6" s="1"/>
  <c r="G105" i="6"/>
  <c r="G129" i="6" s="1"/>
  <c r="G132" i="6" s="1"/>
  <c r="G143" i="6" s="1"/>
  <c r="E105" i="6"/>
  <c r="F105" i="6" l="1"/>
  <c r="F129" i="6" s="1"/>
  <c r="F132" i="6" s="1"/>
  <c r="F143" i="6" s="1"/>
  <c r="E122" i="6"/>
  <c r="E129" i="6"/>
  <c r="E132" i="6" s="1"/>
  <c r="E143" i="6" s="1"/>
  <c r="E6" i="6"/>
  <c r="E5" i="6"/>
  <c r="C6" i="6"/>
  <c r="C5" i="6"/>
  <c r="B97" i="5"/>
  <c r="E50" i="5"/>
  <c r="E123" i="6" l="1"/>
  <c r="F122" i="6"/>
  <c r="B38" i="6"/>
  <c r="E45" i="5"/>
  <c r="F45" i="5" s="1"/>
  <c r="G45" i="5" s="1"/>
  <c r="C96" i="5"/>
  <c r="B96" i="5"/>
  <c r="B95" i="5" s="1"/>
  <c r="C42" i="3"/>
  <c r="D42" i="3"/>
  <c r="D47" i="3" s="1"/>
  <c r="B42" i="3"/>
  <c r="C97" i="5"/>
  <c r="C95" i="5" s="1"/>
  <c r="D97" i="5"/>
  <c r="D96" i="5"/>
  <c r="D77" i="5"/>
  <c r="E20" i="5"/>
  <c r="B87" i="5"/>
  <c r="B83" i="5"/>
  <c r="C81" i="5"/>
  <c r="D81" i="5"/>
  <c r="B81" i="5"/>
  <c r="E32" i="5"/>
  <c r="C3" i="5"/>
  <c r="D3" i="5"/>
  <c r="C34" i="5"/>
  <c r="D34" i="5"/>
  <c r="B34" i="5"/>
  <c r="F32" i="5"/>
  <c r="G32" i="5" s="1"/>
  <c r="F50" i="5"/>
  <c r="G50" i="5" s="1"/>
  <c r="A43" i="5"/>
  <c r="C50" i="3"/>
  <c r="C49" i="5" s="1"/>
  <c r="C76" i="5" s="1"/>
  <c r="D74" i="5" s="1"/>
  <c r="D50" i="3"/>
  <c r="B50" i="3"/>
  <c r="B49" i="5" s="1"/>
  <c r="B76" i="5" s="1"/>
  <c r="C49" i="3"/>
  <c r="C48" i="5" s="1"/>
  <c r="C64" i="5" s="1"/>
  <c r="D49" i="3"/>
  <c r="D51" i="3" s="1"/>
  <c r="D52" i="3" s="1"/>
  <c r="D57" i="3" s="1"/>
  <c r="D56" i="5" s="1"/>
  <c r="C55" i="5"/>
  <c r="I16" i="4"/>
  <c r="J16" i="4"/>
  <c r="K16" i="4"/>
  <c r="D10" i="5"/>
  <c r="B10" i="5"/>
  <c r="C77" i="5"/>
  <c r="B77" i="5"/>
  <c r="B19" i="5"/>
  <c r="B75" i="5" s="1"/>
  <c r="B91" i="5" s="1"/>
  <c r="C8" i="4"/>
  <c r="B15" i="3"/>
  <c r="B71" i="5" s="1"/>
  <c r="C68" i="5" s="1"/>
  <c r="C71" i="5"/>
  <c r="D68" i="5" s="1"/>
  <c r="C70" i="5"/>
  <c r="C82" i="5" s="1"/>
  <c r="D70" i="5"/>
  <c r="D82" i="5" s="1"/>
  <c r="B70" i="5"/>
  <c r="B82" i="5" s="1"/>
  <c r="B84" i="5" s="1"/>
  <c r="B69" i="5"/>
  <c r="C19" i="5"/>
  <c r="C75" i="5" s="1"/>
  <c r="C91" i="5" s="1"/>
  <c r="D19" i="5"/>
  <c r="C20" i="5"/>
  <c r="C92" i="5" s="1"/>
  <c r="D20" i="5"/>
  <c r="D92" i="5" s="1"/>
  <c r="B20" i="5"/>
  <c r="B92" i="5" s="1"/>
  <c r="C17" i="5"/>
  <c r="D17" i="5"/>
  <c r="E17" i="5" s="1"/>
  <c r="F17" i="5" s="1"/>
  <c r="G17" i="5" s="1"/>
  <c r="B17" i="5"/>
  <c r="D15" i="5"/>
  <c r="E15" i="5" s="1"/>
  <c r="F15" i="5" s="1"/>
  <c r="G15" i="5" s="1"/>
  <c r="C15" i="5"/>
  <c r="B15" i="5"/>
  <c r="C10" i="5"/>
  <c r="C11" i="5"/>
  <c r="F11" i="5"/>
  <c r="G11" i="5" s="1"/>
  <c r="C15" i="3"/>
  <c r="D9" i="5" s="1"/>
  <c r="E9" i="5" s="1"/>
  <c r="F9" i="5" s="1"/>
  <c r="G9" i="5" s="1"/>
  <c r="D15" i="3"/>
  <c r="D18" i="5" s="1"/>
  <c r="E18" i="5" s="1"/>
  <c r="C8" i="5"/>
  <c r="D8" i="5"/>
  <c r="E8" i="5" s="1"/>
  <c r="F8" i="5" s="1"/>
  <c r="G8" i="5" s="1"/>
  <c r="B8" i="5"/>
  <c r="C7" i="5"/>
  <c r="D7" i="5"/>
  <c r="E7" i="5" s="1"/>
  <c r="F7" i="5" s="1"/>
  <c r="G7" i="5" s="1"/>
  <c r="B7" i="5"/>
  <c r="C6" i="5"/>
  <c r="D6" i="5"/>
  <c r="E6" i="5" s="1"/>
  <c r="F6" i="5" s="1"/>
  <c r="G6" i="5" s="1"/>
  <c r="B6" i="5"/>
  <c r="C5" i="5"/>
  <c r="D5" i="5"/>
  <c r="B5" i="5"/>
  <c r="E5" i="5" s="1"/>
  <c r="F5" i="5" s="1"/>
  <c r="G5" i="5" s="1"/>
  <c r="C4" i="5"/>
  <c r="D4" i="5"/>
  <c r="B4" i="5"/>
  <c r="E3" i="5"/>
  <c r="A39" i="5"/>
  <c r="B39" i="5"/>
  <c r="C39" i="5"/>
  <c r="D39" i="5"/>
  <c r="A40" i="5"/>
  <c r="A41" i="5"/>
  <c r="C41" i="5"/>
  <c r="A42" i="5"/>
  <c r="A44" i="5"/>
  <c r="A46" i="5"/>
  <c r="A47" i="5"/>
  <c r="A48" i="5"/>
  <c r="A49" i="5"/>
  <c r="D49" i="5"/>
  <c r="D76" i="5" s="1"/>
  <c r="A51" i="5"/>
  <c r="A52" i="5"/>
  <c r="A53" i="5"/>
  <c r="B53" i="5"/>
  <c r="C53" i="5"/>
  <c r="D53" i="5"/>
  <c r="E53" i="5" s="1"/>
  <c r="F53" i="5" s="1"/>
  <c r="G53" i="5" s="1"/>
  <c r="A54" i="5"/>
  <c r="C54" i="5"/>
  <c r="D54" i="5"/>
  <c r="A55" i="5"/>
  <c r="B55" i="5"/>
  <c r="D55" i="5"/>
  <c r="A56" i="5"/>
  <c r="B8" i="4"/>
  <c r="J20" i="4"/>
  <c r="K20" i="4"/>
  <c r="K22" i="4" s="1"/>
  <c r="I20" i="4"/>
  <c r="J21" i="4"/>
  <c r="J22" i="4" s="1"/>
  <c r="K21" i="4"/>
  <c r="I21" i="4"/>
  <c r="J15" i="4"/>
  <c r="J17" i="4" s="1"/>
  <c r="J18" i="4" s="1"/>
  <c r="K15" i="4"/>
  <c r="I15" i="4"/>
  <c r="I17" i="4" s="1"/>
  <c r="I18" i="4" s="1"/>
  <c r="C45" i="3"/>
  <c r="C44" i="5" s="1"/>
  <c r="D45" i="3"/>
  <c r="D44" i="5" s="1"/>
  <c r="B45" i="3"/>
  <c r="B44" i="5" s="1"/>
  <c r="C44" i="3"/>
  <c r="C43" i="5" s="1"/>
  <c r="C16" i="5" s="1"/>
  <c r="D44" i="3"/>
  <c r="D43" i="5" s="1"/>
  <c r="B44" i="3"/>
  <c r="B43" i="5" s="1"/>
  <c r="B16" i="5" s="1"/>
  <c r="C43" i="3"/>
  <c r="C42" i="5" s="1"/>
  <c r="C62" i="5" s="1"/>
  <c r="D43" i="3"/>
  <c r="D42" i="5" s="1"/>
  <c r="B43" i="3"/>
  <c r="B42" i="5" s="1"/>
  <c r="B62" i="5" s="1"/>
  <c r="G122" i="6" l="1"/>
  <c r="G123" i="6" s="1"/>
  <c r="F123" i="6"/>
  <c r="E109" i="6"/>
  <c r="E124" i="6"/>
  <c r="F49" i="6"/>
  <c r="F48" i="6"/>
  <c r="D16" i="5"/>
  <c r="E16" i="5" s="1"/>
  <c r="F16" i="5" s="1"/>
  <c r="G16" i="5" s="1"/>
  <c r="K18" i="4"/>
  <c r="K23" i="4" s="1"/>
  <c r="D41" i="5"/>
  <c r="K17" i="4"/>
  <c r="E28" i="5"/>
  <c r="D95" i="5"/>
  <c r="C47" i="3"/>
  <c r="D48" i="5"/>
  <c r="D64" i="5" s="1"/>
  <c r="E4" i="5"/>
  <c r="E43" i="5" s="1"/>
  <c r="C9" i="5"/>
  <c r="C93" i="5"/>
  <c r="C87" i="5"/>
  <c r="C88" i="5" s="1"/>
  <c r="I22" i="4"/>
  <c r="I23" i="4" s="1"/>
  <c r="D71" i="5"/>
  <c r="E68" i="5" s="1"/>
  <c r="E70" i="5" s="1"/>
  <c r="B41" i="5"/>
  <c r="B47" i="3"/>
  <c r="B46" i="5" s="1"/>
  <c r="E42" i="5"/>
  <c r="B51" i="3"/>
  <c r="B52" i="3" s="1"/>
  <c r="B57" i="3" s="1"/>
  <c r="B56" i="5" s="1"/>
  <c r="C51" i="3"/>
  <c r="C52" i="3" s="1"/>
  <c r="C57" i="3" s="1"/>
  <c r="C56" i="5" s="1"/>
  <c r="B93" i="5"/>
  <c r="F20" i="5"/>
  <c r="G20" i="5" s="1"/>
  <c r="G92" i="5" s="1"/>
  <c r="F92" i="5"/>
  <c r="C51" i="5"/>
  <c r="D51" i="5"/>
  <c r="B54" i="5"/>
  <c r="B48" i="5"/>
  <c r="B64" i="5" s="1"/>
  <c r="F4" i="5"/>
  <c r="G4" i="5" s="1"/>
  <c r="E31" i="5"/>
  <c r="E30" i="5"/>
  <c r="E29" i="5"/>
  <c r="F26" i="5"/>
  <c r="F3" i="5"/>
  <c r="G3" i="5" s="1"/>
  <c r="B63" i="5"/>
  <c r="D63" i="5"/>
  <c r="C63" i="5"/>
  <c r="D75" i="5"/>
  <c r="D91" i="5" s="1"/>
  <c r="D93" i="5" s="1"/>
  <c r="E10" i="5"/>
  <c r="F10" i="5" s="1"/>
  <c r="C74" i="5"/>
  <c r="J23" i="4"/>
  <c r="D69" i="5"/>
  <c r="D87" i="5" s="1"/>
  <c r="D88" i="5" s="1"/>
  <c r="E69" i="5"/>
  <c r="E87" i="5" s="1"/>
  <c r="E88" i="5" s="1"/>
  <c r="F18" i="5"/>
  <c r="D46" i="5"/>
  <c r="D57" i="5" s="1"/>
  <c r="C46" i="5"/>
  <c r="C12" i="7" l="1"/>
  <c r="C83" i="5"/>
  <c r="E114" i="6"/>
  <c r="E125" i="6" s="1"/>
  <c r="E145" i="6"/>
  <c r="F144" i="6" s="1"/>
  <c r="F145" i="6" s="1"/>
  <c r="G144" i="6" s="1"/>
  <c r="G145" i="6" s="1"/>
  <c r="F109" i="6"/>
  <c r="F114" i="6" s="1"/>
  <c r="F124" i="6"/>
  <c r="G109" i="6"/>
  <c r="G114" i="6" s="1"/>
  <c r="G125" i="6" s="1"/>
  <c r="G124" i="6"/>
  <c r="H47" i="6"/>
  <c r="G47" i="6"/>
  <c r="F63" i="6"/>
  <c r="I47" i="6"/>
  <c r="F64" i="6"/>
  <c r="H48" i="6"/>
  <c r="G48" i="6"/>
  <c r="I48" i="6"/>
  <c r="H49" i="6"/>
  <c r="F65" i="6"/>
  <c r="G49" i="6"/>
  <c r="I49" i="6"/>
  <c r="F43" i="5"/>
  <c r="C57" i="5"/>
  <c r="D83" i="5"/>
  <c r="D84" i="5" s="1"/>
  <c r="B57" i="5"/>
  <c r="E48" i="5"/>
  <c r="E64" i="5" s="1"/>
  <c r="E19" i="5"/>
  <c r="E93" i="5"/>
  <c r="E34" i="5"/>
  <c r="E82" i="5"/>
  <c r="E76" i="5"/>
  <c r="E49" i="5" s="1"/>
  <c r="E71" i="5"/>
  <c r="C84" i="5"/>
  <c r="B51" i="5"/>
  <c r="G10" i="5"/>
  <c r="F42" i="5"/>
  <c r="E62" i="5"/>
  <c r="F25" i="5"/>
  <c r="F31" i="5" s="1"/>
  <c r="E63" i="5"/>
  <c r="F69" i="5"/>
  <c r="F87" i="5" s="1"/>
  <c r="F88" i="5" s="1"/>
  <c r="G18" i="5"/>
  <c r="G69" i="5" s="1"/>
  <c r="G87" i="5" s="1"/>
  <c r="G88" i="5" s="1"/>
  <c r="F48" i="5" l="1"/>
  <c r="F64" i="5" s="1"/>
  <c r="E65" i="5"/>
  <c r="E66" i="5" s="1"/>
  <c r="I50" i="6"/>
  <c r="C13" i="7"/>
  <c r="C16" i="7" s="1"/>
  <c r="F125" i="6"/>
  <c r="H50" i="6"/>
  <c r="B55" i="6" s="1"/>
  <c r="B58" i="6" s="1"/>
  <c r="G63" i="6" s="1"/>
  <c r="E51" i="5"/>
  <c r="F74" i="5"/>
  <c r="F75" i="5" s="1"/>
  <c r="E77" i="5"/>
  <c r="E33" i="5" s="1"/>
  <c r="E35" i="5" s="1"/>
  <c r="F68" i="5"/>
  <c r="F70" i="5" s="1"/>
  <c r="E44" i="5"/>
  <c r="F63" i="5"/>
  <c r="G42" i="5"/>
  <c r="F62" i="5"/>
  <c r="G25" i="5"/>
  <c r="F29" i="5"/>
  <c r="F28" i="5"/>
  <c r="F30" i="5"/>
  <c r="G26" i="5"/>
  <c r="G48" i="5" s="1"/>
  <c r="F27" i="5"/>
  <c r="E36" i="5" l="1"/>
  <c r="E14" i="7" s="1"/>
  <c r="E83" i="5"/>
  <c r="E12" i="7"/>
  <c r="H65" i="6"/>
  <c r="G65" i="6"/>
  <c r="H64" i="6"/>
  <c r="H63" i="6"/>
  <c r="G64" i="6"/>
  <c r="B85" i="6"/>
  <c r="B89" i="6" s="1"/>
  <c r="F65" i="5"/>
  <c r="G64" i="5"/>
  <c r="F91" i="5"/>
  <c r="F93" i="5" s="1"/>
  <c r="F34" i="5"/>
  <c r="F82" i="5"/>
  <c r="F76" i="5"/>
  <c r="G62" i="5"/>
  <c r="F71" i="5"/>
  <c r="F66" i="5"/>
  <c r="G28" i="5"/>
  <c r="G31" i="5"/>
  <c r="G29" i="5"/>
  <c r="G27" i="5"/>
  <c r="G30" i="5"/>
  <c r="G43" i="5"/>
  <c r="G63" i="5" s="1"/>
  <c r="E37" i="5" l="1"/>
  <c r="E54" i="5" s="1"/>
  <c r="E55" i="5" s="1"/>
  <c r="E56" i="5" s="1"/>
  <c r="F83" i="5"/>
  <c r="F12" i="7"/>
  <c r="F35" i="5"/>
  <c r="G65" i="5"/>
  <c r="G66" i="5" s="1"/>
  <c r="G74" i="5"/>
  <c r="F49" i="5"/>
  <c r="F51" i="5" s="1"/>
  <c r="G68" i="5"/>
  <c r="F44" i="5"/>
  <c r="E9" i="7" l="1"/>
  <c r="E11" i="7" s="1"/>
  <c r="E13" i="7" s="1"/>
  <c r="E16" i="7" s="1"/>
  <c r="E81" i="5"/>
  <c r="E84" i="5" s="1"/>
  <c r="E95" i="5" s="1"/>
  <c r="G83" i="5"/>
  <c r="G12" i="7"/>
  <c r="E23" i="7"/>
  <c r="E41" i="5"/>
  <c r="F36" i="5"/>
  <c r="F14" i="7" s="1"/>
  <c r="G75" i="5"/>
  <c r="G76" i="5" s="1"/>
  <c r="G49" i="5" s="1"/>
  <c r="G51" i="5" s="1"/>
  <c r="G70" i="5"/>
  <c r="G71" i="5" s="1"/>
  <c r="G44" i="5" s="1"/>
  <c r="F37" i="5" l="1"/>
  <c r="F9" i="7" s="1"/>
  <c r="F11" i="7" s="1"/>
  <c r="F13" i="7" s="1"/>
  <c r="F16" i="7" s="1"/>
  <c r="E25" i="7"/>
  <c r="E27" i="7" s="1"/>
  <c r="E74" i="7" s="1"/>
  <c r="E97" i="5"/>
  <c r="F96" i="5" s="1"/>
  <c r="E46" i="5"/>
  <c r="E57" i="5" s="1"/>
  <c r="F54" i="5"/>
  <c r="F55" i="5" s="1"/>
  <c r="F41" i="5" s="1"/>
  <c r="F81" i="5"/>
  <c r="F84" i="5" s="1"/>
  <c r="F95" i="5" s="1"/>
  <c r="G91" i="5"/>
  <c r="G93" i="5" s="1"/>
  <c r="G19" i="5"/>
  <c r="G34" i="5"/>
  <c r="G82" i="5"/>
  <c r="E73" i="7" l="1"/>
  <c r="F56" i="5"/>
  <c r="F23" i="7"/>
  <c r="F97" i="5"/>
  <c r="F46" i="5"/>
  <c r="G35" i="5"/>
  <c r="F57" i="5" l="1"/>
  <c r="F25" i="7"/>
  <c r="F27" i="7" s="1"/>
  <c r="G36" i="5"/>
  <c r="G14" i="7" s="1"/>
  <c r="G37" i="5"/>
  <c r="G9" i="7" s="1"/>
  <c r="G11" i="7" s="1"/>
  <c r="F74" i="7" l="1"/>
  <c r="B47" i="7"/>
  <c r="G13" i="7"/>
  <c r="G16" i="7" s="1"/>
  <c r="D41" i="7"/>
  <c r="B43" i="7" s="1"/>
  <c r="G81" i="5"/>
  <c r="G84" i="5" s="1"/>
  <c r="G95" i="5" s="1"/>
  <c r="G54" i="5"/>
  <c r="G55" i="5" s="1"/>
  <c r="G41" i="5" s="1"/>
  <c r="G46" i="5" s="1"/>
  <c r="B52" i="7" l="1"/>
  <c r="G56" i="5"/>
  <c r="G57" i="5" s="1"/>
  <c r="G23" i="7"/>
  <c r="G25" i="7" s="1"/>
  <c r="G27" i="7" s="1"/>
  <c r="F73" i="7"/>
  <c r="G97" i="5"/>
  <c r="G96" i="5"/>
  <c r="H74" i="7" l="1"/>
  <c r="H73" i="7" s="1"/>
  <c r="G74" i="7"/>
  <c r="G73" i="7" l="1"/>
  <c r="A37" i="8" l="1"/>
  <c r="B94"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<sst xmlns="http://schemas.openxmlformats.org/spreadsheetml/2006/main" count="462" uniqueCount="301">
  <si>
    <t>Neto apgrozījums</t>
  </si>
  <si>
    <t>Bruto peļņa</t>
  </si>
  <si>
    <t>Pārdošanas izmaksas</t>
  </si>
  <si>
    <t>Administrācijas izmaksas</t>
  </si>
  <si>
    <t>Pārējie saimnieciskās darbības ieņēmumi</t>
  </si>
  <si>
    <t>Pārējās saimnieciskās darbības izmaksas</t>
  </si>
  <si>
    <t>Procentu ieņēmumi un tamlīdzīgi ieņēmumi</t>
  </si>
  <si>
    <t>Procentu maksājumi un tamlīdzīgas izmaksas</t>
  </si>
  <si>
    <t>Peļņa pirms uzņēmumu ienākuma nodokļa</t>
  </si>
  <si>
    <t>Pārskata perioda peļņa</t>
  </si>
  <si>
    <t>Pārdotās produkcijas ražošanas</t>
  </si>
  <si>
    <t xml:space="preserve">Uzņēmumu ienākuma nodoklis par pārskata gadu* </t>
  </si>
  <si>
    <t>-</t>
  </si>
  <si>
    <t>Pamatdarbības naudas plūsma</t>
  </si>
  <si>
    <t>Korekcijas:</t>
  </si>
  <si>
    <t>Pamatlīdzekļu nolietojums</t>
  </si>
  <si>
    <t>Nemateriālo ieguldījumu vērtības norakstījumi</t>
  </si>
  <si>
    <t>Pamatlīdzekļu norakstīšana</t>
  </si>
  <si>
    <t>Ieņēmumi no ERAF fonda finansējuma atzīšanas</t>
  </si>
  <si>
    <t>Pārējie procentu ieņēmumi un tamlīdzīgi ieņēmumi</t>
  </si>
  <si>
    <t>Peļņa pirms apgrozāmo līdzekļu un īstermiņa saistību atlikumu izmaiņu ietekmes korekcijām</t>
  </si>
  <si>
    <t>Debitoru parādu atlikuma palielinājums</t>
  </si>
  <si>
    <t>Krājumu atlikumu palielinājums</t>
  </si>
  <si>
    <t>Bruto pamatdarbības naudas plūsma</t>
  </si>
  <si>
    <t>Samaksāti procenti</t>
  </si>
  <si>
    <t>Samaksāts uzņēmumu ienākuma nodoklis</t>
  </si>
  <si>
    <t>Pamatdarbības neto naudas plūsma</t>
  </si>
  <si>
    <t>Ieguldīšanas darbības naudas plūsma</t>
  </si>
  <si>
    <t>Citi ieguldījumi</t>
  </si>
  <si>
    <t>Pamatlīdzekļu un nemateriālo ieguldījumu iegāde</t>
  </si>
  <si>
    <t>Izsniegtie aizdevumi</t>
  </si>
  <si>
    <t>Ieņēmumi no aizdevumu atmaksas</t>
  </si>
  <si>
    <t>Saņemti procenti</t>
  </si>
  <si>
    <t>Ieguldīšanas darbības neto naudas plūsma</t>
  </si>
  <si>
    <t>Finansēšanas darbības naudas plūsma</t>
  </si>
  <si>
    <t>Ieņēmumi no akciju emisijas</t>
  </si>
  <si>
    <t>Saņemts ERAF fonda finansējums</t>
  </si>
  <si>
    <t>Atmaksāts finanšu līzings</t>
  </si>
  <si>
    <t>Izmaksātas dividendes</t>
  </si>
  <si>
    <t>Atmaksāts aizņēmums</t>
  </si>
  <si>
    <t>Finansēšanas darbības neto naudas plūsma</t>
  </si>
  <si>
    <t>Naudas un tās ekvivalentu neto pieaugums/ (samazinājums)</t>
  </si>
  <si>
    <t>Nauda un tās ekvivalenti perioda sākumā</t>
  </si>
  <si>
    <t>Nauda un tās ekvivalenti perioda beigās</t>
  </si>
  <si>
    <t>Piegādātājiem, darbuzņēmējiem un pārējiem kreditoriem maksājamo parādu atlikumu (samazinājums)/ palielinājums</t>
  </si>
  <si>
    <r>
      <rPr>
        <sz val="11"/>
        <rFont val="Calibri"/>
        <family val="2"/>
        <charset val="204"/>
        <scheme val="minor"/>
      </rPr>
      <t>-</t>
    </r>
  </si>
  <si>
    <t>Ilgtermiņa ieguldījumi</t>
  </si>
  <si>
    <t>Ilgtermiņa ieguldījumi kopā</t>
  </si>
  <si>
    <t>Apgrozāmie līdzekļi</t>
  </si>
  <si>
    <t>Apgrozāmie līdzekļi kopā</t>
  </si>
  <si>
    <t>Aktīvu kopsumma</t>
  </si>
  <si>
    <t xml:space="preserve">       Attīstības izmaksas</t>
  </si>
  <si>
    <t xml:space="preserve">       Nemateriālie ieguldījumi</t>
  </si>
  <si>
    <t xml:space="preserve">       Koncesijas, patenti, licences, preču zīmes un tamlīdzīgas tiesības</t>
  </si>
  <si>
    <t xml:space="preserve">       Avansa maksājumi par nemateriālajiem aktīviem</t>
  </si>
  <si>
    <t xml:space="preserve">       Nemateriālie ieguldījumi kopā</t>
  </si>
  <si>
    <t xml:space="preserve">       Pamatlīdzekļi</t>
  </si>
  <si>
    <t xml:space="preserve">       Zemesgabali, ēkas un inženierbūves</t>
  </si>
  <si>
    <t xml:space="preserve">       Ilgtermiņa ieguldījumi nomātajos pamatlīdzekļos</t>
  </si>
  <si>
    <t xml:space="preserve">       Tehnoloģiskās iekārtas un ierīces</t>
  </si>
  <si>
    <t xml:space="preserve">       Pārējie pamatlīdzekļi un inventārs</t>
  </si>
  <si>
    <t xml:space="preserve">       Pamatlīdzekļu izveidošanas izdevumi</t>
  </si>
  <si>
    <t xml:space="preserve">       Avansa maksājumi par pamatlīdzekļiem</t>
  </si>
  <si>
    <t xml:space="preserve">       Pamatlīdzekļi kopā</t>
  </si>
  <si>
    <t xml:space="preserve">       Ilgtermiņa finanšu ieguldījumi</t>
  </si>
  <si>
    <t xml:space="preserve">       Pārējie ilgtermiņa aizdevumi un citi debitori</t>
  </si>
  <si>
    <t xml:space="preserve">       Pārējie vērtspapīri un ieguldījumi</t>
  </si>
  <si>
    <t xml:space="preserve">       Ilgtermiņa finanšu ieguldījumi kopā</t>
  </si>
  <si>
    <t xml:space="preserve">       Krājumi</t>
  </si>
  <si>
    <t xml:space="preserve">       Izejvielas, pamatmateriāli un palīgmateriāli</t>
  </si>
  <si>
    <t xml:space="preserve">       Gatavie ražojumi un preces pārdošanai</t>
  </si>
  <si>
    <t xml:space="preserve">       Avansa maksājumi par precēm</t>
  </si>
  <si>
    <t xml:space="preserve">       Krājumi kopā</t>
  </si>
  <si>
    <t xml:space="preserve">       Debitori</t>
  </si>
  <si>
    <t xml:space="preserve">       Pircēju un pasūtītāju parādi</t>
  </si>
  <si>
    <t xml:space="preserve">       Citi debitori</t>
  </si>
  <si>
    <t xml:space="preserve">       Uzkrātie ieņēmumi</t>
  </si>
  <si>
    <t xml:space="preserve">       Nākamo periodu izmaksas</t>
  </si>
  <si>
    <t xml:space="preserve">       Debitori kopā</t>
  </si>
  <si>
    <t xml:space="preserve">       Īstermiņa finanšu ieguldījumi</t>
  </si>
  <si>
    <t xml:space="preserve">       Nauda</t>
  </si>
  <si>
    <t>Pašu kapitāls</t>
  </si>
  <si>
    <t>7 363  677</t>
  </si>
  <si>
    <t>AKTĪVI</t>
  </si>
  <si>
    <t xml:space="preserve">        Pamatkapitals</t>
  </si>
  <si>
    <t xml:space="preserve">        Daļu emisijas uzcenojums</t>
  </si>
  <si>
    <t xml:space="preserve">                b) pārskata gada peļņa</t>
  </si>
  <si>
    <t>Pašu kapitāls kopā</t>
  </si>
  <si>
    <t>Kreditori</t>
  </si>
  <si>
    <t xml:space="preserve">        Ilgtermiņa kreditori</t>
  </si>
  <si>
    <t xml:space="preserve">        Aizņēmumi no kredītiestādēm</t>
  </si>
  <si>
    <t xml:space="preserve">        Pārējie kreditori</t>
  </si>
  <si>
    <t xml:space="preserve">        Nākamo periodu ieņēmumi</t>
  </si>
  <si>
    <t xml:space="preserve">        Ilgtermiņa kreditori kopā</t>
  </si>
  <si>
    <t xml:space="preserve">        Īstermiņā kreditori</t>
  </si>
  <si>
    <t xml:space="preserve">        No pircējiem saņemti avansi</t>
  </si>
  <si>
    <t xml:space="preserve">       Parādi piegādātajiem</t>
  </si>
  <si>
    <t xml:space="preserve">       Nodokļi un VSOAI</t>
  </si>
  <si>
    <t xml:space="preserve">       Pārējie kreditori</t>
  </si>
  <si>
    <t xml:space="preserve">       Nākamo periodu ieņēmumi</t>
  </si>
  <si>
    <t xml:space="preserve">       Uzkrātās saistības</t>
  </si>
  <si>
    <t xml:space="preserve">       Īstermiņa kreditori kopā</t>
  </si>
  <si>
    <t>Pasīvu kopsumma</t>
  </si>
  <si>
    <t>PASĪVI</t>
  </si>
  <si>
    <t xml:space="preserve">        Nesadalītā peļņa</t>
  </si>
  <si>
    <t xml:space="preserve">                a) iepriekšējo nesadalītā peļņa:</t>
  </si>
  <si>
    <t xml:space="preserve">        Atliktā nodokļa saistības</t>
  </si>
  <si>
    <t>Kredītori kopā</t>
  </si>
  <si>
    <t>Galvenie indikatori</t>
  </si>
  <si>
    <t>Prognoze</t>
  </si>
  <si>
    <t>Ienākumu pārskats</t>
  </si>
  <si>
    <t>Apgrozījuma pieaugums, %</t>
  </si>
  <si>
    <t>Pārdotās produkcijas ražošanas  izmaksas, % no apgrozījuma</t>
  </si>
  <si>
    <t>Pārdošanas izmaksas, % no apgrozījuma</t>
  </si>
  <si>
    <t>Administrācijas izmaksas, % no apgrozījuma</t>
  </si>
  <si>
    <t>Pārējie saimnieciskās darbības ieņēmumi, % no apgrozījuma</t>
  </si>
  <si>
    <t>Pārējās saimnieciskās darbības izmaksas, % no apgrozījuma</t>
  </si>
  <si>
    <t>Pamatlīdzekļu nolietojums un amortizācija, % no PVPS</t>
  </si>
  <si>
    <t>Procenti, % no aizņēmumiem</t>
  </si>
  <si>
    <t>UIN, % no EBT</t>
  </si>
  <si>
    <t>Bilance</t>
  </si>
  <si>
    <t>Debitoru aprite, dienas</t>
  </si>
  <si>
    <t>Krājumu aprite, dienas</t>
  </si>
  <si>
    <t>Kreditoru aprite, dienas</t>
  </si>
  <si>
    <t>CapEx, €</t>
  </si>
  <si>
    <t>Aizņēmumi (atmaksa), €</t>
  </si>
  <si>
    <t>Dividendes, €</t>
  </si>
  <si>
    <t>Aktīvi</t>
  </si>
  <si>
    <t>Nauda un ekvivalenti</t>
  </si>
  <si>
    <t>Debitori</t>
  </si>
  <si>
    <t>Krājumi</t>
  </si>
  <si>
    <t>Aktīvi kopā</t>
  </si>
  <si>
    <t>Saistības</t>
  </si>
  <si>
    <t>Parādi piegādātājiem</t>
  </si>
  <si>
    <t>Aizņemumi</t>
  </si>
  <si>
    <t>Kopā saistības</t>
  </si>
  <si>
    <t>Kopā pasīvs</t>
  </si>
  <si>
    <t>Bilance,  €</t>
  </si>
  <si>
    <t>Akciju kapitāls</t>
  </si>
  <si>
    <t>Nesadalītā peļņa</t>
  </si>
  <si>
    <t>PZA pārskats, €</t>
  </si>
  <si>
    <t>Pieņēmumu prognožu sastādīšanai, tika pieņemta stratēģija, kurā tiek saglabāti galvenie sasniegtie attīstības rādītāji (izņemot dažas pozīcijas, kur par pamatu ņemts trīs gadu vidējais rezultāts), pieņemot, ka makroekonomiskajā vidē nav paredzamas nozīmīgas izmaiņas.</t>
  </si>
  <si>
    <t>Vidējais indikators 3 gadu laikā</t>
  </si>
  <si>
    <t>Pieņēmumu prognožu sastādīšanai, tika pieņemta stratēģija, kurā tiek saglabāti galvenie sasniegtie attīstības rādītāji , pieņemot, ka makroekonomiskajā vidē nav paredzamas nozīmīgas izmaiņas.</t>
  </si>
  <si>
    <t>pieņēmums par debitoru apriti 2020.g. – saglabājas 2019.g. līmenī -pieagums pamatots ar apgrozījuma pieagumu</t>
  </si>
  <si>
    <t>Pārdotās produkcijas ražošanas izmaksas</t>
  </si>
  <si>
    <t>Pārdotās produkcijas ražošanas izmaksas nosaka krājumu pieagumu nākotnē</t>
  </si>
  <si>
    <t>Pārdotās produkcijas ražošanas izmaksas nosaka kreditoru pieagumu nākotnē</t>
  </si>
  <si>
    <t>Atbalsta tabulas, €</t>
  </si>
  <si>
    <t>Apgrozāmais kapitāls</t>
  </si>
  <si>
    <t>Neto apgrozāmais kapitāls</t>
  </si>
  <si>
    <t>Izmaiņas neto AK</t>
  </si>
  <si>
    <t>Nolietojums</t>
  </si>
  <si>
    <t>Pamatlīdzekļi un iekārtas sākumā</t>
  </si>
  <si>
    <t>+CapEx</t>
  </si>
  <si>
    <t>-Nolietojums</t>
  </si>
  <si>
    <t>Pamatlīdzekļi un iekārtas beigās</t>
  </si>
  <si>
    <t>Pārāds un procenti</t>
  </si>
  <si>
    <t>Parāds perioda sākumā</t>
  </si>
  <si>
    <t>Jauni aizņēmumi (atmaksa)</t>
  </si>
  <si>
    <t>Parāds perioda beigās</t>
  </si>
  <si>
    <t>Procentu izmaksas</t>
  </si>
  <si>
    <t>Iepriekšējo gadu vidējais</t>
  </si>
  <si>
    <t>Citi kreditori</t>
  </si>
  <si>
    <t>Rezultāts no atbulsta tabulas</t>
  </si>
  <si>
    <t>Pieaug  apgrozījuma pieuguma dēļ</t>
  </si>
  <si>
    <t>Pamatlīdzekļu nolietojums un amortizācija</t>
  </si>
  <si>
    <t>Paliek nemainīgs</t>
  </si>
  <si>
    <t>Naudas plūsma no ieguldījumiem</t>
  </si>
  <si>
    <t>Naudas plūsma no finansējuma</t>
  </si>
  <si>
    <t>Naudas plūsmas pārskats,€</t>
  </si>
  <si>
    <t xml:space="preserve">  Darbības naudas plūsma</t>
  </si>
  <si>
    <t xml:space="preserve"> + pamatlīdzekļu nolietojums un amortizācija</t>
  </si>
  <si>
    <t xml:space="preserve"> - AK izmaiņas</t>
  </si>
  <si>
    <t>Naudas plūsma no pamatdarbības</t>
  </si>
  <si>
    <t>Ieguldījumi NĪ un iekartas</t>
  </si>
  <si>
    <t>Aziņēmumi (atmaksa)</t>
  </si>
  <si>
    <t>PK</t>
  </si>
  <si>
    <t>Neto naudas plūsma</t>
  </si>
  <si>
    <t>Nauda perioda sakumā</t>
  </si>
  <si>
    <t>Nauda perioda beigās</t>
  </si>
  <si>
    <t>Neto peļņa</t>
  </si>
  <si>
    <t>Plānots  - atmaksāt kredītiestādes aizņēmumus 2020.gadā</t>
  </si>
  <si>
    <t>Īstermiņa finanšu ieguldījumi</t>
  </si>
  <si>
    <t>Nav paredzetas izmaiņas</t>
  </si>
  <si>
    <t>Pieaugums pēc prognozes</t>
  </si>
  <si>
    <t>Plāns - uz 2020.g.b. atmaksāt kredītiestādes aizņēmumus</t>
  </si>
  <si>
    <t>Pārbaude</t>
  </si>
  <si>
    <t>Apgrozījums un peļņa, pamatojoties uz 2017 – 2019 g.g. faktiskajiem datiem un prognozi 2020 – 2022 g.g.</t>
  </si>
  <si>
    <t>Uzņēmums "MADARA Cosmetics" ir stabils un katru gadu strāda ar peļņu, ka arī apgrozījums katru gadu pieaug.  2019. gads ir bijis būtsks ieguldījumu gads un ir otrais gads pēc kārtas, kad uzņēmuma ilgtermiņa ieguldījumi pārsnieguši 1 milj. EUR. Uzņēmuma apgrozījums 2019. gadā ir pieaudzis par 21% salīdzinājumā ar attiecīgo periodu pērn un veido 11,55 milj un līdz ar to ir lietderīgi nākamājos gados palielināt apgrozījuma mērķi līdz 14 tūkst. euro tādējādi sekmējot uzņēmuma ilgtermiņa attīstību. Ir paredzams, ka uz 2020.g.b. uzņēmums būs spējīgs atmaksāt savas kredītsaistības. Līdz ar jaunā makeup projekta izstādi ir sagaidāms pieagums peļņas rādītājā.  Tiek prognozēts, ka jaunā makeup līnija piedzīvos ievērojamu pārdošanas apjomu palielināšanos tuvāko gadu laikā, tādējādi sekmējot uzņēmuma ilgtermiņa attīstību.</t>
  </si>
  <si>
    <t>Gads</t>
  </si>
  <si>
    <t>r</t>
  </si>
  <si>
    <t>Izmaiņas</t>
  </si>
  <si>
    <t>Izmaniņas</t>
  </si>
  <si>
    <t>Vid. darba samaksa</t>
  </si>
  <si>
    <t>b=SLOPE=</t>
  </si>
  <si>
    <t>a=INTERCEPT=</t>
  </si>
  <si>
    <r>
      <t xml:space="preserve">Pastāv cieša korelācija starp analizētā uzņēmuma neto apgrozīijumu un darba samaksas faktora. Korelācija koeficienta pozītīva vērtība </t>
    </r>
    <r>
      <rPr>
        <i/>
        <sz val="11"/>
        <color theme="1"/>
        <rFont val="Calibri"/>
        <family val="2"/>
        <scheme val="minor"/>
      </rPr>
      <t>r=0,99</t>
    </r>
    <r>
      <rPr>
        <sz val="11"/>
        <color theme="1"/>
        <rFont val="Calibri"/>
        <family val="2"/>
        <scheme val="minor"/>
      </rPr>
      <t xml:space="preserve"> norada uz to, ka pieaugot vidējai darba samaksai, pieaug arī Madara Cosmetics neto apgrozījums.</t>
    </r>
  </si>
  <si>
    <t>Pirmais lineārais regresijas modelis</t>
  </si>
  <si>
    <t>Pirmās lineārās regresijas modeļas interpretācija</t>
  </si>
  <si>
    <t>Darba samaksas mazākais pieaugums, kā redzams tabulå, ir 7,2%, lielākais ir 8,4% un līdz ar to iegūtais regresijas vienādojums ir interpretējams un lietojams apgabalā: 7,2≤x≤8,4.</t>
  </si>
  <si>
    <t>Pirmās lineārās regresijas modeļas vērtēšana</t>
  </si>
  <si>
    <t>Secinājums: pieaugot darba samaksai par vienu procentu, uzņēmuma MADARA Cosmetics neto apgrozījuma vidējais paredzamais pieaugums būs 5,7%..</t>
  </si>
  <si>
    <t>Secinājums: Ja atlasītie dati iekļautu darba samaksas nulles vai negatīvu pieaugumu, tad gan varētu teikt, ka uzņēmuma MADARA Cosmetics neto apgrozījuma vidējais paredzamais pieaugums būs -19,3%, ja darba samaksas pieaugums = 0.</t>
  </si>
  <si>
    <t>Vidējais</t>
  </si>
  <si>
    <t>Summa</t>
  </si>
  <si>
    <r>
      <t xml:space="preserve">Teorētiskās vērtības </t>
    </r>
    <r>
      <rPr>
        <sz val="11"/>
        <color theme="0"/>
        <rFont val="Calibri (Body)"/>
      </rPr>
      <t>𝑦*</t>
    </r>
    <r>
      <rPr>
        <sz val="11"/>
        <color theme="1"/>
        <rFont val="Calibri"/>
        <family val="2"/>
        <scheme val="minor"/>
      </rPr>
      <t xml:space="preserve"> un regresijas noviržu vērtējumi </t>
    </r>
  </si>
  <si>
    <r>
      <t>R</t>
    </r>
    <r>
      <rPr>
        <i/>
        <vertAlign val="superscript"/>
        <sz val="11"/>
        <color theme="1"/>
        <rFont val="Calibri (Body)"/>
      </rPr>
      <t>2</t>
    </r>
  </si>
  <si>
    <t xml:space="preserve">Secinājums: ar iegūtā regresijas vienādojuma palīdzību var izskaidrot 95,5% no uzņēmuma MADARA Cosmetics neto apgrozījuma pieauguma jeb darba samaksas izmaiņas izskaidro 95,5% no uzņēmuma MADARA Cosmetics neto apgrozījuma izmaiņām. </t>
  </si>
  <si>
    <t>v</t>
  </si>
  <si>
    <t>T.INV</t>
  </si>
  <si>
    <t>Regresijas vienādojuma vērtējuma robežkļūda</t>
  </si>
  <si>
    <t xml:space="preserve">Regresijas vienādojuma vērtējuma standartkļūda </t>
  </si>
  <si>
    <r>
      <t xml:space="preserve">Teorētiskās vērtības </t>
    </r>
    <r>
      <rPr>
        <sz val="11"/>
        <color theme="0"/>
        <rFont val="Calibri (Body)"/>
      </rPr>
      <t xml:space="preserve">𝑦* </t>
    </r>
    <r>
      <rPr>
        <sz val="11"/>
        <color theme="1"/>
        <rFont val="Calibri"/>
        <family val="2"/>
        <scheme val="minor"/>
      </rPr>
      <t xml:space="preserve">un to vērtējuma robežas ar ticamības līmeni 95% </t>
    </r>
  </si>
  <si>
    <t>Secinājums: Tā kā 22,084 &lt; 161,448 tad pie noteiktā ticamības līmeņa (5%) nulles hipotēzi nav pamata noraidīt – biežāk kā reizi divdesmit novērojumos (gados) ar sastādīto modeli iegūtais rezultāts var būt kļūdains.</t>
  </si>
  <si>
    <t>P vērtība</t>
  </si>
  <si>
    <t>Ticamības līmenis ir 13,35% kas ir pieiejams</t>
  </si>
  <si>
    <t>Darba samaksas izmaniņas</t>
  </si>
  <si>
    <t>Latvijas Bankas darba samaksas prognoze</t>
  </si>
  <si>
    <t>COGS pieagums neto apgrozījuma pieauguma dēļ</t>
  </si>
  <si>
    <t xml:space="preserve">pēdējā gada ‘proporcija pret apgrozījumu’ </t>
  </si>
  <si>
    <t>sb, sa</t>
  </si>
  <si>
    <t>b, a</t>
  </si>
  <si>
    <t>F, df</t>
  </si>
  <si>
    <t>Ssreg, Ssres</t>
  </si>
  <si>
    <r>
      <t>R</t>
    </r>
    <r>
      <rPr>
        <b/>
        <vertAlign val="superscript"/>
        <sz val="11"/>
        <color theme="1"/>
        <rFont val="Calibri (Body)"/>
      </rPr>
      <t>2</t>
    </r>
    <r>
      <rPr>
        <b/>
        <sz val="11"/>
        <color theme="1"/>
        <rFont val="Calibri (Body)"/>
      </rPr>
      <t>,</t>
    </r>
    <r>
      <rPr>
        <b/>
        <vertAlign val="superscript"/>
        <sz val="11"/>
        <color theme="1"/>
        <rFont val="Calibri (Body)"/>
      </rPr>
      <t xml:space="preserve"> </t>
    </r>
    <r>
      <rPr>
        <b/>
        <sz val="11"/>
        <color theme="1"/>
        <rFont val="Calibri (Body)"/>
      </rPr>
      <t>Sy</t>
    </r>
  </si>
  <si>
    <t>Ar korelacijas metodi</t>
  </si>
  <si>
    <t>UIN no EBIT</t>
  </si>
  <si>
    <t>r=</t>
  </si>
  <si>
    <t>Sakarība starp apgrozījumu un debitoriem</t>
  </si>
  <si>
    <t>Sakarība starp neto apgrozījumu un pamatlīdzekļu nolietojumu / amortizāciju</t>
  </si>
  <si>
    <t>Korelacija starp apgrozījumu un debitoriem</t>
  </si>
  <si>
    <t>Nav ciešas sakarības ne ar vienu no faktoru, līdz ar to ņēmts iepriekšējo trīs gadu vidējais rezultāts</t>
  </si>
  <si>
    <t xml:space="preserve">FORECAST.LINEAR </t>
  </si>
  <si>
    <t>Otrais lineārais regresijas modelis</t>
  </si>
  <si>
    <t>Trešais lineārais regresijas modelis</t>
  </si>
  <si>
    <t>Korelācijas koeficients ir augsts, pastāv korelācija starp izvēlētiem faktoriem</t>
  </si>
  <si>
    <t>Secinājums: Regresijas vērtējuma standartkļūda nav būtiska (1,08%). Mazais izlases apjoms (tikai 3 gadi) nosaka diezgan lielu varbūtības koeficientu (tp = 6,13) un līdz ar to  robežkļūda (Δxy = 6,82%) ir būtiska.</t>
  </si>
  <si>
    <t>Dividendes</t>
  </si>
  <si>
    <t>Regresijas koeficients</t>
  </si>
  <si>
    <t>Regresijas brīvais loceklis</t>
  </si>
  <si>
    <t>Akciju skaits</t>
  </si>
  <si>
    <t>Vidēja akciju cena, EUR (dati uz 09.03.2021)</t>
  </si>
  <si>
    <t>Tirgus kapitalizācija</t>
  </si>
  <si>
    <t>https://nasdaqbaltic.com/statistics/lv/instrument/LV0000101624/trading?date=2021-03-09</t>
  </si>
  <si>
    <t>EBIT</t>
  </si>
  <si>
    <t>EBITDA</t>
  </si>
  <si>
    <t>Neto izmaiņas apgrozāmajā kapitālā</t>
  </si>
  <si>
    <t>Darbības naudas plūsma</t>
  </si>
  <si>
    <t>Nodokļi</t>
  </si>
  <si>
    <t>CAPEX</t>
  </si>
  <si>
    <t>Brīvā naudas plūsma</t>
  </si>
  <si>
    <t>1. MADARA Cosmetics brīvas naudas plūsmas aprēķins 2017-2022 g.g.</t>
  </si>
  <si>
    <t>2. MADARA Cosmetics vidējās svērtās kapitāla cenas aprēķins</t>
  </si>
  <si>
    <t>Procentu maksājumi</t>
  </si>
  <si>
    <t>WACC</t>
  </si>
  <si>
    <t>Rf</t>
  </si>
  <si>
    <t>β</t>
  </si>
  <si>
    <t>Pašu kapitāla izmaksas</t>
  </si>
  <si>
    <t>Parāda izmaksas</t>
  </si>
  <si>
    <t>Rm</t>
  </si>
  <si>
    <t>Aizņēmtais kapitāls</t>
  </si>
  <si>
    <t>Kapitāla un parāda kopsumma</t>
  </si>
  <si>
    <t>Damodaran</t>
  </si>
  <si>
    <t>naudas plūsma pēdējā prognozes gadā=</t>
  </si>
  <si>
    <t>Kapitāla izmaksas</t>
  </si>
  <si>
    <t>Gala vērtība=</t>
  </si>
  <si>
    <t>3. MADARA Cosmetics galas vērtības aprēķins</t>
  </si>
  <si>
    <t>Izmantojot iepriekš skatīto divu pieeju rezultātus un pieņemot, ka vērtētājs dod nelielu priekšroku (60:40) pārdošanas koeficientu pieejai, iegūsim gala vērtību:</t>
  </si>
  <si>
    <t>pieņēmums ir, ka uzņēmums tiek pārdots 2022.g. beigās par cenu, kas ir 4 x EV / EBITDA</t>
  </si>
  <si>
    <t xml:space="preserve">DCF modelis ar gala vērtību, kas noteikta izmantojot pārdošanas koeficientu pieeju </t>
  </si>
  <si>
    <t>Hibrīda pieja</t>
  </si>
  <si>
    <t>Pieņemsim, ka naudas plūsmas pastāvīgais pieaugums pēc prognozes perioda (6 gadiem) ir pastāvīgs 2% apmērā</t>
  </si>
  <si>
    <t>CAPM (Ce)=</t>
  </si>
  <si>
    <t>http://pages.stern.nyu.edu/~adamodar/New_Home_Page/datafile/ctryprem.html</t>
  </si>
  <si>
    <t>https://www.ecb.europa.eu/stats/html/index.lv.html</t>
  </si>
  <si>
    <t>PV</t>
  </si>
  <si>
    <t>Gala Vērtība</t>
  </si>
  <si>
    <t>pieņemot, ka uzņēmuma gala vērtību var noteikt ar pārdošanas koeficientu 6 X EBITDA(2022), iegūst gala vērtību 33 445 438 . Savukārt diskontējot brīvās naudas plūsmas un gala vērtību ar diskonta likmi -0,09% uz 2019.gada beigām, iegūsim:</t>
  </si>
  <si>
    <t>Summ PV=</t>
  </si>
  <si>
    <t>Uzņēmuma akciju vērtības=</t>
  </si>
  <si>
    <t>4. MADARA Cosmetics vērtības aprēķins ar diskontētās naudas plūsmas modeli</t>
  </si>
  <si>
    <t>Darba samaksas pieaug., %</t>
  </si>
  <si>
    <t>Neto apgr. pieaug.%</t>
  </si>
  <si>
    <t>Definējam, ka diskonta likme varētu mainīties robežās no 2% līdz 7%</t>
  </si>
  <si>
    <t>Starpība</t>
  </si>
  <si>
    <t>Vidējais rezultāts</t>
  </si>
  <si>
    <t>Diskonta likme</t>
  </si>
  <si>
    <t>Apgrozījuma pieagums</t>
  </si>
  <si>
    <t>Pārdotas produkcijas izmaksas, % no apgrozījuma</t>
  </si>
  <si>
    <t>Secinājums: Sakarība starp uzņēmuma vērtību un diskonta likmi nav lineāra, WACC pieaugot par vienu procentu uzņēmuma vērtība samazināsies vidēji par 1,8 milj. Eur.</t>
  </si>
  <si>
    <t>Uzņēmuma bruto peļņas, apgrozījuma pieauguma un pārdotās produkcijas izmaksu kopsakarības</t>
  </si>
  <si>
    <t>Tabulas apakšējā kreisajā stūrī ar dzeltenu ir iekrāsotas šūnas, kas nenodrošina vismaz sākotnējam scenārijam līdzvērtīgu bruto peļņu, bet augšējā labajā stūrī ar zaļu ir iekrāsotas šūnas, kuras rezultējas ar lielāku bruto peļņu nekā sākotnējā scenārijā tika aprēķināts.</t>
  </si>
  <si>
    <t>Uzņēmuma vērtības jutīguma pret diskonta likmes izmaiņām novērtēšana</t>
  </si>
  <si>
    <t>Uzņēmuma vērtības jutīguma pret EV/EBITDA izmaiņām novērtēšana</t>
  </si>
  <si>
    <t>Secinājums: No 2.uzdevuma konstātējam, ka pastāv sakarība starp darba algas piegumu un MADARA Cosmetics neto apgrozījuma piegumu. Tika konstatēts, ka, pieaugot darba samaksai par vienu procentu, uzņēmuma MADARA Cosmetics neto apgrozījuma vidējais paredzamais pieaugums būs 5,7%.</t>
  </si>
  <si>
    <t>Uzņēmuma finanšu rādītāju jutīgumu novērtēšana ar regresijas modeli</t>
  </si>
  <si>
    <t>Secinājums: zems apgrozījuma pieaugums (zili punktētā līnija) pat pie ļoti zemām pārdotās produkcijas izmaksām, nedod iespēju sasniegt bruto peļņu vairāk kā 8 806 880Eur. Pieaugot apgrozījumam par 1%, uzņēmuma bruto peļņa pieaug vidēji par 115 452 Eur., bet samazinot pārdotās produkcijas izmaksu īpatsvaru apgrozījumā par 1%, uzņēmuma bruto peļņa pieaug vidēji par 140 103 Eur.</t>
  </si>
  <si>
    <t>Uzņēmuma vērtības jutīguma pret apgrozījuma pieaguma/COGS izmaiņām novērtēšana</t>
  </si>
  <si>
    <t>Apgrozījuma pieauguma izmaiņas</t>
  </si>
  <si>
    <t>Uzņēmuma vērtība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</si>
</sst>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Red]\-&quot;€&quot;#,##0.00"/>
    <numFmt numFmtId="164" formatCode="0.0%"/>
    <numFmt numFmtId="165" formatCode="0.000"/>
    <numFmt numFmtId="166" formatCode="0.000%"/>
    <numFmt numFmtId="167" formatCode="0.0000%"/>
    <numFmt numFmtId="168" formatCode="0.000000%"/>
  </numFmts>
  <fonts count="29">
    <font>
      <sz val="11"/>
      <color theme="1"/>
      <name val="Calibri"/>
      <family val="2"/>
      <scheme val="minor"/>
    </font>
    <font>
      <sz val="11"/>
      <color theme="1"/>
      <name val="Calibri"/>
      <family val="2"/>
      <charset val="204"/>
      <scheme val="minor"/>
    </font>
    <font>
      <b/>
      <sz val="11"/>
      <color theme="1"/>
      <name val="Calibri"/>
      <family val="2"/>
      <charset val="204"/>
      <scheme val="minor"/>
    </font>
    <font>
      <b/>
      <sz val="11"/>
      <color theme="1"/>
      <name val="Calibri"/>
      <family val="2"/>
      <charset val="186"/>
      <scheme val="minor"/>
    </font>
    <font>
      <sz val="11"/>
      <color rgb="FF000000"/>
      <name val="Calibri"/>
      <family val="2"/>
      <charset val="204"/>
      <scheme val="minor"/>
    </font>
    <font>
      <sz val="11"/>
      <name val="Calibri"/>
      <family val="2"/>
      <charset val="204"/>
      <scheme val="minor"/>
    </font>
    <font>
      <b/>
      <sz val="11"/>
      <color rgb="FF000000"/>
      <name val="Calibri"/>
      <family val="2"/>
      <charset val="204"/>
      <scheme val="minor"/>
    </font>
    <font>
      <b/>
      <sz val="11"/>
      <name val="Calibri"/>
      <family val="2"/>
      <charset val="204"/>
      <scheme val="minor"/>
    </font>
    <font>
      <i/>
      <sz val="11"/>
      <color theme="1"/>
      <name val="Calibri"/>
      <family val="2"/>
      <charset val="204"/>
      <scheme val="minor"/>
    </font>
    <font>
      <b/>
      <sz val="11"/>
      <color theme="1"/>
      <name val="Calibri"/>
      <family val="2"/>
      <scheme val="minor"/>
    </font>
    <font>
      <sz val="11"/>
      <color theme="1"/>
      <name val="Calibri"/>
      <family val="2"/>
      <scheme val="minor"/>
    </font>
    <font>
      <sz val="10"/>
      <name val="Arial"/>
      <family val="2"/>
    </font>
    <font>
      <b/>
      <i/>
      <sz val="11"/>
      <color theme="1"/>
      <name val="Calibri"/>
      <family val="2"/>
      <charset val="204"/>
      <scheme val="minor"/>
    </font>
    <font>
      <b/>
      <sz val="11"/>
      <name val="Calibri"/>
      <family val="2"/>
      <scheme val="minor"/>
    </font>
    <font>
      <sz val="11"/>
      <name val="Calibri"/>
      <family val="2"/>
      <scheme val="minor"/>
    </font>
    <font>
      <i/>
      <sz val="11"/>
      <color rgb="FFFF0000"/>
      <name val="Calibri"/>
      <family val="2"/>
      <charset val="204"/>
      <scheme val="minor"/>
    </font>
    <font>
      <b/>
      <sz val="14"/>
      <color theme="1"/>
      <name val="Calibri"/>
      <family val="2"/>
      <scheme val="minor"/>
    </font>
    <font>
      <i/>
      <sz val="11"/>
      <color theme="1"/>
      <name val="Calibri"/>
      <family val="2"/>
      <scheme val="minor"/>
    </font>
    <font>
      <b/>
      <i/>
      <sz val="11"/>
      <color theme="1"/>
      <name val="Calibri"/>
      <family val="2"/>
      <scheme val="minor"/>
    </font>
    <font>
      <sz val="11"/>
      <color theme="0"/>
      <name val="Calibri (Body)"/>
    </font>
    <font>
      <i/>
      <vertAlign val="superscript"/>
      <sz val="11"/>
      <color theme="1"/>
      <name val="Calibri (Body)"/>
    </font>
    <font>
      <i/>
      <sz val="11"/>
      <color theme="1"/>
      <name val="ArialMT"/>
    </font>
    <font>
      <b/>
      <vertAlign val="superscript"/>
      <sz val="11"/>
      <color theme="1"/>
      <name val="Calibri (Body)"/>
    </font>
    <font>
      <b/>
      <sz val="11"/>
      <color theme="1"/>
      <name val="Calibri (Body)"/>
    </font>
    <font>
      <i/>
      <sz val="11"/>
      <color rgb="FF000000"/>
      <name val="Calibri"/>
      <family val="2"/>
      <charset val="204"/>
      <scheme val="minor"/>
    </font>
    <font>
      <b/>
      <i/>
      <sz val="11"/>
      <color rgb="FFFF0000"/>
      <name val="Calibri"/>
      <family val="2"/>
      <scheme val="minor"/>
    </font>
    <font>
      <i/>
      <sz val="11"/>
      <color rgb="FFFF0000"/>
      <name val="Calibri"/>
      <family val="2"/>
      <scheme val="minor"/>
    </font>
    <font>
      <b/>
      <sz val="12"/>
      <color theme="1"/>
      <name val="Arial"/>
      <family val="2"/>
    </font>
    <font>
      <b/>
      <sz val="20"/>
      <color theme="1"/>
      <name val="Calibri"/>
      <family val="2"/>
      <scheme val="minor"/>
    </font>
  </fonts>
  <fills count="17">
    <fill>
      <patternFill patternType="none"/>
    </fill>
    <fill>
      <patternFill patternType="gray125"/>
    </fill>
    <fill>
      <patternFill patternType="solid">
        <fgColor theme="5"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bgColor indexed="64"/>
      </patternFill>
    </fill>
    <fill>
      <patternFill patternType="solid">
        <fgColor theme="4"/>
        <bgColor indexed="64"/>
      </patternFill>
    </fill>
    <fill>
      <patternFill patternType="solid">
        <fgColor theme="6"/>
        <bgColor indexed="64"/>
      </patternFill>
    </fill>
    <fill>
      <patternFill patternType="solid">
        <fgColor theme="0"/>
        <bgColor indexed="64"/>
      </patternFill>
    </fill>
    <fill>
      <patternFill patternType="solid">
        <fgColor theme="7"/>
        <bgColor indexed="64"/>
      </patternFill>
    </fill>
    <fill>
      <patternFill patternType="solid">
        <fgColor theme="2"/>
        <bgColor indexed="64"/>
      </patternFill>
    </fill>
    <fill>
      <patternFill patternType="solid">
        <fgColor rgb="FFFFFF00"/>
        <bgColor indexed="64"/>
      </patternFill>
    </fill>
    <fill>
      <patternFill patternType="solid">
        <fgColor theme="9"/>
        <bgColor indexed="64"/>
      </patternFill>
    </fill>
  </fills>
  <borders count="1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9" fontId="10" fillId="0" borderId="0" applyFont="0" applyFill="0" applyBorder="0" applyAlignment="0" applyProtection="0"/>
    <xf numFmtId="0" fontId="11" fillId="0" borderId="0"/>
  </cellStyleXfs>
  <cellXfs count="303">
    <xf numFmtId="0" fontId="0" fillId="0" borderId="0" xfId="0"/>
    <xf numFmtId="0" fontId="2" fillId="0" borderId="0" xfId="0" applyFont="1"/>
    <xf numFmtId="0" fontId="1" fillId="0" borderId="0" xfId="0" applyFont="1"/>
    <xf numFmtId="0" fontId="0" fillId="0" borderId="0" xfId="0" applyBorder="1"/>
    <xf numFmtId="0" fontId="1" fillId="0" borderId="0" xfId="0" applyFont="1" applyBorder="1"/>
    <xf numFmtId="0" fontId="1" fillId="0" borderId="1"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vertical="center"/>
    </xf>
    <xf numFmtId="3" fontId="2" fillId="0" borderId="1" xfId="0" applyNumberFormat="1" applyFont="1" applyBorder="1" applyAlignment="1">
      <alignment vertical="center"/>
    </xf>
    <xf numFmtId="0" fontId="0" fillId="0" borderId="0" xfId="0" applyAlignment="1">
      <alignment horizontal="right"/>
    </xf>
    <xf numFmtId="0" fontId="1" fillId="0" borderId="0" xfId="0" applyFont="1" applyFill="1" applyBorder="1"/>
    <xf numFmtId="3" fontId="1" fillId="0" borderId="2" xfId="0" applyNumberFormat="1" applyFont="1" applyBorder="1" applyAlignment="1">
      <alignment vertical="center"/>
    </xf>
    <xf numFmtId="3" fontId="2" fillId="0" borderId="2" xfId="0" applyNumberFormat="1" applyFont="1" applyBorder="1" applyAlignment="1">
      <alignment vertical="center"/>
    </xf>
    <xf numFmtId="0" fontId="2" fillId="2" borderId="0" xfId="0" applyFont="1" applyFill="1" applyBorder="1" applyAlignment="1">
      <alignment horizontal="right"/>
    </xf>
    <xf numFmtId="3" fontId="1" fillId="0" borderId="1" xfId="0" applyNumberFormat="1" applyFont="1" applyBorder="1" applyAlignment="1">
      <alignment horizontal="right" vertical="center"/>
    </xf>
    <xf numFmtId="3" fontId="0" fillId="0" borderId="1" xfId="0" applyNumberFormat="1" applyBorder="1" applyAlignment="1">
      <alignment horizontal="right"/>
    </xf>
    <xf numFmtId="3" fontId="1" fillId="0" borderId="1" xfId="0" applyNumberFormat="1" applyFont="1" applyBorder="1" applyAlignment="1">
      <alignment horizontal="right"/>
    </xf>
    <xf numFmtId="0" fontId="0" fillId="0" borderId="0" xfId="0" applyAlignment="1">
      <alignment horizontal="left"/>
    </xf>
    <xf numFmtId="49" fontId="0" fillId="0" borderId="1" xfId="0" applyNumberForma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3" fillId="0" borderId="1" xfId="0" applyFont="1" applyBorder="1" applyAlignment="1">
      <alignment horizontal="left"/>
    </xf>
    <xf numFmtId="0" fontId="3" fillId="0" borderId="0" xfId="0" applyFont="1"/>
    <xf numFmtId="0" fontId="1" fillId="0" borderId="0" xfId="0" applyFont="1" applyAlignment="1">
      <alignment horizontal="right"/>
    </xf>
    <xf numFmtId="0" fontId="0" fillId="0" borderId="3" xfId="0" applyBorder="1" applyAlignment="1">
      <alignment horizontal="right"/>
    </xf>
    <xf numFmtId="3" fontId="0" fillId="0" borderId="3" xfId="0" applyNumberFormat="1" applyBorder="1" applyAlignment="1">
      <alignment horizontal="right"/>
    </xf>
    <xf numFmtId="3" fontId="4" fillId="0" borderId="3" xfId="0" applyNumberFormat="1" applyFont="1" applyFill="1" applyBorder="1" applyAlignment="1">
      <alignment horizontal="right" vertical="top" shrinkToFit="1"/>
    </xf>
    <xf numFmtId="0" fontId="5" fillId="0" borderId="3" xfId="0" applyFont="1" applyFill="1" applyBorder="1" applyAlignment="1">
      <alignment horizontal="right" vertical="top" wrapText="1"/>
    </xf>
    <xf numFmtId="3" fontId="3" fillId="0" borderId="3" xfId="0" applyNumberFormat="1" applyFont="1" applyBorder="1" applyAlignment="1">
      <alignment horizontal="right"/>
    </xf>
    <xf numFmtId="0" fontId="2" fillId="0" borderId="3" xfId="0" applyFont="1" applyBorder="1" applyAlignment="1">
      <alignment horizontal="right"/>
    </xf>
    <xf numFmtId="3" fontId="0" fillId="0" borderId="3" xfId="0" applyNumberFormat="1" applyBorder="1" applyAlignment="1">
      <alignment horizontal="right" vertical="center"/>
    </xf>
    <xf numFmtId="3" fontId="1" fillId="0" borderId="3" xfId="0" applyNumberFormat="1" applyFont="1" applyBorder="1" applyAlignment="1">
      <alignment horizontal="right"/>
    </xf>
    <xf numFmtId="3" fontId="2" fillId="0" borderId="3" xfId="0" applyNumberFormat="1" applyFont="1" applyBorder="1" applyAlignment="1">
      <alignment horizontal="right"/>
    </xf>
    <xf numFmtId="3" fontId="6" fillId="0" borderId="3" xfId="0" applyNumberFormat="1" applyFont="1" applyFill="1" applyBorder="1" applyAlignment="1">
      <alignment horizontal="right" vertical="top" shrinkToFit="1"/>
    </xf>
    <xf numFmtId="3" fontId="4" fillId="0" borderId="3" xfId="0" applyNumberFormat="1" applyFont="1" applyFill="1" applyBorder="1" applyAlignment="1">
      <alignment horizontal="right" vertical="center" shrinkToFit="1"/>
    </xf>
    <xf numFmtId="0" fontId="7" fillId="0" borderId="3" xfId="0" applyFont="1" applyFill="1" applyBorder="1" applyAlignment="1">
      <alignment horizontal="right" vertical="top" wrapText="1"/>
    </xf>
    <xf numFmtId="0" fontId="0" fillId="0" borderId="3" xfId="0" applyBorder="1" applyAlignment="1">
      <alignment horizontal="left"/>
    </xf>
    <xf numFmtId="0" fontId="2" fillId="2" borderId="3" xfId="0" applyFont="1" applyFill="1" applyBorder="1" applyAlignment="1">
      <alignment horizontal="right"/>
    </xf>
    <xf numFmtId="3" fontId="0" fillId="0" borderId="0" xfId="0" applyNumberFormat="1" applyAlignment="1">
      <alignment horizontal="right"/>
    </xf>
    <xf numFmtId="3" fontId="0" fillId="0" borderId="0" xfId="0" applyNumberFormat="1" applyFont="1" applyFill="1" applyBorder="1" applyAlignment="1">
      <alignment horizontal="right" vertical="top"/>
    </xf>
    <xf numFmtId="3" fontId="9" fillId="0" borderId="2" xfId="0" applyNumberFormat="1" applyFont="1" applyBorder="1" applyAlignment="1">
      <alignment horizontal="right"/>
    </xf>
    <xf numFmtId="3" fontId="0" fillId="0" borderId="2" xfId="0" applyNumberFormat="1" applyFont="1" applyBorder="1" applyAlignment="1">
      <alignment horizontal="right"/>
    </xf>
    <xf numFmtId="3" fontId="0" fillId="0" borderId="2" xfId="0" applyNumberFormat="1" applyFont="1" applyFill="1" applyBorder="1" applyAlignment="1">
      <alignment horizontal="right" vertical="top"/>
    </xf>
    <xf numFmtId="3" fontId="0" fillId="0" borderId="2" xfId="0" applyNumberFormat="1" applyFont="1" applyBorder="1" applyAlignment="1">
      <alignment horizontal="right" vertical="center" wrapText="1"/>
    </xf>
    <xf numFmtId="3" fontId="2" fillId="0" borderId="2" xfId="0" applyNumberFormat="1" applyFont="1" applyBorder="1" applyAlignment="1">
      <alignment horizontal="right" wrapText="1"/>
    </xf>
    <xf numFmtId="3" fontId="2" fillId="0" borderId="2" xfId="0" applyNumberFormat="1" applyFont="1" applyBorder="1" applyAlignment="1">
      <alignment horizontal="right"/>
    </xf>
    <xf numFmtId="0" fontId="2" fillId="4" borderId="3" xfId="0" applyFont="1" applyFill="1" applyBorder="1" applyAlignment="1">
      <alignment horizontal="left"/>
    </xf>
    <xf numFmtId="1" fontId="2" fillId="2" borderId="3" xfId="0" applyNumberFormat="1" applyFont="1" applyFill="1" applyBorder="1" applyAlignment="1">
      <alignment horizontal="right"/>
    </xf>
    <xf numFmtId="3" fontId="0" fillId="0" borderId="2" xfId="0" applyNumberFormat="1" applyBorder="1" applyAlignment="1">
      <alignment horizontal="right"/>
    </xf>
    <xf numFmtId="0" fontId="0" fillId="0" borderId="2" xfId="0" applyBorder="1" applyAlignment="1">
      <alignment horizontal="right"/>
    </xf>
    <xf numFmtId="0" fontId="2" fillId="0" borderId="5" xfId="0" applyFont="1" applyBorder="1"/>
    <xf numFmtId="0" fontId="0" fillId="0" borderId="4" xfId="0" applyBorder="1" applyAlignment="1">
      <alignment horizontal="right"/>
    </xf>
    <xf numFmtId="0" fontId="8" fillId="0" borderId="6" xfId="0" applyFont="1" applyBorder="1"/>
    <xf numFmtId="3" fontId="1" fillId="0" borderId="7" xfId="0" applyNumberFormat="1" applyFont="1" applyBorder="1" applyAlignment="1">
      <alignment horizontal="right"/>
    </xf>
    <xf numFmtId="3" fontId="0" fillId="0" borderId="4" xfId="0" applyNumberFormat="1" applyBorder="1" applyAlignment="1">
      <alignment horizontal="right"/>
    </xf>
    <xf numFmtId="0" fontId="2" fillId="0" borderId="6" xfId="0" applyFont="1" applyBorder="1"/>
    <xf numFmtId="3" fontId="2" fillId="0" borderId="4" xfId="0" applyNumberFormat="1" applyFont="1" applyBorder="1" applyAlignment="1">
      <alignment horizontal="right"/>
    </xf>
    <xf numFmtId="0" fontId="8" fillId="0" borderId="6" xfId="0" applyFont="1" applyBorder="1" applyAlignment="1">
      <alignment horizontal="left"/>
    </xf>
    <xf numFmtId="3" fontId="0" fillId="0" borderId="4" xfId="0" applyNumberFormat="1" applyFont="1" applyBorder="1" applyAlignment="1">
      <alignment horizontal="right"/>
    </xf>
    <xf numFmtId="0" fontId="8" fillId="0" borderId="6" xfId="0" applyFont="1" applyBorder="1" applyAlignment="1">
      <alignment horizontal="left" vertical="center" wrapText="1"/>
    </xf>
    <xf numFmtId="3" fontId="0" fillId="0" borderId="4" xfId="0" applyNumberFormat="1" applyFont="1" applyBorder="1" applyAlignment="1">
      <alignment horizontal="right" vertical="center" wrapText="1"/>
    </xf>
    <xf numFmtId="0" fontId="8" fillId="0" borderId="6" xfId="0" applyFont="1" applyBorder="1" applyAlignment="1">
      <alignment horizontal="left" wrapText="1"/>
    </xf>
    <xf numFmtId="3" fontId="0" fillId="0" borderId="4" xfId="0" applyNumberFormat="1" applyFont="1" applyBorder="1" applyAlignment="1">
      <alignment horizontal="right" wrapText="1"/>
    </xf>
    <xf numFmtId="0" fontId="2" fillId="0" borderId="6" xfId="0" applyFont="1" applyBorder="1" applyAlignment="1">
      <alignment horizontal="left"/>
    </xf>
    <xf numFmtId="3" fontId="9" fillId="0" borderId="4" xfId="0" applyNumberFormat="1" applyFont="1" applyBorder="1" applyAlignment="1">
      <alignment horizontal="right"/>
    </xf>
    <xf numFmtId="0" fontId="2" fillId="6" borderId="0" xfId="0" applyFont="1" applyFill="1"/>
    <xf numFmtId="0" fontId="2" fillId="0" borderId="0" xfId="0" applyFont="1" applyAlignment="1">
      <alignment horizontal="left"/>
    </xf>
    <xf numFmtId="3" fontId="2"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0" fillId="0" borderId="0" xfId="0" applyNumberFormat="1"/>
    <xf numFmtId="3" fontId="2" fillId="0" borderId="0" xfId="0" applyNumberFormat="1" applyFont="1" applyAlignment="1">
      <alignment horizontal="right"/>
    </xf>
    <xf numFmtId="0" fontId="2" fillId="0" borderId="11" xfId="0" applyFont="1" applyBorder="1"/>
    <xf numFmtId="0" fontId="0" fillId="0" borderId="11" xfId="0" applyBorder="1"/>
    <xf numFmtId="3" fontId="0" fillId="0" borderId="0" xfId="0" applyNumberFormat="1" applyBorder="1"/>
    <xf numFmtId="3" fontId="0" fillId="0" borderId="12" xfId="0" applyNumberFormat="1" applyBorder="1"/>
    <xf numFmtId="3" fontId="2" fillId="0" borderId="0" xfId="0" applyNumberFormat="1" applyFont="1" applyBorder="1"/>
    <xf numFmtId="3" fontId="2" fillId="0" borderId="12" xfId="0" applyNumberFormat="1" applyFont="1" applyBorder="1"/>
    <xf numFmtId="3" fontId="2" fillId="0" borderId="1" xfId="0" applyNumberFormat="1" applyFont="1" applyBorder="1"/>
    <xf numFmtId="3" fontId="2" fillId="0" borderId="7" xfId="0" applyNumberFormat="1" applyFont="1" applyBorder="1"/>
    <xf numFmtId="3" fontId="0" fillId="0" borderId="0" xfId="0" applyNumberFormat="1" applyBorder="1" applyAlignment="1">
      <alignment horizontal="right"/>
    </xf>
    <xf numFmtId="3" fontId="0" fillId="0" borderId="12" xfId="0" applyNumberFormat="1" applyBorder="1" applyAlignment="1">
      <alignment horizontal="right"/>
    </xf>
    <xf numFmtId="3" fontId="2" fillId="0" borderId="0" xfId="0" applyNumberFormat="1" applyFont="1" applyBorder="1" applyAlignment="1">
      <alignment horizontal="right"/>
    </xf>
    <xf numFmtId="3" fontId="2" fillId="0" borderId="12" xfId="0" applyNumberFormat="1" applyFont="1" applyBorder="1" applyAlignment="1">
      <alignment horizontal="right"/>
    </xf>
    <xf numFmtId="3" fontId="2" fillId="0" borderId="1" xfId="0" applyNumberFormat="1" applyFont="1" applyBorder="1" applyAlignment="1">
      <alignment horizontal="right"/>
    </xf>
    <xf numFmtId="3" fontId="2" fillId="0" borderId="5" xfId="0" applyNumberFormat="1" applyFont="1" applyBorder="1" applyAlignment="1">
      <alignment vertical="center"/>
    </xf>
    <xf numFmtId="3" fontId="1" fillId="0" borderId="0" xfId="0" applyNumberFormat="1" applyFont="1" applyBorder="1" applyAlignment="1">
      <alignment vertical="center"/>
    </xf>
    <xf numFmtId="3" fontId="2" fillId="0" borderId="0" xfId="0" applyNumberFormat="1" applyFont="1" applyBorder="1" applyAlignment="1">
      <alignment vertical="center"/>
    </xf>
    <xf numFmtId="3" fontId="1" fillId="0" borderId="0" xfId="0" applyNumberFormat="1" applyFont="1" applyBorder="1" applyAlignment="1">
      <alignment horizontal="right" vertical="center"/>
    </xf>
    <xf numFmtId="3" fontId="1" fillId="0" borderId="11" xfId="0" applyNumberFormat="1" applyFont="1" applyBorder="1" applyAlignment="1">
      <alignment vertical="center"/>
    </xf>
    <xf numFmtId="3" fontId="2" fillId="0" borderId="11" xfId="0" applyNumberFormat="1" applyFont="1" applyBorder="1" applyAlignment="1">
      <alignment vertical="center"/>
    </xf>
    <xf numFmtId="10" fontId="0" fillId="0" borderId="0" xfId="1" applyNumberFormat="1" applyFont="1"/>
    <xf numFmtId="10" fontId="0" fillId="0" borderId="0" xfId="0" applyNumberFormat="1"/>
    <xf numFmtId="0" fontId="8" fillId="0" borderId="0" xfId="0" applyFont="1"/>
    <xf numFmtId="10" fontId="8" fillId="0" borderId="0" xfId="0" applyNumberFormat="1" applyFont="1"/>
    <xf numFmtId="1" fontId="0" fillId="0" borderId="0" xfId="0" applyNumberFormat="1"/>
    <xf numFmtId="1" fontId="9" fillId="0" borderId="4" xfId="0" applyNumberFormat="1" applyFont="1" applyBorder="1" applyAlignment="1">
      <alignment horizontal="right"/>
    </xf>
    <xf numFmtId="3" fontId="8" fillId="0" borderId="0" xfId="0" applyNumberFormat="1" applyFont="1"/>
    <xf numFmtId="3" fontId="0" fillId="0" borderId="11" xfId="0" applyNumberFormat="1" applyBorder="1"/>
    <xf numFmtId="3" fontId="0" fillId="0" borderId="1" xfId="0" applyNumberFormat="1" applyBorder="1"/>
    <xf numFmtId="3" fontId="0" fillId="0" borderId="7" xfId="0" applyNumberFormat="1" applyBorder="1"/>
    <xf numFmtId="3" fontId="2" fillId="0" borderId="11" xfId="0" applyNumberFormat="1" applyFont="1" applyBorder="1"/>
    <xf numFmtId="0" fontId="12" fillId="5" borderId="0" xfId="0" applyFont="1" applyFill="1"/>
    <xf numFmtId="0" fontId="12" fillId="5" borderId="8" xfId="0" applyFont="1" applyFill="1" applyBorder="1"/>
    <xf numFmtId="0" fontId="12" fillId="5" borderId="9" xfId="0" applyFont="1" applyFill="1" applyBorder="1"/>
    <xf numFmtId="0" fontId="12" fillId="5" borderId="10" xfId="0" applyFont="1" applyFill="1" applyBorder="1"/>
    <xf numFmtId="0" fontId="13" fillId="0" borderId="11" xfId="0" applyFont="1" applyBorder="1"/>
    <xf numFmtId="0" fontId="14" fillId="0" borderId="11" xfId="0" applyFont="1" applyBorder="1"/>
    <xf numFmtId="0" fontId="7" fillId="0" borderId="11" xfId="0" applyFont="1" applyBorder="1"/>
    <xf numFmtId="0" fontId="13" fillId="0" borderId="11" xfId="0" applyFont="1" applyFill="1" applyBorder="1"/>
    <xf numFmtId="0" fontId="14" fillId="0" borderId="11" xfId="0" applyFont="1" applyFill="1" applyBorder="1"/>
    <xf numFmtId="0" fontId="7" fillId="0" borderId="11" xfId="0" applyFont="1" applyFill="1" applyBorder="1"/>
    <xf numFmtId="0" fontId="14" fillId="0" borderId="5" xfId="0" applyFont="1" applyFill="1" applyBorder="1"/>
    <xf numFmtId="0" fontId="2" fillId="6" borderId="8" xfId="0" applyFont="1" applyFill="1" applyBorder="1" applyAlignment="1">
      <alignment horizontal="left"/>
    </xf>
    <xf numFmtId="0" fontId="2" fillId="6" borderId="9" xfId="0" applyFont="1" applyFill="1" applyBorder="1" applyAlignment="1">
      <alignment horizontal="right"/>
    </xf>
    <xf numFmtId="3" fontId="2" fillId="6" borderId="9" xfId="0" applyNumberFormat="1" applyFont="1" applyFill="1" applyBorder="1" applyAlignment="1">
      <alignment horizontal="right" vertical="top"/>
    </xf>
    <xf numFmtId="0" fontId="2" fillId="6" borderId="10" xfId="0" applyFont="1" applyFill="1" applyBorder="1" applyAlignment="1">
      <alignment horizontal="right"/>
    </xf>
    <xf numFmtId="0" fontId="2" fillId="0" borderId="11" xfId="0" applyFont="1" applyBorder="1" applyAlignment="1">
      <alignment horizontal="left"/>
    </xf>
    <xf numFmtId="0" fontId="2" fillId="0" borderId="0" xfId="0" applyFont="1" applyBorder="1" applyAlignment="1">
      <alignment horizontal="right"/>
    </xf>
    <xf numFmtId="0" fontId="2" fillId="0" borderId="12" xfId="0" applyFont="1" applyBorder="1" applyAlignment="1">
      <alignment horizontal="right"/>
    </xf>
    <xf numFmtId="0" fontId="0" fillId="0" borderId="11" xfId="0" applyBorder="1" applyAlignment="1">
      <alignment horizontal="left"/>
    </xf>
    <xf numFmtId="0" fontId="2" fillId="0" borderId="0" xfId="0" applyFont="1" applyBorder="1" applyAlignment="1">
      <alignment horizontal="left"/>
    </xf>
    <xf numFmtId="0" fontId="2" fillId="0" borderId="12" xfId="0" applyFont="1" applyBorder="1"/>
    <xf numFmtId="0" fontId="1" fillId="0" borderId="11" xfId="0" applyFont="1" applyBorder="1" applyAlignment="1">
      <alignment horizontal="left"/>
    </xf>
    <xf numFmtId="3" fontId="1" fillId="0" borderId="0" xfId="0" applyNumberFormat="1" applyFont="1" applyBorder="1" applyAlignment="1">
      <alignment horizontal="right"/>
    </xf>
    <xf numFmtId="3" fontId="1" fillId="0" borderId="12" xfId="0" applyNumberFormat="1" applyFont="1" applyBorder="1" applyAlignment="1">
      <alignment horizontal="right"/>
    </xf>
    <xf numFmtId="0" fontId="12" fillId="0" borderId="11" xfId="0" applyFont="1" applyBorder="1" applyAlignment="1">
      <alignment horizontal="left"/>
    </xf>
    <xf numFmtId="3" fontId="12" fillId="0" borderId="0" xfId="0" applyNumberFormat="1" applyFont="1" applyBorder="1" applyAlignment="1">
      <alignment horizontal="right"/>
    </xf>
    <xf numFmtId="0" fontId="12" fillId="0" borderId="5" xfId="0" applyFont="1" applyBorder="1" applyAlignment="1">
      <alignment horizontal="left"/>
    </xf>
    <xf numFmtId="3" fontId="12" fillId="0" borderId="1" xfId="0" applyNumberFormat="1" applyFont="1" applyBorder="1" applyAlignment="1">
      <alignment horizontal="right"/>
    </xf>
    <xf numFmtId="3" fontId="12" fillId="0" borderId="7" xfId="0" applyNumberFormat="1" applyFont="1" applyBorder="1" applyAlignment="1">
      <alignment horizontal="right"/>
    </xf>
    <xf numFmtId="0" fontId="0" fillId="0" borderId="8" xfId="0" applyBorder="1"/>
    <xf numFmtId="0" fontId="0" fillId="0" borderId="9" xfId="0" applyBorder="1"/>
    <xf numFmtId="0" fontId="0" fillId="0" borderId="10" xfId="0" applyBorder="1"/>
    <xf numFmtId="3" fontId="2" fillId="0" borderId="5" xfId="0" applyNumberFormat="1" applyFont="1" applyBorder="1"/>
    <xf numFmtId="0" fontId="2" fillId="6" borderId="6" xfId="0" applyFont="1" applyFill="1" applyBorder="1"/>
    <xf numFmtId="0" fontId="2" fillId="6" borderId="2" xfId="0" applyFont="1" applyFill="1" applyBorder="1"/>
    <xf numFmtId="0" fontId="12" fillId="5" borderId="6" xfId="0" applyFont="1" applyFill="1" applyBorder="1"/>
    <xf numFmtId="0" fontId="12" fillId="5" borderId="2" xfId="0" applyFont="1" applyFill="1" applyBorder="1"/>
    <xf numFmtId="0" fontId="12" fillId="5" borderId="4" xfId="0" applyFont="1" applyFill="1" applyBorder="1"/>
    <xf numFmtId="0" fontId="15" fillId="0" borderId="0" xfId="0" applyFont="1" applyBorder="1"/>
    <xf numFmtId="3" fontId="15" fillId="0" borderId="0" xfId="0" applyNumberFormat="1" applyFont="1" applyBorder="1"/>
    <xf numFmtId="0" fontId="0" fillId="0" borderId="12" xfId="0" applyBorder="1"/>
    <xf numFmtId="3" fontId="0" fillId="0" borderId="0" xfId="0" applyNumberFormat="1" applyFill="1" applyBorder="1"/>
    <xf numFmtId="0" fontId="7" fillId="0" borderId="5" xfId="0" applyFont="1" applyFill="1" applyBorder="1"/>
    <xf numFmtId="0" fontId="13" fillId="6" borderId="6" xfId="0" applyFont="1" applyFill="1" applyBorder="1"/>
    <xf numFmtId="0" fontId="7" fillId="6" borderId="6" xfId="0" applyFont="1" applyFill="1" applyBorder="1"/>
    <xf numFmtId="0" fontId="2" fillId="6" borderId="4" xfId="0" applyFont="1" applyFill="1" applyBorder="1"/>
    <xf numFmtId="3" fontId="0" fillId="0" borderId="5" xfId="0" applyNumberFormat="1" applyBorder="1"/>
    <xf numFmtId="3" fontId="2" fillId="0" borderId="7" xfId="0" applyNumberFormat="1" applyFont="1" applyFill="1" applyBorder="1"/>
    <xf numFmtId="0" fontId="0" fillId="0" borderId="3" xfId="0" applyBorder="1" applyAlignment="1">
      <alignment horizontal="center"/>
    </xf>
    <xf numFmtId="0" fontId="17" fillId="0" borderId="0" xfId="0" applyFont="1"/>
    <xf numFmtId="3" fontId="1" fillId="0" borderId="3" xfId="0" applyNumberFormat="1" applyFont="1" applyBorder="1" applyAlignment="1">
      <alignment horizontal="center" vertical="center"/>
    </xf>
    <xf numFmtId="9" fontId="1" fillId="0" borderId="3" xfId="1" applyFont="1" applyBorder="1" applyAlignment="1">
      <alignment horizontal="center" vertical="center"/>
    </xf>
    <xf numFmtId="9" fontId="0" fillId="0" borderId="3" xfId="1" applyFont="1" applyBorder="1" applyAlignment="1">
      <alignment horizontal="center"/>
    </xf>
    <xf numFmtId="0" fontId="18" fillId="8" borderId="3" xfId="0" applyFont="1" applyFill="1" applyBorder="1" applyAlignment="1">
      <alignment horizontal="center"/>
    </xf>
    <xf numFmtId="0" fontId="0" fillId="0" borderId="3" xfId="0" applyFont="1" applyBorder="1" applyAlignment="1">
      <alignment horizontal="center"/>
    </xf>
    <xf numFmtId="164" fontId="1" fillId="0" borderId="3" xfId="1" applyNumberFormat="1" applyFont="1" applyBorder="1" applyAlignment="1">
      <alignment horizontal="center" vertical="center"/>
    </xf>
    <xf numFmtId="164" fontId="0" fillId="0" borderId="3" xfId="1" applyNumberFormat="1" applyFont="1" applyBorder="1" applyAlignment="1">
      <alignment horizontal="center"/>
    </xf>
    <xf numFmtId="0" fontId="17" fillId="0" borderId="0" xfId="0" applyFont="1" applyAlignment="1">
      <alignment horizontal="right"/>
    </xf>
    <xf numFmtId="0" fontId="18" fillId="0" borderId="0" xfId="0" applyFont="1"/>
    <xf numFmtId="0" fontId="9" fillId="0" borderId="3" xfId="0" applyFont="1" applyBorder="1" applyAlignment="1">
      <alignment horizontal="center"/>
    </xf>
    <xf numFmtId="0" fontId="0" fillId="0" borderId="3" xfId="0" applyBorder="1"/>
    <xf numFmtId="165" fontId="0" fillId="0" borderId="3" xfId="0" applyNumberFormat="1" applyBorder="1"/>
    <xf numFmtId="10" fontId="0" fillId="0" borderId="3" xfId="1" applyNumberFormat="1" applyFont="1" applyBorder="1"/>
    <xf numFmtId="166" fontId="0" fillId="0" borderId="3" xfId="1" applyNumberFormat="1" applyFont="1" applyBorder="1"/>
    <xf numFmtId="167" fontId="0" fillId="0" borderId="3" xfId="1" applyNumberFormat="1" applyFont="1" applyBorder="1"/>
    <xf numFmtId="168" fontId="0" fillId="0" borderId="3" xfId="1" applyNumberFormat="1" applyFont="1" applyBorder="1"/>
    <xf numFmtId="164" fontId="0" fillId="0" borderId="3" xfId="0" applyNumberFormat="1" applyBorder="1" applyAlignment="1">
      <alignment horizontal="center"/>
    </xf>
    <xf numFmtId="166" fontId="0" fillId="0" borderId="3" xfId="0" applyNumberFormat="1" applyBorder="1" applyAlignment="1">
      <alignment horizontal="center"/>
    </xf>
    <xf numFmtId="0" fontId="17" fillId="0" borderId="13" xfId="0" applyFont="1" applyBorder="1" applyAlignment="1">
      <alignment horizontal="center"/>
    </xf>
    <xf numFmtId="0" fontId="17" fillId="0" borderId="14" xfId="0" applyFont="1" applyBorder="1"/>
    <xf numFmtId="0" fontId="0" fillId="0" borderId="3" xfId="0" applyBorder="1" applyAlignment="1">
      <alignment horizontal="center" wrapText="1"/>
    </xf>
    <xf numFmtId="10" fontId="0" fillId="0" borderId="3" xfId="0" applyNumberFormat="1" applyBorder="1" applyAlignment="1">
      <alignment horizontal="center" wrapText="1"/>
    </xf>
    <xf numFmtId="0" fontId="0" fillId="9" borderId="3" xfId="0" applyFill="1" applyBorder="1"/>
    <xf numFmtId="166" fontId="0" fillId="9" borderId="3" xfId="0" applyNumberFormat="1" applyFill="1" applyBorder="1"/>
    <xf numFmtId="0" fontId="0" fillId="10" borderId="3" xfId="0" applyFill="1" applyBorder="1"/>
    <xf numFmtId="166" fontId="0" fillId="10" borderId="3" xfId="0" applyNumberFormat="1" applyFill="1" applyBorder="1"/>
    <xf numFmtId="0" fontId="0" fillId="11" borderId="3" xfId="0" applyFill="1" applyBorder="1"/>
    <xf numFmtId="166" fontId="0" fillId="11" borderId="3" xfId="0" applyNumberFormat="1" applyFill="1" applyBorder="1"/>
    <xf numFmtId="0" fontId="0" fillId="12" borderId="0" xfId="0" applyFill="1"/>
    <xf numFmtId="1" fontId="0" fillId="0" borderId="3" xfId="0" applyNumberFormat="1" applyBorder="1" applyAlignment="1">
      <alignment horizontal="center"/>
    </xf>
    <xf numFmtId="0" fontId="0" fillId="0" borderId="3" xfId="0" applyBorder="1" applyAlignment="1">
      <alignment horizontal="center" vertical="center"/>
    </xf>
    <xf numFmtId="3" fontId="0" fillId="0" borderId="3" xfId="1" applyNumberFormat="1" applyFont="1" applyBorder="1" applyAlignment="1">
      <alignment horizontal="center" vertical="center"/>
    </xf>
    <xf numFmtId="0" fontId="21" fillId="0" borderId="0" xfId="0" applyFont="1"/>
    <xf numFmtId="165" fontId="17" fillId="0" borderId="0" xfId="0" applyNumberFormat="1" applyFont="1" applyAlignment="1">
      <alignment horizontal="center"/>
    </xf>
    <xf numFmtId="0" fontId="17" fillId="0" borderId="0" xfId="0" applyFont="1" applyAlignment="1">
      <alignment horizontal="center"/>
    </xf>
    <xf numFmtId="0" fontId="0" fillId="13" borderId="0" xfId="0" applyFill="1"/>
    <xf numFmtId="0" fontId="9" fillId="0" borderId="3" xfId="0" applyFont="1" applyFill="1" applyBorder="1" applyAlignment="1">
      <alignment horizontal="center" vertical="center"/>
    </xf>
    <xf numFmtId="3" fontId="0" fillId="0" borderId="3" xfId="0" applyNumberFormat="1" applyBorder="1" applyAlignment="1">
      <alignment horizontal="center" vertical="center"/>
    </xf>
    <xf numFmtId="0" fontId="9" fillId="0" borderId="3" xfId="0" applyFont="1" applyBorder="1" applyAlignment="1">
      <alignment horizontal="center" vertical="center"/>
    </xf>
    <xf numFmtId="0" fontId="21" fillId="0" borderId="0" xfId="0" applyFont="1" applyAlignment="1">
      <alignment vertical="center" wrapText="1"/>
    </xf>
    <xf numFmtId="3" fontId="0" fillId="0" borderId="9" xfId="0" applyNumberFormat="1" applyBorder="1"/>
    <xf numFmtId="3" fontId="0" fillId="0" borderId="10" xfId="0" applyNumberFormat="1" applyBorder="1"/>
    <xf numFmtId="3" fontId="9" fillId="0" borderId="0" xfId="0" applyNumberFormat="1" applyFont="1" applyBorder="1"/>
    <xf numFmtId="3" fontId="9" fillId="0" borderId="12" xfId="0" applyNumberFormat="1" applyFont="1" applyBorder="1"/>
    <xf numFmtId="3" fontId="0" fillId="0" borderId="12" xfId="0" applyNumberFormat="1" applyFill="1" applyBorder="1"/>
    <xf numFmtId="3" fontId="9" fillId="0" borderId="1" xfId="0" applyNumberFormat="1" applyFont="1" applyBorder="1"/>
    <xf numFmtId="3" fontId="9" fillId="0" borderId="7" xfId="0" applyNumberFormat="1" applyFont="1" applyBorder="1"/>
    <xf numFmtId="0" fontId="2" fillId="6" borderId="3" xfId="0" applyFont="1" applyFill="1" applyBorder="1"/>
    <xf numFmtId="0" fontId="0" fillId="0" borderId="15" xfId="0" applyBorder="1"/>
    <xf numFmtId="0" fontId="0" fillId="0" borderId="16" xfId="0" applyBorder="1"/>
    <xf numFmtId="0" fontId="9" fillId="0" borderId="16" xfId="0" applyFont="1" applyBorder="1"/>
    <xf numFmtId="0" fontId="0" fillId="0" borderId="16" xfId="0" applyFill="1" applyBorder="1"/>
    <xf numFmtId="0" fontId="9" fillId="0" borderId="17" xfId="0" applyFont="1" applyBorder="1"/>
    <xf numFmtId="3" fontId="0" fillId="0" borderId="8" xfId="0" applyNumberFormat="1" applyBorder="1"/>
    <xf numFmtId="3" fontId="9" fillId="0" borderId="11" xfId="0" applyNumberFormat="1" applyFont="1" applyBorder="1"/>
    <xf numFmtId="3" fontId="0" fillId="0" borderId="11" xfId="0" applyNumberFormat="1" applyFill="1" applyBorder="1"/>
    <xf numFmtId="3" fontId="9" fillId="0" borderId="5" xfId="0" applyNumberFormat="1" applyFont="1" applyBorder="1"/>
    <xf numFmtId="3" fontId="24" fillId="0" borderId="0" xfId="0" applyNumberFormat="1" applyFont="1"/>
    <xf numFmtId="0" fontId="25" fillId="0" borderId="11" xfId="0" applyFont="1" applyFill="1" applyBorder="1"/>
    <xf numFmtId="3" fontId="26" fillId="0" borderId="0" xfId="0" applyNumberFormat="1" applyFont="1"/>
    <xf numFmtId="0" fontId="18" fillId="13" borderId="0" xfId="0" applyFont="1" applyFill="1" applyAlignment="1">
      <alignment horizontal="center"/>
    </xf>
    <xf numFmtId="0" fontId="18" fillId="13" borderId="0" xfId="0" applyFont="1" applyFill="1"/>
    <xf numFmtId="0" fontId="9" fillId="13" borderId="3" xfId="0" applyFont="1" applyFill="1" applyBorder="1" applyAlignment="1">
      <alignment horizontal="center" vertical="center"/>
    </xf>
    <xf numFmtId="0" fontId="0" fillId="13" borderId="3" xfId="0" applyFill="1" applyBorder="1"/>
    <xf numFmtId="3" fontId="0" fillId="0" borderId="3" xfId="0" applyNumberFormat="1" applyBorder="1"/>
    <xf numFmtId="0" fontId="9" fillId="14" borderId="3" xfId="0" applyFont="1" applyFill="1" applyBorder="1"/>
    <xf numFmtId="3" fontId="9" fillId="14" borderId="3" xfId="0" applyNumberFormat="1" applyFont="1" applyFill="1" applyBorder="1"/>
    <xf numFmtId="0" fontId="0" fillId="0" borderId="6" xfId="0" applyBorder="1"/>
    <xf numFmtId="0" fontId="27" fillId="0" borderId="0" xfId="0" applyFont="1"/>
    <xf numFmtId="0" fontId="28" fillId="0" borderId="0" xfId="0" applyFont="1"/>
    <xf numFmtId="0" fontId="0" fillId="0" borderId="15" xfId="0" applyBorder="1" applyAlignment="1">
      <alignment wrapText="1"/>
    </xf>
    <xf numFmtId="0" fontId="0" fillId="0" borderId="16" xfId="0" applyBorder="1" applyAlignment="1">
      <alignment wrapText="1"/>
    </xf>
    <xf numFmtId="0" fontId="9" fillId="0" borderId="17" xfId="0" applyFont="1" applyBorder="1" applyAlignment="1">
      <alignment wrapText="1"/>
    </xf>
    <xf numFmtId="10" fontId="0" fillId="0" borderId="0" xfId="1" applyNumberFormat="1" applyFont="1" applyBorder="1"/>
    <xf numFmtId="10" fontId="0" fillId="0" borderId="12" xfId="1" applyNumberFormat="1" applyFont="1" applyBorder="1"/>
    <xf numFmtId="0" fontId="0" fillId="0" borderId="5" xfId="0" applyBorder="1"/>
    <xf numFmtId="10" fontId="0" fillId="0" borderId="1" xfId="1" applyNumberFormat="1" applyFont="1" applyBorder="1"/>
    <xf numFmtId="10" fontId="0" fillId="0" borderId="7" xfId="1" applyNumberFormat="1" applyFont="1" applyBorder="1"/>
    <xf numFmtId="10" fontId="0" fillId="0" borderId="11" xfId="1" applyNumberFormat="1" applyFont="1" applyBorder="1"/>
    <xf numFmtId="10" fontId="0" fillId="0" borderId="11" xfId="0" applyNumberFormat="1" applyBorder="1"/>
    <xf numFmtId="10" fontId="0" fillId="0" borderId="5" xfId="1" applyNumberFormat="1" applyFont="1" applyBorder="1"/>
    <xf numFmtId="9" fontId="5" fillId="0" borderId="3" xfId="0" applyNumberFormat="1" applyFont="1" applyBorder="1"/>
    <xf numFmtId="3" fontId="0" fillId="0" borderId="15" xfId="0" applyNumberFormat="1" applyBorder="1"/>
    <xf numFmtId="3" fontId="0" fillId="15" borderId="3" xfId="0" applyNumberFormat="1" applyFill="1" applyBorder="1"/>
    <xf numFmtId="3" fontId="0" fillId="0" borderId="16" xfId="0" applyNumberFormat="1" applyBorder="1"/>
    <xf numFmtId="3" fontId="0" fillId="0" borderId="17" xfId="0" applyNumberFormat="1" applyBorder="1"/>
    <xf numFmtId="0" fontId="0" fillId="0" borderId="5" xfId="0" applyFill="1" applyBorder="1" applyAlignment="1">
      <alignment wrapText="1"/>
    </xf>
    <xf numFmtId="0" fontId="12" fillId="5" borderId="3" xfId="0" applyFont="1" applyFill="1" applyBorder="1"/>
    <xf numFmtId="0" fontId="0" fillId="0" borderId="3" xfId="0" applyBorder="1" applyAlignment="1">
      <alignment wrapText="1"/>
    </xf>
    <xf numFmtId="2" fontId="0" fillId="0" borderId="11" xfId="1" applyNumberFormat="1" applyFont="1" applyBorder="1"/>
    <xf numFmtId="9" fontId="0" fillId="0" borderId="0" xfId="1" applyFont="1"/>
    <xf numFmtId="164" fontId="0" fillId="0" borderId="3" xfId="1" applyNumberFormat="1" applyFont="1" applyBorder="1"/>
    <xf numFmtId="8" fontId="0" fillId="0" borderId="0" xfId="0" applyNumberFormat="1"/>
    <xf numFmtId="9" fontId="0" fillId="0" borderId="3" xfId="1" applyFont="1" applyBorder="1"/>
    <xf numFmtId="0" fontId="2" fillId="0" borderId="6" xfId="0" applyFont="1" applyBorder="1" applyAlignment="1">
      <alignment horizontal="left"/>
    </xf>
    <xf numFmtId="0" fontId="2" fillId="0" borderId="2" xfId="0" applyFont="1" applyBorder="1" applyAlignment="1">
      <alignment horizontal="left"/>
    </xf>
    <xf numFmtId="0" fontId="2" fillId="0" borderId="4" xfId="0" applyFont="1" applyBorder="1" applyAlignment="1">
      <alignment horizontal="left"/>
    </xf>
    <xf numFmtId="0" fontId="2" fillId="0" borderId="5" xfId="0" applyFont="1" applyFill="1" applyBorder="1" applyAlignment="1">
      <alignment horizontal="left"/>
    </xf>
    <xf numFmtId="0" fontId="2" fillId="0" borderId="1" xfId="0" applyFont="1" applyFill="1" applyBorder="1" applyAlignment="1">
      <alignment horizontal="left"/>
    </xf>
    <xf numFmtId="0" fontId="2" fillId="0" borderId="7" xfId="0" applyFont="1" applyFill="1" applyBorder="1" applyAlignment="1">
      <alignment horizontal="left"/>
    </xf>
    <xf numFmtId="0" fontId="2" fillId="0" borderId="6" xfId="0" applyFont="1" applyFill="1" applyBorder="1" applyAlignment="1">
      <alignment horizontal="left"/>
    </xf>
    <xf numFmtId="0" fontId="2" fillId="0" borderId="2" xfId="0" applyFont="1" applyFill="1" applyBorder="1" applyAlignment="1">
      <alignment horizontal="left"/>
    </xf>
    <xf numFmtId="0" fontId="2" fillId="0" borderId="4" xfId="0" applyFont="1" applyFill="1" applyBorder="1" applyAlignment="1">
      <alignment horizontal="left"/>
    </xf>
    <xf numFmtId="0" fontId="8" fillId="0" borderId="6" xfId="0" applyFont="1" applyBorder="1" applyAlignment="1">
      <alignment horizontal="left"/>
    </xf>
    <xf numFmtId="0" fontId="8" fillId="0" borderId="2" xfId="0" applyFont="1" applyBorder="1" applyAlignment="1">
      <alignment horizontal="left"/>
    </xf>
    <xf numFmtId="0" fontId="8" fillId="0" borderId="4" xfId="0" applyFont="1" applyBorder="1" applyAlignment="1">
      <alignment horizontal="left"/>
    </xf>
    <xf numFmtId="0" fontId="2" fillId="3" borderId="2" xfId="0" applyFont="1" applyFill="1" applyBorder="1" applyAlignment="1">
      <alignment horizontal="left"/>
    </xf>
    <xf numFmtId="0" fontId="2" fillId="3" borderId="4" xfId="0" applyFont="1" applyFill="1" applyBorder="1" applyAlignment="1">
      <alignment horizontal="left"/>
    </xf>
    <xf numFmtId="0" fontId="0" fillId="0" borderId="0" xfId="0" applyAlignment="1">
      <alignment horizontal="center" vertical="center" wrapText="1"/>
    </xf>
    <xf numFmtId="0" fontId="2" fillId="7" borderId="0" xfId="0" applyFont="1" applyFill="1" applyAlignment="1">
      <alignment horizontal="center" wrapText="1"/>
    </xf>
    <xf numFmtId="0" fontId="2" fillId="6" borderId="6" xfId="0" applyFont="1" applyFill="1" applyBorder="1" applyAlignment="1">
      <alignment horizontal="center"/>
    </xf>
    <xf numFmtId="0" fontId="2" fillId="6" borderId="2" xfId="0" applyFont="1" applyFill="1" applyBorder="1" applyAlignment="1">
      <alignment horizontal="center"/>
    </xf>
    <xf numFmtId="0" fontId="2" fillId="6" borderId="4" xfId="0" applyFont="1" applyFill="1" applyBorder="1" applyAlignment="1">
      <alignment horizontal="center"/>
    </xf>
    <xf numFmtId="0" fontId="12" fillId="5" borderId="6" xfId="0" applyFont="1" applyFill="1" applyBorder="1" applyAlignment="1">
      <alignment horizontal="center"/>
    </xf>
    <xf numFmtId="0" fontId="12" fillId="5" borderId="2" xfId="0" applyFont="1" applyFill="1" applyBorder="1" applyAlignment="1">
      <alignment horizontal="center"/>
    </xf>
    <xf numFmtId="0" fontId="12" fillId="5" borderId="4" xfId="0" applyFont="1" applyFill="1" applyBorder="1" applyAlignment="1">
      <alignment horizontal="center"/>
    </xf>
    <xf numFmtId="0" fontId="16" fillId="0" borderId="0" xfId="0" applyFont="1" applyAlignment="1">
      <alignment horizontal="center"/>
    </xf>
    <xf numFmtId="0" fontId="0" fillId="13" borderId="0" xfId="0" applyFill="1" applyAlignment="1">
      <alignment horizontal="center" vertical="center" wrapText="1"/>
    </xf>
    <xf numFmtId="0" fontId="18" fillId="8" borderId="6" xfId="0" applyFont="1" applyFill="1" applyBorder="1" applyAlignment="1">
      <alignment horizontal="center"/>
    </xf>
    <xf numFmtId="0" fontId="18" fillId="8" borderId="2" xfId="0" applyFont="1" applyFill="1" applyBorder="1" applyAlignment="1">
      <alignment horizontal="center"/>
    </xf>
    <xf numFmtId="0" fontId="18" fillId="8" borderId="4" xfId="0" applyFont="1" applyFill="1" applyBorder="1" applyAlignment="1">
      <alignment horizontal="center"/>
    </xf>
    <xf numFmtId="0" fontId="0" fillId="8" borderId="9" xfId="0" applyFill="1" applyBorder="1" applyAlignment="1">
      <alignment horizontal="left" vertical="center" wrapText="1"/>
    </xf>
    <xf numFmtId="0" fontId="0" fillId="8" borderId="0" xfId="0" applyFill="1" applyBorder="1" applyAlignment="1">
      <alignment horizontal="left" vertical="center" wrapText="1"/>
    </xf>
    <xf numFmtId="0" fontId="0" fillId="0" borderId="1" xfId="0" applyBorder="1" applyAlignment="1">
      <alignment horizontal="center"/>
    </xf>
    <xf numFmtId="0" fontId="21" fillId="0" borderId="0" xfId="0" applyFont="1" applyAlignment="1">
      <alignment horizontal="center" vertical="center" wrapText="1"/>
    </xf>
    <xf numFmtId="0" fontId="0" fillId="0" borderId="15" xfId="0" applyBorder="1" applyAlignment="1">
      <alignment horizontal="center" vertical="center" textRotation="90"/>
    </xf>
    <xf numFmtId="0" fontId="0" fillId="0" borderId="16" xfId="0" applyBorder="1" applyAlignment="1">
      <alignment horizontal="center" vertical="center" textRotation="90"/>
    </xf>
    <xf numFmtId="0" fontId="0" fillId="0" borderId="3" xfId="0" applyBorder="1" applyAlignment="1">
      <alignment horizontal="center" vertical="center" wrapText="1"/>
    </xf>
    <xf numFmtId="0" fontId="0" fillId="0" borderId="15" xfId="0" applyBorder="1" applyAlignment="1">
      <alignment horizontal="center" vertical="center" wrapText="1"/>
    </xf>
    <xf numFmtId="0" fontId="0" fillId="0" borderId="3" xfId="0" applyBorder="1" applyAlignment="1">
      <alignment horizontal="center"/>
    </xf>
    <xf numFmtId="0" fontId="0" fillId="0" borderId="3" xfId="0" applyBorder="1" applyAlignment="1">
      <alignment horizontal="center" wrapText="1"/>
    </xf>
    <xf numFmtId="0" fontId="0" fillId="0" borderId="6" xfId="0" applyBorder="1" applyAlignment="1">
      <alignment horizontal="center"/>
    </xf>
    <xf numFmtId="0" fontId="0" fillId="0" borderId="4" xfId="0" applyBorder="1" applyAlignment="1">
      <alignment horizontal="center"/>
    </xf>
    <xf numFmtId="3" fontId="0" fillId="5" borderId="3" xfId="0" applyNumberFormat="1" applyFill="1" applyBorder="1"/>
    <xf numFmtId="0" fontId="0" fillId="5" borderId="0" xfId="0" applyFill="1"/>
    <xf numFmtId="0" fontId="0" fillId="0" borderId="2" xfId="0" applyBorder="1" applyAlignment="1">
      <alignment horizontal="center"/>
    </xf>
    <xf numFmtId="10" fontId="9" fillId="0" borderId="3" xfId="1" applyNumberFormat="1" applyFont="1" applyBorder="1"/>
    <xf numFmtId="9" fontId="9" fillId="0" borderId="3" xfId="1" applyFont="1" applyBorder="1"/>
    <xf numFmtId="3" fontId="17" fillId="0" borderId="3" xfId="0" applyNumberFormat="1" applyFont="1" applyBorder="1"/>
    <xf numFmtId="0" fontId="0" fillId="0" borderId="3" xfId="0" applyBorder="1" applyAlignment="1">
      <alignment horizontal="center" vertical="center" textRotation="90" wrapText="1"/>
    </xf>
    <xf numFmtId="3" fontId="0" fillId="0" borderId="3" xfId="1" applyNumberFormat="1" applyFont="1" applyBorder="1"/>
    <xf numFmtId="10" fontId="17" fillId="0" borderId="0" xfId="1" applyNumberFormat="1" applyFont="1" applyBorder="1"/>
    <xf numFmtId="3" fontId="17" fillId="0" borderId="0" xfId="0" applyNumberFormat="1" applyFont="1" applyBorder="1"/>
    <xf numFmtId="3" fontId="17" fillId="0" borderId="0" xfId="0" applyNumberFormat="1" applyFont="1"/>
    <xf numFmtId="3" fontId="17" fillId="0" borderId="0" xfId="0" applyNumberFormat="1" applyFont="1" applyBorder="1" applyAlignment="1">
      <alignment vertical="center"/>
    </xf>
    <xf numFmtId="0" fontId="0" fillId="0" borderId="3" xfId="0" applyBorder="1" applyAlignment="1">
      <alignment horizontal="center" vertical="center"/>
    </xf>
    <xf numFmtId="3" fontId="0" fillId="16" borderId="3" xfId="1" applyNumberFormat="1" applyFont="1" applyFill="1" applyBorder="1"/>
    <xf numFmtId="3" fontId="0" fillId="15" borderId="3" xfId="1" applyNumberFormat="1" applyFont="1" applyFill="1" applyBorder="1"/>
    <xf numFmtId="0" fontId="0" fillId="0" borderId="0" xfId="0" applyAlignment="1">
      <alignment horizontal="center" wrapText="1"/>
    </xf>
    <xf numFmtId="9" fontId="0" fillId="0" borderId="3" xfId="1" applyFont="1" applyBorder="1" applyAlignment="1">
      <alignment wrapText="1"/>
    </xf>
    <xf numFmtId="3" fontId="0" fillId="0" borderId="3" xfId="0" applyNumberFormat="1" applyBorder="1" applyAlignment="1">
      <alignment wrapText="1"/>
    </xf>
    <xf numFmtId="9" fontId="0" fillId="0" borderId="0" xfId="0" applyNumberFormat="1"/>
  </cellXfs>
  <cellStyles count="3">
    <cellStyle name="Normal" xfId="0" builtinId="0"/>
    <cellStyle name="Normal 2" xfId="2" xr:uid="{D1B2914A-A1BC-4797-87FA-1A45E347127F}"/>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tx>
            <c:strRef>
              <c:f>'1.uzdevums'!$A$25</c:f>
              <c:strCache>
                <c:ptCount val="1"/>
                <c:pt idx="0">
                  <c:v>Neto apgrozījums</c:v>
                </c:pt>
              </c:strCache>
            </c:strRef>
          </c:tx>
          <c:spPr>
            <a:solidFill>
              <a:schemeClr val="accent2"/>
            </a:solidFill>
            <a:ln>
              <a:noFill/>
            </a:ln>
            <a:effectLst/>
          </c:spPr>
          <c:invertIfNegative val="0"/>
          <c:dPt>
            <c:idx val="3"/>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A-7720-F64F-8A54-0720507BA0A6}"/>
              </c:ext>
            </c:extLst>
          </c:dPt>
          <c:dPt>
            <c:idx val="4"/>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B-7720-F64F-8A54-0720507BA0A6}"/>
              </c:ext>
            </c:extLst>
          </c:dPt>
          <c:dPt>
            <c:idx val="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C-7720-F64F-8A54-0720507BA0A6}"/>
              </c:ext>
            </c:extLst>
          </c:dPt>
          <c:cat>
            <c:numRef>
              <c:f>'1.uzdevums'!$B$24:$G$24</c:f>
              <c:numCache>
                <c:formatCode>General</c:formatCode>
                <c:ptCount val="6"/>
                <c:pt idx="0">
                  <c:v>2017</c:v>
                </c:pt>
                <c:pt idx="1">
                  <c:v>2018</c:v>
                </c:pt>
                <c:pt idx="2">
                  <c:v>2019</c:v>
                </c:pt>
                <c:pt idx="3">
                  <c:v>2020</c:v>
                </c:pt>
                <c:pt idx="4">
                  <c:v>2021</c:v>
                </c:pt>
                <c:pt idx="5">
                  <c:v>2022</c:v>
                </c:pt>
              </c:numCache>
            </c:numRef>
          </c:cat>
          <c:val>
            <c:numRef>
              <c:f>'1.uzdevums'!$B$25:$G$25</c:f>
              <c:numCache>
                <c:formatCode>#,##0</c:formatCode>
                <c:ptCount val="6"/>
                <c:pt idx="0">
                  <c:v>7401932</c:v>
                </c:pt>
                <c:pt idx="1">
                  <c:v>9513748</c:v>
                </c:pt>
                <c:pt idx="2">
                  <c:v>11545151</c:v>
                </c:pt>
                <c:pt idx="3">
                  <c:v>14010305.046213228</c:v>
                </c:pt>
                <c:pt idx="4">
                  <c:v>17001825.917040657</c:v>
                </c:pt>
                <c:pt idx="5">
                  <c:v>20632104.97986155</c:v>
                </c:pt>
              </c:numCache>
            </c:numRef>
          </c:val>
          <c:extLst>
            <c:ext xmlns:c16="http://schemas.microsoft.com/office/drawing/2014/chart" uri="{C3380CC4-5D6E-409C-BE32-E72D297353CC}">
              <c16:uniqueId val="{00000001-7720-F64F-8A54-0720507BA0A6}"/>
            </c:ext>
          </c:extLst>
        </c:ser>
        <c:ser>
          <c:idx val="0"/>
          <c:order val="1"/>
          <c:tx>
            <c:strRef>
              <c:f>'1.uzdevums'!$A$27</c:f>
              <c:strCache>
                <c:ptCount val="1"/>
                <c:pt idx="0">
                  <c:v>Bruto peļņa</c:v>
                </c:pt>
              </c:strCache>
            </c:strRef>
          </c:tx>
          <c:spPr>
            <a:solidFill>
              <a:schemeClr val="accent1"/>
            </a:solidFill>
            <a:ln>
              <a:noFill/>
            </a:ln>
            <a:effectLst/>
          </c:spPr>
          <c:invertIfNegative val="0"/>
          <c:dPt>
            <c:idx val="3"/>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D-7720-F64F-8A54-0720507BA0A6}"/>
              </c:ext>
            </c:extLst>
          </c:dPt>
          <c:dPt>
            <c:idx val="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E-7720-F64F-8A54-0720507BA0A6}"/>
              </c:ext>
            </c:extLst>
          </c:dPt>
          <c:dPt>
            <c:idx val="5"/>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F-7720-F64F-8A54-0720507BA0A6}"/>
              </c:ext>
            </c:extLst>
          </c:dPt>
          <c:cat>
            <c:numRef>
              <c:f>'1.uzdevums'!$B$24:$G$24</c:f>
              <c:numCache>
                <c:formatCode>General</c:formatCode>
                <c:ptCount val="6"/>
                <c:pt idx="0">
                  <c:v>2017</c:v>
                </c:pt>
                <c:pt idx="1">
                  <c:v>2018</c:v>
                </c:pt>
                <c:pt idx="2">
                  <c:v>2019</c:v>
                </c:pt>
                <c:pt idx="3">
                  <c:v>2020</c:v>
                </c:pt>
                <c:pt idx="4">
                  <c:v>2021</c:v>
                </c:pt>
                <c:pt idx="5">
                  <c:v>2022</c:v>
                </c:pt>
              </c:numCache>
            </c:numRef>
          </c:cat>
          <c:val>
            <c:numRef>
              <c:f>'1.uzdevums'!$B$27:$G$27</c:f>
              <c:numCache>
                <c:formatCode>#,##0</c:formatCode>
                <c:ptCount val="6"/>
                <c:pt idx="0">
                  <c:v>4652385</c:v>
                </c:pt>
                <c:pt idx="1">
                  <c:v>6029948</c:v>
                </c:pt>
                <c:pt idx="2">
                  <c:v>7075810</c:v>
                </c:pt>
                <c:pt idx="3">
                  <c:v>8757525.3433726206</c:v>
                </c:pt>
                <c:pt idx="4">
                  <c:v>11749046.21420005</c:v>
                </c:pt>
                <c:pt idx="5">
                  <c:v>14257736.556498859</c:v>
                </c:pt>
              </c:numCache>
            </c:numRef>
          </c:val>
          <c:extLst>
            <c:ext xmlns:c16="http://schemas.microsoft.com/office/drawing/2014/chart" uri="{C3380CC4-5D6E-409C-BE32-E72D297353CC}">
              <c16:uniqueId val="{00000008-7720-F64F-8A54-0720507BA0A6}"/>
            </c:ext>
          </c:extLst>
        </c:ser>
        <c:ser>
          <c:idx val="2"/>
          <c:order val="2"/>
          <c:tx>
            <c:strRef>
              <c:f>'1.uzdevums'!$A$35</c:f>
              <c:strCache>
                <c:ptCount val="1"/>
                <c:pt idx="0">
                  <c:v>Peļņa pirms uzņēmumu ienākuma nodokļa</c:v>
                </c:pt>
              </c:strCache>
            </c:strRef>
          </c:tx>
          <c:spPr>
            <a:solidFill>
              <a:schemeClr val="accent3"/>
            </a:solidFill>
            <a:ln>
              <a:noFill/>
            </a:ln>
            <a:effectLst/>
          </c:spPr>
          <c:invertIfNegative val="0"/>
          <c:dPt>
            <c:idx val="3"/>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10-7720-F64F-8A54-0720507BA0A6}"/>
              </c:ext>
            </c:extLst>
          </c:dPt>
          <c:dPt>
            <c:idx val="4"/>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11-7720-F64F-8A54-0720507BA0A6}"/>
              </c:ext>
            </c:extLst>
          </c:dPt>
          <c:dPt>
            <c:idx val="5"/>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12-7720-F64F-8A54-0720507BA0A6}"/>
              </c:ext>
            </c:extLst>
          </c:dPt>
          <c:cat>
            <c:numRef>
              <c:f>'1.uzdevums'!$B$24:$G$24</c:f>
              <c:numCache>
                <c:formatCode>General</c:formatCode>
                <c:ptCount val="6"/>
                <c:pt idx="0">
                  <c:v>2017</c:v>
                </c:pt>
                <c:pt idx="1">
                  <c:v>2018</c:v>
                </c:pt>
                <c:pt idx="2">
                  <c:v>2019</c:v>
                </c:pt>
                <c:pt idx="3">
                  <c:v>2020</c:v>
                </c:pt>
                <c:pt idx="4">
                  <c:v>2021</c:v>
                </c:pt>
                <c:pt idx="5">
                  <c:v>2022</c:v>
                </c:pt>
              </c:numCache>
            </c:numRef>
          </c:cat>
          <c:val>
            <c:numRef>
              <c:f>'1.uzdevums'!$B$35:$G$35</c:f>
              <c:numCache>
                <c:formatCode>#,##0</c:formatCode>
                <c:ptCount val="6"/>
                <c:pt idx="0">
                  <c:v>1328682</c:v>
                </c:pt>
                <c:pt idx="1">
                  <c:v>1495885</c:v>
                </c:pt>
                <c:pt idx="2">
                  <c:v>1579918</c:v>
                </c:pt>
                <c:pt idx="3">
                  <c:v>3102217.3799362117</c:v>
                </c:pt>
                <c:pt idx="4">
                  <c:v>4792825.722897416</c:v>
                </c:pt>
                <c:pt idx="5">
                  <c:v>5681285.0961530861</c:v>
                </c:pt>
              </c:numCache>
            </c:numRef>
          </c:val>
          <c:extLst>
            <c:ext xmlns:c16="http://schemas.microsoft.com/office/drawing/2014/chart" uri="{C3380CC4-5D6E-409C-BE32-E72D297353CC}">
              <c16:uniqueId val="{00000009-7720-F64F-8A54-0720507BA0A6}"/>
            </c:ext>
          </c:extLst>
        </c:ser>
        <c:dLbls>
          <c:showLegendKey val="0"/>
          <c:showVal val="0"/>
          <c:showCatName val="0"/>
          <c:showSerName val="0"/>
          <c:showPercent val="0"/>
          <c:showBubbleSize val="0"/>
        </c:dLbls>
        <c:gapWidth val="219"/>
        <c:overlap val="-27"/>
        <c:axId val="1151055855"/>
        <c:axId val="1150415103"/>
      </c:barChart>
      <c:catAx>
        <c:axId val="1151055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LV"/>
          </a:p>
        </c:txPr>
        <c:crossAx val="1150415103"/>
        <c:crosses val="autoZero"/>
        <c:auto val="1"/>
        <c:lblAlgn val="ctr"/>
        <c:lblOffset val="100"/>
        <c:noMultiLvlLbl val="0"/>
      </c:catAx>
      <c:valAx>
        <c:axId val="11504151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1151055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LV"/>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V"/>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GB" sz="1100">
                <a:effectLst/>
              </a:rPr>
              <a:t>MADARA</a:t>
            </a:r>
            <a:r>
              <a:rPr lang="en-GB" sz="1100" baseline="0">
                <a:effectLst/>
              </a:rPr>
              <a:t> Cosmetics</a:t>
            </a:r>
            <a:r>
              <a:rPr lang="en-GB" sz="1100">
                <a:effectLst/>
              </a:rPr>
              <a:t> apgrozījuma pieaugums atkarībā no strādājošo vidējas</a:t>
            </a:r>
            <a:r>
              <a:rPr lang="en-GB" sz="1100" baseline="0">
                <a:effectLst/>
              </a:rPr>
              <a:t> darba samaksas</a:t>
            </a:r>
            <a:r>
              <a:rPr lang="en-GB" sz="1100">
                <a:effectLst/>
              </a:rPr>
              <a:t> pieauguma 2016-2019.g.g.</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LV"/>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trendlineLbl>
          </c:trendline>
          <c:xVal>
            <c:numRef>
              <c:f>('2.uzdevums'!$E$4:$E$6,'2.uzdevums'!$B$15:$B$17)</c:f>
              <c:numCache>
                <c:formatCode>0.0%</c:formatCode>
                <c:ptCount val="6"/>
                <c:pt idx="0">
                  <c:v>7.7997671711292238E-2</c:v>
                </c:pt>
                <c:pt idx="1">
                  <c:v>8.4233261339092813E-2</c:v>
                </c:pt>
                <c:pt idx="2">
                  <c:v>7.1713147410358502E-2</c:v>
                </c:pt>
                <c:pt idx="3">
                  <c:v>3.6999999999999998E-2</c:v>
                </c:pt>
                <c:pt idx="4">
                  <c:v>5.2999999999999999E-2</c:v>
                </c:pt>
                <c:pt idx="5">
                  <c:v>5.0999999999999997E-2</c:v>
                </c:pt>
              </c:numCache>
            </c:numRef>
          </c:xVal>
          <c:yVal>
            <c:numRef>
              <c:f>'2.uzdevums'!$C$4:$C$6</c:f>
              <c:numCache>
                <c:formatCode>0.0%</c:formatCode>
                <c:ptCount val="3"/>
                <c:pt idx="0">
                  <c:v>0.26278978792545549</c:v>
                </c:pt>
                <c:pt idx="1">
                  <c:v>0.28530605252790764</c:v>
                </c:pt>
                <c:pt idx="2">
                  <c:v>0.2135228933959572</c:v>
                </c:pt>
              </c:numCache>
            </c:numRef>
          </c:yVal>
          <c:smooth val="0"/>
          <c:extLst>
            <c:ext xmlns:c16="http://schemas.microsoft.com/office/drawing/2014/chart" uri="{C3380CC4-5D6E-409C-BE32-E72D297353CC}">
              <c16:uniqueId val="{00000000-B6C7-4840-8724-D93464743169}"/>
            </c:ext>
          </c:extLst>
        </c:ser>
        <c:dLbls>
          <c:showLegendKey val="0"/>
          <c:showVal val="0"/>
          <c:showCatName val="0"/>
          <c:showSerName val="0"/>
          <c:showPercent val="0"/>
          <c:showBubbleSize val="0"/>
        </c:dLbls>
        <c:axId val="877697615"/>
        <c:axId val="878087247"/>
      </c:scatterChart>
      <c:valAx>
        <c:axId val="877697615"/>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878087247"/>
        <c:crosses val="autoZero"/>
        <c:crossBetween val="midCat"/>
      </c:valAx>
      <c:valAx>
        <c:axId val="87808724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8776976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V"/>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sz="1100" b="0" i="0" baseline="0">
                <a:effectLst/>
              </a:rPr>
              <a:t>MADARA Cosmetics apgrozījuma pieaugums atkarībā no strādājošo vidējas darba samaksas pieauguma 2017-2019.g.g.</a:t>
            </a:r>
            <a:endParaRPr lang="en-LV" sz="1050">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LV"/>
        </a:p>
      </c:txPr>
    </c:title>
    <c:autoTitleDeleted val="0"/>
    <c:plotArea>
      <c:layout/>
      <c:scatterChart>
        <c:scatterStyle val="lineMarker"/>
        <c:varyColors val="0"/>
        <c:ser>
          <c:idx val="0"/>
          <c:order val="0"/>
          <c:spPr>
            <a:ln w="25400" cap="rnd">
              <a:no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trendline>
            <c:spPr>
              <a:ln w="19050" cap="rnd">
                <a:solidFill>
                  <a:schemeClr val="accent1"/>
                </a:solidFill>
                <a:prstDash val="sysDash"/>
              </a:ln>
              <a:effectLst/>
            </c:spPr>
            <c:trendlineType val="linear"/>
            <c:dispRSqr val="0"/>
            <c:dispEq val="0"/>
          </c:trendline>
          <c:xVal>
            <c:numRef>
              <c:f>'2.uzdevums'!$A$63:$A$65</c:f>
              <c:numCache>
                <c:formatCode>General</c:formatCode>
                <c:ptCount val="3"/>
                <c:pt idx="0">
                  <c:v>2017</c:v>
                </c:pt>
                <c:pt idx="1">
                  <c:v>2018</c:v>
                </c:pt>
                <c:pt idx="2">
                  <c:v>2019</c:v>
                </c:pt>
              </c:numCache>
            </c:numRef>
          </c:xVal>
          <c:yVal>
            <c:numRef>
              <c:f>'2.uzdevums'!$F$63:$F$65</c:f>
              <c:numCache>
                <c:formatCode>0.000%</c:formatCode>
                <c:ptCount val="3"/>
                <c:pt idx="0">
                  <c:v>0.25396647733739536</c:v>
                </c:pt>
                <c:pt idx="1">
                  <c:v>0.28973495070894478</c:v>
                </c:pt>
                <c:pt idx="2">
                  <c:v>0.21791730580298008</c:v>
                </c:pt>
              </c:numCache>
            </c:numRef>
          </c:yVal>
          <c:smooth val="0"/>
          <c:extLst>
            <c:ext xmlns:c16="http://schemas.microsoft.com/office/drawing/2014/chart" uri="{C3380CC4-5D6E-409C-BE32-E72D297353CC}">
              <c16:uniqueId val="{00000006-07F2-1947-B66C-E4D5FEA4F03C}"/>
            </c:ext>
          </c:extLst>
        </c:ser>
        <c:ser>
          <c:idx val="1"/>
          <c:order val="1"/>
          <c:spPr>
            <a:ln w="25400" cap="rnd">
              <a:no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trendline>
            <c:spPr>
              <a:ln w="19050" cap="rnd">
                <a:solidFill>
                  <a:schemeClr val="accent2"/>
                </a:solidFill>
                <a:prstDash val="sysDash"/>
              </a:ln>
              <a:effectLst/>
            </c:spPr>
            <c:trendlineType val="linear"/>
            <c:dispRSqr val="0"/>
            <c:dispEq val="0"/>
          </c:trendline>
          <c:xVal>
            <c:numRef>
              <c:f>'2.uzdevums'!$A$63:$A$65</c:f>
              <c:numCache>
                <c:formatCode>General</c:formatCode>
                <c:ptCount val="3"/>
                <c:pt idx="0">
                  <c:v>2017</c:v>
                </c:pt>
                <c:pt idx="1">
                  <c:v>2018</c:v>
                </c:pt>
                <c:pt idx="2">
                  <c:v>2019</c:v>
                </c:pt>
              </c:numCache>
            </c:numRef>
          </c:xVal>
          <c:yVal>
            <c:numRef>
              <c:f>'2.uzdevums'!$G$63:$G$65</c:f>
              <c:numCache>
                <c:formatCode>0.000%</c:formatCode>
                <c:ptCount val="3"/>
                <c:pt idx="0">
                  <c:v>0.18573798290606491</c:v>
                </c:pt>
                <c:pt idx="1">
                  <c:v>0.22150645627761434</c:v>
                </c:pt>
                <c:pt idx="2">
                  <c:v>0.14968881137164963</c:v>
                </c:pt>
              </c:numCache>
            </c:numRef>
          </c:yVal>
          <c:smooth val="0"/>
          <c:extLst>
            <c:ext xmlns:c16="http://schemas.microsoft.com/office/drawing/2014/chart" uri="{C3380CC4-5D6E-409C-BE32-E72D297353CC}">
              <c16:uniqueId val="{00000007-07F2-1947-B66C-E4D5FEA4F03C}"/>
            </c:ext>
          </c:extLst>
        </c:ser>
        <c:ser>
          <c:idx val="2"/>
          <c:order val="2"/>
          <c:spPr>
            <a:ln w="25400" cap="rnd">
              <a:no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trendline>
            <c:spPr>
              <a:ln w="19050" cap="rnd">
                <a:solidFill>
                  <a:schemeClr val="accent3"/>
                </a:solidFill>
                <a:prstDash val="sysDash"/>
              </a:ln>
              <a:effectLst/>
            </c:spPr>
            <c:trendlineType val="linear"/>
            <c:dispRSqr val="0"/>
            <c:dispEq val="0"/>
          </c:trendline>
          <c:xVal>
            <c:numRef>
              <c:f>'2.uzdevums'!$A$63:$A$65</c:f>
              <c:numCache>
                <c:formatCode>General</c:formatCode>
                <c:ptCount val="3"/>
                <c:pt idx="0">
                  <c:v>2017</c:v>
                </c:pt>
                <c:pt idx="1">
                  <c:v>2018</c:v>
                </c:pt>
                <c:pt idx="2">
                  <c:v>2019</c:v>
                </c:pt>
              </c:numCache>
            </c:numRef>
          </c:xVal>
          <c:yVal>
            <c:numRef>
              <c:f>'2.uzdevums'!$H$63:$H$65</c:f>
              <c:numCache>
                <c:formatCode>0.000%</c:formatCode>
                <c:ptCount val="3"/>
                <c:pt idx="0">
                  <c:v>0.3221949717687258</c:v>
                </c:pt>
                <c:pt idx="1">
                  <c:v>0.35796344514027523</c:v>
                </c:pt>
                <c:pt idx="2">
                  <c:v>0.28614580023431052</c:v>
                </c:pt>
              </c:numCache>
            </c:numRef>
          </c:yVal>
          <c:smooth val="0"/>
          <c:extLst>
            <c:ext xmlns:c16="http://schemas.microsoft.com/office/drawing/2014/chart" uri="{C3380CC4-5D6E-409C-BE32-E72D297353CC}">
              <c16:uniqueId val="{00000008-07F2-1947-B66C-E4D5FEA4F03C}"/>
            </c:ext>
          </c:extLst>
        </c:ser>
        <c:dLbls>
          <c:showLegendKey val="0"/>
          <c:showVal val="0"/>
          <c:showCatName val="0"/>
          <c:showSerName val="0"/>
          <c:showPercent val="0"/>
          <c:showBubbleSize val="0"/>
        </c:dLbls>
        <c:axId val="1027048127"/>
        <c:axId val="1079940767"/>
      </c:scatterChart>
      <c:valAx>
        <c:axId val="1027048127"/>
        <c:scaling>
          <c:orientation val="minMax"/>
          <c:max val="2019"/>
          <c:min val="2017"/>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LV"/>
          </a:p>
        </c:txPr>
        <c:crossAx val="1079940767"/>
        <c:crosses val="autoZero"/>
        <c:crossBetween val="midCat"/>
        <c:majorUnit val="1"/>
        <c:minorUnit val="1"/>
      </c:valAx>
      <c:valAx>
        <c:axId val="1079940767"/>
        <c:scaling>
          <c:orientation val="minMax"/>
        </c:scaling>
        <c:delete val="0"/>
        <c:axPos val="l"/>
        <c:majorGridlines>
          <c:spPr>
            <a:ln w="9525" cap="flat" cmpd="sng" algn="ctr">
              <a:solidFill>
                <a:schemeClr val="tx2">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LV"/>
          </a:p>
        </c:txPr>
        <c:crossAx val="102704812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LV"/>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100" b="0" i="0" baseline="0">
                <a:effectLst/>
              </a:rPr>
              <a:t>MADARA Cosmetics PL nolietojums atkarībā no neto apgrozījuma 2016-2019.g.g.</a:t>
            </a:r>
            <a:endParaRPr lang="en-LV" sz="10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V"/>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trendlineLbl>
          </c:trendline>
          <c:xVal>
            <c:numRef>
              <c:f>'2.uzdevums'!$B$93:$D$93</c:f>
              <c:numCache>
                <c:formatCode>#,##0</c:formatCode>
                <c:ptCount val="3"/>
                <c:pt idx="0">
                  <c:v>7401932</c:v>
                </c:pt>
                <c:pt idx="1">
                  <c:v>9513748</c:v>
                </c:pt>
                <c:pt idx="2">
                  <c:v>11545151</c:v>
                </c:pt>
              </c:numCache>
            </c:numRef>
          </c:xVal>
          <c:yVal>
            <c:numRef>
              <c:f>'2.uzdevums'!$B$102:$D$102</c:f>
              <c:numCache>
                <c:formatCode>#,##0</c:formatCode>
                <c:ptCount val="3"/>
                <c:pt idx="0">
                  <c:v>411517</c:v>
                </c:pt>
                <c:pt idx="1">
                  <c:v>455583</c:v>
                </c:pt>
                <c:pt idx="2">
                  <c:v>606558</c:v>
                </c:pt>
              </c:numCache>
            </c:numRef>
          </c:yVal>
          <c:smooth val="0"/>
          <c:extLst>
            <c:ext xmlns:c16="http://schemas.microsoft.com/office/drawing/2014/chart" uri="{C3380CC4-5D6E-409C-BE32-E72D297353CC}">
              <c16:uniqueId val="{00000000-066A-4B4A-91E4-1417DB9574F8}"/>
            </c:ext>
          </c:extLst>
        </c:ser>
        <c:dLbls>
          <c:showLegendKey val="0"/>
          <c:showVal val="0"/>
          <c:showCatName val="0"/>
          <c:showSerName val="0"/>
          <c:showPercent val="0"/>
          <c:showBubbleSize val="0"/>
        </c:dLbls>
        <c:axId val="1147408447"/>
        <c:axId val="1147828527"/>
      </c:scatterChart>
      <c:valAx>
        <c:axId val="114740844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1147828527"/>
        <c:crosses val="autoZero"/>
        <c:crossBetween val="midCat"/>
      </c:valAx>
      <c:valAx>
        <c:axId val="11478285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1147408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V"/>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baseline="0">
                <a:effectLst/>
              </a:rPr>
              <a:t>MADARA Cosmetics debotori atkarībā no neto apgrozījuma 2016-2019.g.g.</a:t>
            </a:r>
            <a:endParaRPr lang="en-LV"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V"/>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trendlineLbl>
          </c:trendline>
          <c:xVal>
            <c:numRef>
              <c:f>'2.uzdevums'!$B$93:$D$93</c:f>
              <c:numCache>
                <c:formatCode>#,##0</c:formatCode>
                <c:ptCount val="3"/>
                <c:pt idx="0">
                  <c:v>7401932</c:v>
                </c:pt>
                <c:pt idx="1">
                  <c:v>9513748</c:v>
                </c:pt>
                <c:pt idx="2">
                  <c:v>11545151</c:v>
                </c:pt>
              </c:numCache>
            </c:numRef>
          </c:xVal>
          <c:yVal>
            <c:numRef>
              <c:f>'2.uzdevums'!$B$110:$D$110</c:f>
              <c:numCache>
                <c:formatCode>#,##0</c:formatCode>
                <c:ptCount val="3"/>
                <c:pt idx="0">
                  <c:v>1062035</c:v>
                </c:pt>
                <c:pt idx="1">
                  <c:v>1147786</c:v>
                </c:pt>
                <c:pt idx="2">
                  <c:v>1822315</c:v>
                </c:pt>
              </c:numCache>
            </c:numRef>
          </c:yVal>
          <c:smooth val="0"/>
          <c:extLst>
            <c:ext xmlns:c16="http://schemas.microsoft.com/office/drawing/2014/chart" uri="{C3380CC4-5D6E-409C-BE32-E72D297353CC}">
              <c16:uniqueId val="{00000000-EB42-6C4E-BEAA-E2D3554020F1}"/>
            </c:ext>
          </c:extLst>
        </c:ser>
        <c:dLbls>
          <c:showLegendKey val="0"/>
          <c:showVal val="0"/>
          <c:showCatName val="0"/>
          <c:showSerName val="0"/>
          <c:showPercent val="0"/>
          <c:showBubbleSize val="0"/>
        </c:dLbls>
        <c:axId val="1149800575"/>
        <c:axId val="1115188159"/>
      </c:scatterChart>
      <c:valAx>
        <c:axId val="114980057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1115188159"/>
        <c:crosses val="autoZero"/>
        <c:crossBetween val="midCat"/>
      </c:valAx>
      <c:valAx>
        <c:axId val="11151881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11498005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V"/>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b="0" i="0" baseline="0">
                <a:effectLst/>
              </a:rPr>
              <a:t>MADARA Cosmetics apgrozījuma pieaugums atkarībā no strādājošo vidējas darba samaksas  2016-2019.g.g.</a:t>
            </a:r>
            <a:endParaRPr lang="en-LV" sz="105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V"/>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trendlineLbl>
          </c:trendline>
          <c:xVal>
            <c:numRef>
              <c:f>'2.uzdevums'!$D$4:$D$6</c:f>
              <c:numCache>
                <c:formatCode>General</c:formatCode>
                <c:ptCount val="3"/>
                <c:pt idx="0">
                  <c:v>926</c:v>
                </c:pt>
                <c:pt idx="1">
                  <c:v>1004</c:v>
                </c:pt>
                <c:pt idx="2">
                  <c:v>1076</c:v>
                </c:pt>
              </c:numCache>
            </c:numRef>
          </c:xVal>
          <c:yVal>
            <c:numRef>
              <c:f>'2.uzdevums'!$B$4:$B$6</c:f>
              <c:numCache>
                <c:formatCode>#,##0</c:formatCode>
                <c:ptCount val="3"/>
                <c:pt idx="0">
                  <c:v>7401932</c:v>
                </c:pt>
                <c:pt idx="1">
                  <c:v>9513748</c:v>
                </c:pt>
                <c:pt idx="2">
                  <c:v>11545151</c:v>
                </c:pt>
              </c:numCache>
            </c:numRef>
          </c:yVal>
          <c:smooth val="0"/>
          <c:extLst>
            <c:ext xmlns:c16="http://schemas.microsoft.com/office/drawing/2014/chart" uri="{C3380CC4-5D6E-409C-BE32-E72D297353CC}">
              <c16:uniqueId val="{00000000-47BD-F042-B5AA-38EF14306EE9}"/>
            </c:ext>
          </c:extLst>
        </c:ser>
        <c:dLbls>
          <c:showLegendKey val="0"/>
          <c:showVal val="0"/>
          <c:showCatName val="0"/>
          <c:showSerName val="0"/>
          <c:showPercent val="0"/>
          <c:showBubbleSize val="0"/>
        </c:dLbls>
        <c:axId val="1031148623"/>
        <c:axId val="1031150271"/>
      </c:scatterChart>
      <c:valAx>
        <c:axId val="10311486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1031150271"/>
        <c:crosses val="autoZero"/>
        <c:crossBetween val="midCat"/>
      </c:valAx>
      <c:valAx>
        <c:axId val="10311502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1031148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V"/>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a:effectLst/>
              </a:rPr>
              <a:t>Brīvās naudas plūsmas un to patiesās vērtības </a:t>
            </a:r>
            <a:endParaRPr lang="en-GB" sz="11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V"/>
        </a:p>
      </c:txPr>
    </c:title>
    <c:autoTitleDeleted val="0"/>
    <c:plotArea>
      <c:layout/>
      <c:barChart>
        <c:barDir val="col"/>
        <c:grouping val="clustered"/>
        <c:varyColors val="0"/>
        <c:ser>
          <c:idx val="0"/>
          <c:order val="0"/>
          <c:tx>
            <c:strRef>
              <c:f>'3.uzdevums'!$A$72</c:f>
              <c:strCache>
                <c:ptCount val="1"/>
                <c:pt idx="0">
                  <c:v>Brīvā naudas plūsma</c:v>
                </c:pt>
              </c:strCache>
            </c:strRef>
          </c:tx>
          <c:spPr>
            <a:solidFill>
              <a:schemeClr val="accent1"/>
            </a:solidFill>
            <a:ln>
              <a:noFill/>
            </a:ln>
            <a:effectLst/>
          </c:spPr>
          <c:invertIfNegative val="0"/>
          <c:cat>
            <c:numRef>
              <c:f>'3.uzdevums'!$B$64:$H$64</c:f>
              <c:numCache>
                <c:formatCode>General</c:formatCode>
                <c:ptCount val="7"/>
                <c:pt idx="0">
                  <c:v>2017</c:v>
                </c:pt>
                <c:pt idx="1">
                  <c:v>2018</c:v>
                </c:pt>
                <c:pt idx="2">
                  <c:v>2019</c:v>
                </c:pt>
                <c:pt idx="3">
                  <c:v>2020</c:v>
                </c:pt>
                <c:pt idx="4">
                  <c:v>2021</c:v>
                </c:pt>
                <c:pt idx="5">
                  <c:v>2022</c:v>
                </c:pt>
                <c:pt idx="6">
                  <c:v>2022</c:v>
                </c:pt>
              </c:numCache>
            </c:numRef>
          </c:cat>
          <c:val>
            <c:numRef>
              <c:f>'3.uzdevums'!$B$72:$H$72</c:f>
              <c:numCache>
                <c:formatCode>#,##0</c:formatCode>
                <c:ptCount val="7"/>
                <c:pt idx="0">
                  <c:v>824840</c:v>
                </c:pt>
                <c:pt idx="1">
                  <c:v>714573</c:v>
                </c:pt>
                <c:pt idx="2">
                  <c:v>-318548</c:v>
                </c:pt>
                <c:pt idx="3">
                  <c:v>1214587.3661915874</c:v>
                </c:pt>
                <c:pt idx="4">
                  <c:v>3151003.1484615719</c:v>
                </c:pt>
                <c:pt idx="5">
                  <c:v>2957362.6216757293</c:v>
                </c:pt>
                <c:pt idx="6">
                  <c:v>33445437.741935328</c:v>
                </c:pt>
              </c:numCache>
            </c:numRef>
          </c:val>
          <c:extLst>
            <c:ext xmlns:c16="http://schemas.microsoft.com/office/drawing/2014/chart" uri="{C3380CC4-5D6E-409C-BE32-E72D297353CC}">
              <c16:uniqueId val="{00000000-F9C4-6142-827A-1235BE8FDAB9}"/>
            </c:ext>
          </c:extLst>
        </c:ser>
        <c:ser>
          <c:idx val="1"/>
          <c:order val="1"/>
          <c:tx>
            <c:strRef>
              <c:f>'3.uzdevums'!$A$74</c:f>
              <c:strCache>
                <c:ptCount val="1"/>
                <c:pt idx="0">
                  <c:v>PV</c:v>
                </c:pt>
              </c:strCache>
            </c:strRef>
          </c:tx>
          <c:spPr>
            <a:solidFill>
              <a:schemeClr val="accent2"/>
            </a:solidFill>
            <a:ln>
              <a:noFill/>
            </a:ln>
            <a:effectLst/>
          </c:spPr>
          <c:invertIfNegative val="0"/>
          <c:cat>
            <c:numRef>
              <c:f>'3.uzdevums'!$B$64:$H$64</c:f>
              <c:numCache>
                <c:formatCode>General</c:formatCode>
                <c:ptCount val="7"/>
                <c:pt idx="0">
                  <c:v>2017</c:v>
                </c:pt>
                <c:pt idx="1">
                  <c:v>2018</c:v>
                </c:pt>
                <c:pt idx="2">
                  <c:v>2019</c:v>
                </c:pt>
                <c:pt idx="3">
                  <c:v>2020</c:v>
                </c:pt>
                <c:pt idx="4">
                  <c:v>2021</c:v>
                </c:pt>
                <c:pt idx="5">
                  <c:v>2022</c:v>
                </c:pt>
                <c:pt idx="6">
                  <c:v>2022</c:v>
                </c:pt>
              </c:numCache>
            </c:numRef>
          </c:cat>
          <c:val>
            <c:numRef>
              <c:f>'3.uzdevums'!$B$74:$H$74</c:f>
              <c:numCache>
                <c:formatCode>#,##0</c:formatCode>
                <c:ptCount val="7"/>
                <c:pt idx="0">
                  <c:v>808666.66666666663</c:v>
                </c:pt>
                <c:pt idx="1">
                  <c:v>653878.77114888094</c:v>
                </c:pt>
                <c:pt idx="2">
                  <c:v>278631.19792738999</c:v>
                </c:pt>
                <c:pt idx="3">
                  <c:v>1020031.7884141855</c:v>
                </c:pt>
                <c:pt idx="4">
                  <c:v>2533261.4883594266</c:v>
                </c:pt>
                <c:pt idx="5">
                  <c:v>2276051.0566538936</c:v>
                </c:pt>
                <c:pt idx="6">
                  <c:v>25740341.530944917</c:v>
                </c:pt>
              </c:numCache>
            </c:numRef>
          </c:val>
          <c:extLst>
            <c:ext xmlns:c16="http://schemas.microsoft.com/office/drawing/2014/chart" uri="{C3380CC4-5D6E-409C-BE32-E72D297353CC}">
              <c16:uniqueId val="{00000001-F9C4-6142-827A-1235BE8FDAB9}"/>
            </c:ext>
          </c:extLst>
        </c:ser>
        <c:dLbls>
          <c:showLegendKey val="0"/>
          <c:showVal val="0"/>
          <c:showCatName val="0"/>
          <c:showSerName val="0"/>
          <c:showPercent val="0"/>
          <c:showBubbleSize val="0"/>
        </c:dLbls>
        <c:gapWidth val="219"/>
        <c:overlap val="-27"/>
        <c:axId val="2002563647"/>
        <c:axId val="2105609983"/>
      </c:barChart>
      <c:catAx>
        <c:axId val="2002563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2105609983"/>
        <c:crosses val="autoZero"/>
        <c:auto val="1"/>
        <c:lblAlgn val="ctr"/>
        <c:lblOffset val="100"/>
        <c:noMultiLvlLbl val="0"/>
      </c:catAx>
      <c:valAx>
        <c:axId val="2105609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20025636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V"/>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b="0" i="0" baseline="0">
                <a:effectLst/>
              </a:rPr>
              <a:t>MADARA Cosmetics apgrozījuma pieaugums atkarībā no strādājošo vidējas darba samaksas pieauguma </a:t>
            </a:r>
            <a:endParaRPr lang="en-LV" sz="1050">
              <a:effectLst/>
            </a:endParaRPr>
          </a:p>
        </c:rich>
      </c:tx>
      <c:layout>
        <c:manualLayout>
          <c:xMode val="edge"/>
          <c:yMode val="edge"/>
          <c:x val="0.12037904124860646"/>
          <c:y val="4.2283298097251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V"/>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trendlineLbl>
          </c:trendline>
          <c:xVal>
            <c:numRef>
              <c:f>'4.uzdevums'!$B$8:$F$8</c:f>
              <c:numCache>
                <c:formatCode>0.0%</c:formatCode>
                <c:ptCount val="5"/>
                <c:pt idx="0">
                  <c:v>2.1000000000000001E-2</c:v>
                </c:pt>
                <c:pt idx="1">
                  <c:v>3.1E-2</c:v>
                </c:pt>
                <c:pt idx="2">
                  <c:v>4.1000000000000002E-2</c:v>
                </c:pt>
                <c:pt idx="3">
                  <c:v>5.0999999999999997E-2</c:v>
                </c:pt>
                <c:pt idx="4">
                  <c:v>6.0999999999999999E-2</c:v>
                </c:pt>
              </c:numCache>
            </c:numRef>
          </c:xVal>
          <c:yVal>
            <c:numRef>
              <c:f>'4.uzdevums'!$B$9:$F$9</c:f>
              <c:numCache>
                <c:formatCode>0.0%</c:formatCode>
                <c:ptCount val="5"/>
                <c:pt idx="0">
                  <c:v>-7.2939799999999971E-2</c:v>
                </c:pt>
                <c:pt idx="1">
                  <c:v>-1.5577799999999975E-2</c:v>
                </c:pt>
                <c:pt idx="2">
                  <c:v>4.1784200000000021E-2</c:v>
                </c:pt>
                <c:pt idx="3">
                  <c:v>9.914619999999999E-2</c:v>
                </c:pt>
                <c:pt idx="4">
                  <c:v>0.15650820000000001</c:v>
                </c:pt>
              </c:numCache>
            </c:numRef>
          </c:yVal>
          <c:smooth val="0"/>
          <c:extLst>
            <c:ext xmlns:c16="http://schemas.microsoft.com/office/drawing/2014/chart" uri="{C3380CC4-5D6E-409C-BE32-E72D297353CC}">
              <c16:uniqueId val="{00000000-F516-1B40-886E-C97BA08AB8DE}"/>
            </c:ext>
          </c:extLst>
        </c:ser>
        <c:dLbls>
          <c:showLegendKey val="0"/>
          <c:showVal val="0"/>
          <c:showCatName val="0"/>
          <c:showSerName val="0"/>
          <c:showPercent val="0"/>
          <c:showBubbleSize val="0"/>
        </c:dLbls>
        <c:axId val="2103038255"/>
        <c:axId val="2103039903"/>
      </c:scatterChart>
      <c:valAx>
        <c:axId val="2103038255"/>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2103039903"/>
        <c:crosses val="autoZero"/>
        <c:crossBetween val="midCat"/>
      </c:valAx>
      <c:valAx>
        <c:axId val="210303990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21030382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V"/>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lv-LV" sz="1400" b="0" i="0" baseline="0">
                <a:effectLst/>
              </a:rPr>
              <a:t>Uzņēmuma vērtības un diskonta likmes kopsakarības</a:t>
            </a:r>
            <a:endParaRPr lang="en-LV"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V"/>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'4.uzdevums'!$B$36:$G$36</c:f>
              <c:numCache>
                <c:formatCode>0%</c:formatCode>
                <c:ptCount val="6"/>
                <c:pt idx="0">
                  <c:v>0.02</c:v>
                </c:pt>
                <c:pt idx="1">
                  <c:v>0.03</c:v>
                </c:pt>
                <c:pt idx="2">
                  <c:v>0.04</c:v>
                </c:pt>
                <c:pt idx="3">
                  <c:v>0.05</c:v>
                </c:pt>
                <c:pt idx="4">
                  <c:v>0.06</c:v>
                </c:pt>
                <c:pt idx="5">
                  <c:v>7.0000000000000007E-2</c:v>
                </c:pt>
              </c:numCache>
            </c:numRef>
          </c:xVal>
          <c:yVal>
            <c:numRef>
              <c:f>'4.uzdevums'!$B$37:$G$37</c:f>
              <c:numCache>
                <c:formatCode>#,##0</c:formatCode>
                <c:ptCount val="6"/>
                <c:pt idx="0">
                  <c:v>38096363.391729653</c:v>
                </c:pt>
                <c:pt idx="1">
                  <c:v>36049886.008492284</c:v>
                </c:pt>
                <c:pt idx="2">
                  <c:v>34134757.48029542</c:v>
                </c:pt>
                <c:pt idx="3">
                  <c:v>32341341.981086023</c:v>
                </c:pt>
                <c:pt idx="4">
                  <c:v>30660795.042370692</c:v>
                </c:pt>
                <c:pt idx="5">
                  <c:v>29084991.823219843</c:v>
                </c:pt>
              </c:numCache>
            </c:numRef>
          </c:yVal>
          <c:smooth val="0"/>
          <c:extLst>
            <c:ext xmlns:c16="http://schemas.microsoft.com/office/drawing/2014/chart" uri="{C3380CC4-5D6E-409C-BE32-E72D297353CC}">
              <c16:uniqueId val="{00000000-2D84-B140-8BD0-258E1E5DF593}"/>
            </c:ext>
          </c:extLst>
        </c:ser>
        <c:dLbls>
          <c:showLegendKey val="0"/>
          <c:showVal val="0"/>
          <c:showCatName val="0"/>
          <c:showSerName val="0"/>
          <c:showPercent val="0"/>
          <c:showBubbleSize val="0"/>
        </c:dLbls>
        <c:axId val="1356406799"/>
        <c:axId val="1356432655"/>
      </c:scatterChart>
      <c:valAx>
        <c:axId val="13564067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1356432655"/>
        <c:crosses val="autoZero"/>
        <c:crossBetween val="midCat"/>
      </c:valAx>
      <c:valAx>
        <c:axId val="13564326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13564067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V"/>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a:effectLst/>
              </a:rPr>
              <a:t>Apgrozījuma pieauguma un pārdotās produkcijas izmaksu ietekme uz bruto peļņu </a:t>
            </a:r>
            <a:endParaRPr lang="en-GB" sz="11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V"/>
        </a:p>
      </c:txPr>
    </c:title>
    <c:autoTitleDeleted val="0"/>
    <c:plotArea>
      <c:layout/>
      <c:scatterChart>
        <c:scatterStyle val="lineMarker"/>
        <c:varyColors val="0"/>
        <c:ser>
          <c:idx val="0"/>
          <c:order val="0"/>
          <c:tx>
            <c:v>35,49%</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'4.uzdevums'!$B$64:$B$68</c:f>
              <c:numCache>
                <c:formatCode>0.00%</c:formatCode>
                <c:ptCount val="5"/>
                <c:pt idx="0">
                  <c:v>0.35489999999999999</c:v>
                </c:pt>
                <c:pt idx="1">
                  <c:v>0.3649</c:v>
                </c:pt>
                <c:pt idx="2">
                  <c:v>0.37490000000000001</c:v>
                </c:pt>
                <c:pt idx="3">
                  <c:v>0.38490000000000002</c:v>
                </c:pt>
                <c:pt idx="4">
                  <c:v>0.39489999999999997</c:v>
                </c:pt>
              </c:numCache>
            </c:numRef>
          </c:xVal>
          <c:yVal>
            <c:numRef>
              <c:f>'4.uzdevums'!$C$64:$C$68</c:f>
              <c:numCache>
                <c:formatCode>#,##0</c:formatCode>
                <c:ptCount val="5"/>
                <c:pt idx="0">
                  <c:v>8806880.4739999995</c:v>
                </c:pt>
                <c:pt idx="1">
                  <c:v>8666777.4239999987</c:v>
                </c:pt>
                <c:pt idx="2">
                  <c:v>8526674.373999998</c:v>
                </c:pt>
                <c:pt idx="3">
                  <c:v>8386571.3239999991</c:v>
                </c:pt>
                <c:pt idx="4">
                  <c:v>8246468.2740000002</c:v>
                </c:pt>
              </c:numCache>
            </c:numRef>
          </c:yVal>
          <c:smooth val="0"/>
          <c:extLst>
            <c:ext xmlns:c16="http://schemas.microsoft.com/office/drawing/2014/chart" uri="{C3380CC4-5D6E-409C-BE32-E72D297353CC}">
              <c16:uniqueId val="{00000000-07FE-054A-B945-ABF0C63E0DCC}"/>
            </c:ext>
          </c:extLst>
        </c:ser>
        <c:ser>
          <c:idx val="1"/>
          <c:order val="1"/>
          <c:tx>
            <c:v>36,49%</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'4.uzdevums'!$B$64:$B$68</c:f>
              <c:numCache>
                <c:formatCode>0.00%</c:formatCode>
                <c:ptCount val="5"/>
                <c:pt idx="0">
                  <c:v>0.35489999999999999</c:v>
                </c:pt>
                <c:pt idx="1">
                  <c:v>0.3649</c:v>
                </c:pt>
                <c:pt idx="2">
                  <c:v>0.37490000000000001</c:v>
                </c:pt>
                <c:pt idx="3">
                  <c:v>0.38490000000000002</c:v>
                </c:pt>
                <c:pt idx="4">
                  <c:v>0.39489999999999997</c:v>
                </c:pt>
              </c:numCache>
            </c:numRef>
          </c:xVal>
          <c:yVal>
            <c:numRef>
              <c:f>'4.uzdevums'!$D$64:$D$68</c:f>
              <c:numCache>
                <c:formatCode>#,##0</c:formatCode>
                <c:ptCount val="5"/>
                <c:pt idx="0">
                  <c:v>8922331.9839999992</c:v>
                </c:pt>
                <c:pt idx="1">
                  <c:v>8782228.9340000004</c:v>
                </c:pt>
                <c:pt idx="2">
                  <c:v>8642125.8839999996</c:v>
                </c:pt>
                <c:pt idx="3">
                  <c:v>8502022.8339999989</c:v>
                </c:pt>
                <c:pt idx="4">
                  <c:v>8361919.784</c:v>
                </c:pt>
              </c:numCache>
            </c:numRef>
          </c:yVal>
          <c:smooth val="0"/>
          <c:extLst>
            <c:ext xmlns:c16="http://schemas.microsoft.com/office/drawing/2014/chart" uri="{C3380CC4-5D6E-409C-BE32-E72D297353CC}">
              <c16:uniqueId val="{00000002-07FE-054A-B945-ABF0C63E0DCC}"/>
            </c:ext>
          </c:extLst>
        </c:ser>
        <c:ser>
          <c:idx val="2"/>
          <c:order val="2"/>
          <c:tx>
            <c:v>37,49%</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'4.uzdevums'!$B$64:$B$68</c:f>
              <c:numCache>
                <c:formatCode>0.00%</c:formatCode>
                <c:ptCount val="5"/>
                <c:pt idx="0">
                  <c:v>0.35489999999999999</c:v>
                </c:pt>
                <c:pt idx="1">
                  <c:v>0.3649</c:v>
                </c:pt>
                <c:pt idx="2">
                  <c:v>0.37490000000000001</c:v>
                </c:pt>
                <c:pt idx="3">
                  <c:v>0.38490000000000002</c:v>
                </c:pt>
                <c:pt idx="4">
                  <c:v>0.39489999999999997</c:v>
                </c:pt>
              </c:numCache>
            </c:numRef>
          </c:xVal>
          <c:yVal>
            <c:numRef>
              <c:f>'4.uzdevums'!$E$64:$E$68</c:f>
              <c:numCache>
                <c:formatCode>#,##0</c:formatCode>
                <c:ptCount val="5"/>
                <c:pt idx="0">
                  <c:v>9037783.4940000009</c:v>
                </c:pt>
                <c:pt idx="1">
                  <c:v>8897680.444000002</c:v>
                </c:pt>
                <c:pt idx="2">
                  <c:v>8757577.3940000013</c:v>
                </c:pt>
                <c:pt idx="3">
                  <c:v>8617474.3440000005</c:v>
                </c:pt>
                <c:pt idx="4">
                  <c:v>8477371.2940000016</c:v>
                </c:pt>
              </c:numCache>
            </c:numRef>
          </c:yVal>
          <c:smooth val="0"/>
          <c:extLst>
            <c:ext xmlns:c16="http://schemas.microsoft.com/office/drawing/2014/chart" uri="{C3380CC4-5D6E-409C-BE32-E72D297353CC}">
              <c16:uniqueId val="{00000006-07FE-054A-B945-ABF0C63E0DCC}"/>
            </c:ext>
          </c:extLst>
        </c:ser>
        <c:ser>
          <c:idx val="3"/>
          <c:order val="3"/>
          <c:tx>
            <c:v>38,49%</c:v>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'4.uzdevums'!$B$64:$B$68</c:f>
              <c:numCache>
                <c:formatCode>0.00%</c:formatCode>
                <c:ptCount val="5"/>
                <c:pt idx="0">
                  <c:v>0.35489999999999999</c:v>
                </c:pt>
                <c:pt idx="1">
                  <c:v>0.3649</c:v>
                </c:pt>
                <c:pt idx="2">
                  <c:v>0.37490000000000001</c:v>
                </c:pt>
                <c:pt idx="3">
                  <c:v>0.38490000000000002</c:v>
                </c:pt>
                <c:pt idx="4">
                  <c:v>0.39489999999999997</c:v>
                </c:pt>
              </c:numCache>
            </c:numRef>
          </c:xVal>
          <c:yVal>
            <c:numRef>
              <c:f>'4.uzdevums'!$F$64:$F$68</c:f>
              <c:numCache>
                <c:formatCode>#,##0</c:formatCode>
                <c:ptCount val="5"/>
                <c:pt idx="0">
                  <c:v>9153235.0040000007</c:v>
                </c:pt>
                <c:pt idx="1">
                  <c:v>9013131.9539999999</c:v>
                </c:pt>
                <c:pt idx="2">
                  <c:v>8873028.9039999992</c:v>
                </c:pt>
                <c:pt idx="3">
                  <c:v>8732925.8540000003</c:v>
                </c:pt>
                <c:pt idx="4">
                  <c:v>8592822.8040000014</c:v>
                </c:pt>
              </c:numCache>
            </c:numRef>
          </c:yVal>
          <c:smooth val="0"/>
          <c:extLst>
            <c:ext xmlns:c16="http://schemas.microsoft.com/office/drawing/2014/chart" uri="{C3380CC4-5D6E-409C-BE32-E72D297353CC}">
              <c16:uniqueId val="{00000007-07FE-054A-B945-ABF0C63E0DCC}"/>
            </c:ext>
          </c:extLst>
        </c:ser>
        <c:ser>
          <c:idx val="4"/>
          <c:order val="4"/>
          <c:tx>
            <c:v>39,49%</c:v>
          </c:tx>
          <c:spPr>
            <a:ln w="25400" cap="rnd">
              <a:noFill/>
              <a:round/>
            </a:ln>
            <a:effectLst/>
          </c:spPr>
          <c:marker>
            <c:symbol val="circle"/>
            <c:size val="5"/>
            <c:spPr>
              <a:solidFill>
                <a:schemeClr val="accent5"/>
              </a:solidFill>
              <a:ln w="9525">
                <a:solidFill>
                  <a:schemeClr val="accent5"/>
                </a:solidFill>
              </a:ln>
              <a:effectLst/>
            </c:spPr>
          </c:marker>
          <c:trendline>
            <c:spPr>
              <a:ln w="19050" cap="rnd">
                <a:solidFill>
                  <a:srgbClr val="7030A0"/>
                </a:solidFill>
                <a:prstDash val="sysDot"/>
              </a:ln>
              <a:effectLst/>
            </c:spPr>
            <c:trendlineType val="linear"/>
            <c:dispRSqr val="0"/>
            <c:dispEq val="0"/>
          </c:trendline>
          <c:xVal>
            <c:numRef>
              <c:f>'4.uzdevums'!$B$64:$B$68</c:f>
              <c:numCache>
                <c:formatCode>0.00%</c:formatCode>
                <c:ptCount val="5"/>
                <c:pt idx="0">
                  <c:v>0.35489999999999999</c:v>
                </c:pt>
                <c:pt idx="1">
                  <c:v>0.3649</c:v>
                </c:pt>
                <c:pt idx="2">
                  <c:v>0.37490000000000001</c:v>
                </c:pt>
                <c:pt idx="3">
                  <c:v>0.38490000000000002</c:v>
                </c:pt>
                <c:pt idx="4">
                  <c:v>0.39489999999999997</c:v>
                </c:pt>
              </c:numCache>
            </c:numRef>
          </c:xVal>
          <c:yVal>
            <c:numRef>
              <c:f>'4.uzdevums'!$G$64:$G$68</c:f>
              <c:numCache>
                <c:formatCode>#,##0</c:formatCode>
                <c:ptCount val="5"/>
                <c:pt idx="0">
                  <c:v>9268686.5140000004</c:v>
                </c:pt>
                <c:pt idx="1">
                  <c:v>9128583.4640000015</c:v>
                </c:pt>
                <c:pt idx="2">
                  <c:v>8988480.4140000008</c:v>
                </c:pt>
                <c:pt idx="3">
                  <c:v>8848377.3640000001</c:v>
                </c:pt>
                <c:pt idx="4">
                  <c:v>8708274.3140000012</c:v>
                </c:pt>
              </c:numCache>
            </c:numRef>
          </c:yVal>
          <c:smooth val="0"/>
          <c:extLst>
            <c:ext xmlns:c16="http://schemas.microsoft.com/office/drawing/2014/chart" uri="{C3380CC4-5D6E-409C-BE32-E72D297353CC}">
              <c16:uniqueId val="{00000008-07FE-054A-B945-ABF0C63E0DCC}"/>
            </c:ext>
          </c:extLst>
        </c:ser>
        <c:dLbls>
          <c:showLegendKey val="0"/>
          <c:showVal val="0"/>
          <c:showCatName val="0"/>
          <c:showSerName val="0"/>
          <c:showPercent val="0"/>
          <c:showBubbleSize val="0"/>
        </c:dLbls>
        <c:axId val="1460386911"/>
        <c:axId val="1462818687"/>
      </c:scatterChart>
      <c:valAx>
        <c:axId val="1460386911"/>
        <c:scaling>
          <c:orientation val="minMax"/>
          <c:max val="0.4"/>
          <c:min val="0.35000000000000003"/>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1462818687"/>
        <c:crosses val="autoZero"/>
        <c:crossBetween val="midCat"/>
      </c:valAx>
      <c:valAx>
        <c:axId val="14628186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crossAx val="1460386911"/>
        <c:crosses val="autoZero"/>
        <c:crossBetween val="midCat"/>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V"/>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V"/>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png"/><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15874</xdr:colOff>
      <xdr:row>99</xdr:row>
      <xdr:rowOff>1587</xdr:rowOff>
    </xdr:from>
    <xdr:to>
      <xdr:col>7</xdr:col>
      <xdr:colOff>571500</xdr:colOff>
      <xdr:row>130</xdr:row>
      <xdr:rowOff>174625</xdr:rowOff>
    </xdr:to>
    <xdr:graphicFrame macro="">
      <xdr:nvGraphicFramePr>
        <xdr:cNvPr id="3" name="Chart 2">
          <a:extLst>
            <a:ext uri="{FF2B5EF4-FFF2-40B4-BE49-F238E27FC236}">
              <a16:creationId xmlns:a16="http://schemas.microsoft.com/office/drawing/2014/main" id="{EB2274C1-27BC-9048-B764-93B62226D8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63500</xdr:colOff>
      <xdr:row>19</xdr:row>
      <xdr:rowOff>113323</xdr:rowOff>
    </xdr:from>
    <xdr:to>
      <xdr:col>4</xdr:col>
      <xdr:colOff>561731</xdr:colOff>
      <xdr:row>33</xdr:row>
      <xdr:rowOff>121138</xdr:rowOff>
    </xdr:to>
    <xdr:graphicFrame macro="">
      <xdr:nvGraphicFramePr>
        <xdr:cNvPr id="3" name="Chart 2">
          <a:extLst>
            <a:ext uri="{FF2B5EF4-FFF2-40B4-BE49-F238E27FC236}">
              <a16:creationId xmlns:a16="http://schemas.microsoft.com/office/drawing/2014/main" id="{5776348C-89DD-D741-8579-C0047BBB93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273538</xdr:colOff>
      <xdr:row>44</xdr:row>
      <xdr:rowOff>9769</xdr:rowOff>
    </xdr:from>
    <xdr:ext cx="151965" cy="17222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273DBC67-5102-4740-BBC1-6F6C10923270}"/>
                </a:ext>
              </a:extLst>
            </xdr:cNvPr>
            <xdr:cNvSpPr txBox="1"/>
          </xdr:nvSpPr>
          <xdr:spPr>
            <a:xfrm>
              <a:off x="5519615" y="7043615"/>
              <a:ext cx="1519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lv-LV" sz="1100" i="1">
                            <a:solidFill>
                              <a:srgbClr val="836967"/>
                            </a:solidFill>
                            <a:latin typeface="Cambria Math" panose="02040503050406030204" pitchFamily="18" charset="0"/>
                          </a:rPr>
                        </m:ctrlPr>
                      </m:accPr>
                      <m:e>
                        <m:sSub>
                          <m:sSubPr>
                            <m:ctrlPr>
                              <a:rPr lang="lv-LV" sz="1100" i="1">
                                <a:solidFill>
                                  <a:srgbClr val="836967"/>
                                </a:solidFill>
                                <a:latin typeface="Cambria Math" panose="02040503050406030204" pitchFamily="18" charset="0"/>
                              </a:rPr>
                            </m:ctrlPr>
                          </m:sSubPr>
                          <m:e>
                            <m:r>
                              <a:rPr lang="lv-LV" sz="1100" i="1">
                                <a:latin typeface="Cambria Math" panose="02040503050406030204" pitchFamily="18" charset="0"/>
                              </a:rPr>
                              <m:t>𝑦</m:t>
                            </m:r>
                          </m:e>
                          <m:sub>
                            <m:r>
                              <a:rPr lang="lv-LV" sz="1100" i="1">
                                <a:latin typeface="Cambria Math" panose="02040503050406030204" pitchFamily="18" charset="0"/>
                              </a:rPr>
                              <m:t>𝑖</m:t>
                            </m:r>
                          </m:sub>
                        </m:sSub>
                      </m:e>
                    </m:acc>
                  </m:oMath>
                </m:oMathPara>
              </a14:m>
              <a:endParaRPr lang="lv-LV" sz="1100"/>
            </a:p>
          </xdr:txBody>
        </xdr:sp>
      </mc:Choice>
      <mc:Fallback xmlns="">
        <xdr:sp macro="" textlink="">
          <xdr:nvSpPr>
            <xdr:cNvPr id="4" name="TextBox 3">
              <a:extLst>
                <a:ext uri="{FF2B5EF4-FFF2-40B4-BE49-F238E27FC236}">
                  <a16:creationId xmlns:a16="http://schemas.microsoft.com/office/drawing/2014/main" id="{273DBC67-5102-4740-BBC1-6F6C10923270}"/>
                </a:ext>
              </a:extLst>
            </xdr:cNvPr>
            <xdr:cNvSpPr txBox="1"/>
          </xdr:nvSpPr>
          <xdr:spPr>
            <a:xfrm>
              <a:off x="5519615" y="7043615"/>
              <a:ext cx="1519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lv-LV" sz="1100" i="0">
                  <a:solidFill>
                    <a:srgbClr val="836967"/>
                  </a:solidFill>
                  <a:latin typeface="Cambria Math" panose="02040503050406030204" pitchFamily="18" charset="0"/>
                </a:rPr>
                <a:t>(</a:t>
              </a:r>
              <a:r>
                <a:rPr lang="lv-LV" sz="1100" i="0">
                  <a:latin typeface="Cambria Math" panose="02040503050406030204" pitchFamily="18" charset="0"/>
                </a:rPr>
                <a:t>𝑦</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𝑖 </a:t>
              </a:r>
              <a:r>
                <a:rPr lang="lv-LV" sz="1100" i="0">
                  <a:solidFill>
                    <a:srgbClr val="836967"/>
                  </a:solidFill>
                  <a:latin typeface="Cambria Math" panose="02040503050406030204" pitchFamily="18" charset="0"/>
                </a:rPr>
                <a:t>) ̃</a:t>
              </a:r>
              <a:endParaRPr lang="lv-LV" sz="1100"/>
            </a:p>
          </xdr:txBody>
        </xdr:sp>
      </mc:Fallback>
    </mc:AlternateContent>
    <xdr:clientData/>
  </xdr:oneCellAnchor>
  <xdr:oneCellAnchor>
    <xdr:from>
      <xdr:col>6</xdr:col>
      <xdr:colOff>175846</xdr:colOff>
      <xdr:row>44</xdr:row>
      <xdr:rowOff>19538</xdr:rowOff>
    </xdr:from>
    <xdr:ext cx="427425" cy="180049"/>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45515233-2534-8440-AE06-BB5586891BB5}"/>
                </a:ext>
              </a:extLst>
            </xdr:cNvPr>
            <xdr:cNvSpPr txBox="1"/>
          </xdr:nvSpPr>
          <xdr:spPr>
            <a:xfrm>
              <a:off x="6350000" y="7053384"/>
              <a:ext cx="427425" cy="1800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lv-LV" sz="1100" i="1">
                            <a:solidFill>
                              <a:srgbClr val="836967"/>
                            </a:solidFill>
                            <a:latin typeface="Cambria Math" panose="02040503050406030204" pitchFamily="18" charset="0"/>
                          </a:rPr>
                        </m:ctrlPr>
                      </m:sSubPr>
                      <m:e>
                        <m:r>
                          <a:rPr lang="lv-LV" sz="1100" i="1">
                            <a:latin typeface="Cambria Math" panose="02040503050406030204" pitchFamily="18" charset="0"/>
                          </a:rPr>
                          <m:t>𝑦</m:t>
                        </m:r>
                      </m:e>
                      <m:sub>
                        <m:r>
                          <a:rPr lang="lv-LV" sz="1100" i="1">
                            <a:latin typeface="Cambria Math" panose="02040503050406030204" pitchFamily="18" charset="0"/>
                          </a:rPr>
                          <m:t>𝑖</m:t>
                        </m:r>
                      </m:sub>
                    </m:sSub>
                    <m:r>
                      <a:rPr lang="lv-LV" sz="1100" i="0">
                        <a:latin typeface="Cambria Math" panose="02040503050406030204" pitchFamily="18" charset="0"/>
                      </a:rPr>
                      <m:t>−</m:t>
                    </m:r>
                    <m:acc>
                      <m:accPr>
                        <m:chr m:val="̃"/>
                        <m:ctrlPr>
                          <a:rPr lang="lv-LV" sz="1100" i="1">
                            <a:solidFill>
                              <a:srgbClr val="836967"/>
                            </a:solidFill>
                            <a:latin typeface="Cambria Math" panose="02040503050406030204" pitchFamily="18" charset="0"/>
                          </a:rPr>
                        </m:ctrlPr>
                      </m:accPr>
                      <m:e>
                        <m:sSub>
                          <m:sSubPr>
                            <m:ctrlPr>
                              <a:rPr lang="lv-LV" sz="1100" i="1">
                                <a:solidFill>
                                  <a:srgbClr val="836967"/>
                                </a:solidFill>
                                <a:latin typeface="Cambria Math" panose="02040503050406030204" pitchFamily="18" charset="0"/>
                              </a:rPr>
                            </m:ctrlPr>
                          </m:sSubPr>
                          <m:e>
                            <m:r>
                              <a:rPr lang="lv-LV" sz="1100" i="1">
                                <a:latin typeface="Cambria Math" panose="02040503050406030204" pitchFamily="18" charset="0"/>
                              </a:rPr>
                              <m:t>𝑌</m:t>
                            </m:r>
                          </m:e>
                          <m:sub>
                            <m:r>
                              <a:rPr lang="lv-LV" sz="1100" i="1">
                                <a:latin typeface="Cambria Math" panose="02040503050406030204" pitchFamily="18" charset="0"/>
                              </a:rPr>
                              <m:t>𝑖</m:t>
                            </m:r>
                          </m:sub>
                        </m:sSub>
                      </m:e>
                    </m:acc>
                  </m:oMath>
                </m:oMathPara>
              </a14:m>
              <a:endParaRPr lang="lv-LV" sz="1100"/>
            </a:p>
          </xdr:txBody>
        </xdr:sp>
      </mc:Choice>
      <mc:Fallback xmlns="">
        <xdr:sp macro="" textlink="">
          <xdr:nvSpPr>
            <xdr:cNvPr id="5" name="TextBox 4">
              <a:extLst>
                <a:ext uri="{FF2B5EF4-FFF2-40B4-BE49-F238E27FC236}">
                  <a16:creationId xmlns:a16="http://schemas.microsoft.com/office/drawing/2014/main" id="{45515233-2534-8440-AE06-BB5586891BB5}"/>
                </a:ext>
              </a:extLst>
            </xdr:cNvPr>
            <xdr:cNvSpPr txBox="1"/>
          </xdr:nvSpPr>
          <xdr:spPr>
            <a:xfrm>
              <a:off x="6350000" y="7053384"/>
              <a:ext cx="427425" cy="1800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lv-LV" sz="1100" i="0">
                  <a:latin typeface="Cambria Math" panose="02040503050406030204" pitchFamily="18" charset="0"/>
                </a:rPr>
                <a:t>𝑦</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𝑖−</a:t>
              </a:r>
              <a:r>
                <a:rPr lang="lv-LV" sz="1100" i="0">
                  <a:solidFill>
                    <a:srgbClr val="836967"/>
                  </a:solidFill>
                  <a:latin typeface="Cambria Math" panose="02040503050406030204" pitchFamily="18" charset="0"/>
                </a:rPr>
                <a:t>(</a:t>
              </a:r>
              <a:r>
                <a:rPr lang="lv-LV" sz="1100" i="0">
                  <a:latin typeface="Cambria Math" panose="02040503050406030204" pitchFamily="18" charset="0"/>
                </a:rPr>
                <a:t>𝑌</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𝑖 </a:t>
              </a:r>
              <a:r>
                <a:rPr lang="lv-LV" sz="1100" i="0">
                  <a:solidFill>
                    <a:srgbClr val="836967"/>
                  </a:solidFill>
                  <a:latin typeface="Cambria Math" panose="02040503050406030204" pitchFamily="18" charset="0"/>
                </a:rPr>
                <a:t>) ̃</a:t>
              </a:r>
              <a:endParaRPr lang="lv-LV" sz="1100"/>
            </a:p>
          </xdr:txBody>
        </xdr:sp>
      </mc:Fallback>
    </mc:AlternateContent>
    <xdr:clientData/>
  </xdr:oneCellAnchor>
  <xdr:oneCellAnchor>
    <xdr:from>
      <xdr:col>7</xdr:col>
      <xdr:colOff>166077</xdr:colOff>
      <xdr:row>44</xdr:row>
      <xdr:rowOff>19539</xdr:rowOff>
    </xdr:from>
    <xdr:ext cx="622671" cy="175369"/>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F24C5B7E-6807-8A45-97A5-4652218B8274}"/>
                </a:ext>
              </a:extLst>
            </xdr:cNvPr>
            <xdr:cNvSpPr txBox="1"/>
          </xdr:nvSpPr>
          <xdr:spPr>
            <a:xfrm>
              <a:off x="7229231" y="7053385"/>
              <a:ext cx="622671"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lv-LV" sz="1100" i="1">
                            <a:solidFill>
                              <a:srgbClr val="836967"/>
                            </a:solidFill>
                            <a:latin typeface="Cambria Math" panose="02040503050406030204" pitchFamily="18" charset="0"/>
                          </a:rPr>
                        </m:ctrlPr>
                      </m:sSupPr>
                      <m:e>
                        <m:d>
                          <m:dPr>
                            <m:ctrlPr>
                              <a:rPr lang="lv-LV" sz="1100" i="1">
                                <a:solidFill>
                                  <a:srgbClr val="836967"/>
                                </a:solidFill>
                                <a:latin typeface="Cambria Math" panose="02040503050406030204" pitchFamily="18" charset="0"/>
                              </a:rPr>
                            </m:ctrlPr>
                          </m:dPr>
                          <m:e>
                            <m:sSub>
                              <m:sSubPr>
                                <m:ctrlPr>
                                  <a:rPr lang="lv-LV" sz="1100" i="1">
                                    <a:solidFill>
                                      <a:srgbClr val="836967"/>
                                    </a:solidFill>
                                    <a:latin typeface="Cambria Math" panose="02040503050406030204" pitchFamily="18" charset="0"/>
                                  </a:rPr>
                                </m:ctrlPr>
                              </m:sSubPr>
                              <m:e>
                                <m:r>
                                  <a:rPr lang="lv-LV" sz="1100" i="1">
                                    <a:latin typeface="Cambria Math" panose="02040503050406030204" pitchFamily="18" charset="0"/>
                                  </a:rPr>
                                  <m:t>𝑦</m:t>
                                </m:r>
                              </m:e>
                              <m:sub>
                                <m:r>
                                  <a:rPr lang="lv-LV" sz="1100" i="1">
                                    <a:latin typeface="Cambria Math" panose="02040503050406030204" pitchFamily="18" charset="0"/>
                                  </a:rPr>
                                  <m:t>𝑖</m:t>
                                </m:r>
                              </m:sub>
                            </m:sSub>
                            <m:r>
                              <a:rPr lang="lv-LV" sz="1100" i="0">
                                <a:latin typeface="Cambria Math" panose="02040503050406030204" pitchFamily="18" charset="0"/>
                              </a:rPr>
                              <m:t>−</m:t>
                            </m:r>
                            <m:acc>
                              <m:accPr>
                                <m:chr m:val="̃"/>
                                <m:ctrlPr>
                                  <a:rPr lang="lv-LV" sz="1100" i="1">
                                    <a:solidFill>
                                      <a:srgbClr val="836967"/>
                                    </a:solidFill>
                                    <a:latin typeface="Cambria Math" panose="02040503050406030204" pitchFamily="18" charset="0"/>
                                  </a:rPr>
                                </m:ctrlPr>
                              </m:accPr>
                              <m:e>
                                <m:sSub>
                                  <m:sSubPr>
                                    <m:ctrlPr>
                                      <a:rPr lang="lv-LV" sz="1100" i="1">
                                        <a:solidFill>
                                          <a:srgbClr val="836967"/>
                                        </a:solidFill>
                                        <a:latin typeface="Cambria Math" panose="02040503050406030204" pitchFamily="18" charset="0"/>
                                      </a:rPr>
                                    </m:ctrlPr>
                                  </m:sSubPr>
                                  <m:e>
                                    <m:r>
                                      <a:rPr lang="lv-LV" sz="1100" i="1">
                                        <a:latin typeface="Cambria Math" panose="02040503050406030204" pitchFamily="18" charset="0"/>
                                      </a:rPr>
                                      <m:t>𝑦</m:t>
                                    </m:r>
                                  </m:e>
                                  <m:sub>
                                    <m:r>
                                      <a:rPr lang="lv-LV" sz="1100" i="1">
                                        <a:latin typeface="Cambria Math" panose="02040503050406030204" pitchFamily="18" charset="0"/>
                                      </a:rPr>
                                      <m:t>𝑖</m:t>
                                    </m:r>
                                  </m:sub>
                                </m:sSub>
                              </m:e>
                            </m:acc>
                          </m:e>
                        </m:d>
                      </m:e>
                      <m:sup>
                        <m:r>
                          <a:rPr lang="lv-LV" sz="1100" i="0">
                            <a:latin typeface="Cambria Math" panose="02040503050406030204" pitchFamily="18" charset="0"/>
                          </a:rPr>
                          <m:t>2</m:t>
                        </m:r>
                      </m:sup>
                    </m:sSup>
                  </m:oMath>
                </m:oMathPara>
              </a14:m>
              <a:endParaRPr lang="lv-LV" sz="1100"/>
            </a:p>
          </xdr:txBody>
        </xdr:sp>
      </mc:Choice>
      <mc:Fallback xmlns="">
        <xdr:sp macro="" textlink="">
          <xdr:nvSpPr>
            <xdr:cNvPr id="6" name="TextBox 5">
              <a:extLst>
                <a:ext uri="{FF2B5EF4-FFF2-40B4-BE49-F238E27FC236}">
                  <a16:creationId xmlns:a16="http://schemas.microsoft.com/office/drawing/2014/main" id="{F24C5B7E-6807-8A45-97A5-4652218B8274}"/>
                </a:ext>
              </a:extLst>
            </xdr:cNvPr>
            <xdr:cNvSpPr txBox="1"/>
          </xdr:nvSpPr>
          <xdr:spPr>
            <a:xfrm>
              <a:off x="7229231" y="7053385"/>
              <a:ext cx="622671"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lv-LV" sz="1100" i="0">
                  <a:solidFill>
                    <a:srgbClr val="836967"/>
                  </a:solidFill>
                  <a:latin typeface="Cambria Math" panose="02040503050406030204" pitchFamily="18" charset="0"/>
                </a:rPr>
                <a:t>(</a:t>
              </a:r>
              <a:r>
                <a:rPr lang="lv-LV" sz="1100" i="0">
                  <a:latin typeface="Cambria Math" panose="02040503050406030204" pitchFamily="18" charset="0"/>
                </a:rPr>
                <a:t>𝑦</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𝑖−</a:t>
              </a:r>
              <a:r>
                <a:rPr lang="lv-LV" sz="1100" i="0">
                  <a:solidFill>
                    <a:srgbClr val="836967"/>
                  </a:solidFill>
                  <a:latin typeface="Cambria Math" panose="02040503050406030204" pitchFamily="18" charset="0"/>
                </a:rPr>
                <a:t>(</a:t>
              </a:r>
              <a:r>
                <a:rPr lang="lv-LV" sz="1100" i="0">
                  <a:latin typeface="Cambria Math" panose="02040503050406030204" pitchFamily="18" charset="0"/>
                </a:rPr>
                <a:t>𝑦</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𝑖 </a:t>
              </a:r>
              <a:r>
                <a:rPr lang="lv-LV" sz="1100" i="0">
                  <a:solidFill>
                    <a:srgbClr val="836967"/>
                  </a:solidFill>
                  <a:latin typeface="Cambria Math" panose="02040503050406030204" pitchFamily="18" charset="0"/>
                </a:rPr>
                <a:t>) ̃ )^</a:t>
              </a:r>
              <a:r>
                <a:rPr lang="lv-LV" sz="1100" i="0">
                  <a:latin typeface="Cambria Math" panose="02040503050406030204" pitchFamily="18" charset="0"/>
                </a:rPr>
                <a:t>2</a:t>
              </a:r>
              <a:endParaRPr lang="lv-LV" sz="1100"/>
            </a:p>
          </xdr:txBody>
        </xdr:sp>
      </mc:Fallback>
    </mc:AlternateContent>
    <xdr:clientData/>
  </xdr:oneCellAnchor>
  <xdr:oneCellAnchor>
    <xdr:from>
      <xdr:col>8</xdr:col>
      <xdr:colOff>127000</xdr:colOff>
      <xdr:row>44</xdr:row>
      <xdr:rowOff>19539</xdr:rowOff>
    </xdr:from>
    <xdr:ext cx="583942" cy="175369"/>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C8A8B237-7F33-0741-A5C9-551E4BDB9068}"/>
                </a:ext>
              </a:extLst>
            </xdr:cNvPr>
            <xdr:cNvSpPr txBox="1"/>
          </xdr:nvSpPr>
          <xdr:spPr>
            <a:xfrm>
              <a:off x="8088923" y="7053385"/>
              <a:ext cx="583942"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lv-LV" sz="1100" i="1">
                            <a:solidFill>
                              <a:srgbClr val="836967"/>
                            </a:solidFill>
                            <a:latin typeface="Cambria Math" panose="02040503050406030204" pitchFamily="18" charset="0"/>
                          </a:rPr>
                        </m:ctrlPr>
                      </m:sSupPr>
                      <m:e>
                        <m:d>
                          <m:dPr>
                            <m:ctrlPr>
                              <a:rPr lang="lv-LV" sz="1100" i="1">
                                <a:solidFill>
                                  <a:srgbClr val="836967"/>
                                </a:solidFill>
                                <a:latin typeface="Cambria Math" panose="02040503050406030204" pitchFamily="18" charset="0"/>
                              </a:rPr>
                            </m:ctrlPr>
                          </m:dPr>
                          <m:e>
                            <m:acc>
                              <m:accPr>
                                <m:chr m:val="̃"/>
                                <m:ctrlPr>
                                  <a:rPr lang="lv-LV" sz="1100" i="1">
                                    <a:solidFill>
                                      <a:srgbClr val="836967"/>
                                    </a:solidFill>
                                    <a:latin typeface="Cambria Math" panose="02040503050406030204" pitchFamily="18" charset="0"/>
                                  </a:rPr>
                                </m:ctrlPr>
                              </m:accPr>
                              <m:e>
                                <m:sSub>
                                  <m:sSubPr>
                                    <m:ctrlPr>
                                      <a:rPr lang="lv-LV" sz="1100" i="1">
                                        <a:solidFill>
                                          <a:srgbClr val="836967"/>
                                        </a:solidFill>
                                        <a:latin typeface="Cambria Math" panose="02040503050406030204" pitchFamily="18" charset="0"/>
                                      </a:rPr>
                                    </m:ctrlPr>
                                  </m:sSubPr>
                                  <m:e>
                                    <m:r>
                                      <a:rPr lang="lv-LV" sz="1100" i="1">
                                        <a:latin typeface="Cambria Math" panose="02040503050406030204" pitchFamily="18" charset="0"/>
                                      </a:rPr>
                                      <m:t>𝑦</m:t>
                                    </m:r>
                                  </m:e>
                                  <m:sub>
                                    <m:r>
                                      <a:rPr lang="lv-LV" sz="1100" i="1">
                                        <a:latin typeface="Cambria Math" panose="02040503050406030204" pitchFamily="18" charset="0"/>
                                      </a:rPr>
                                      <m:t>𝑖</m:t>
                                    </m:r>
                                  </m:sub>
                                </m:sSub>
                              </m:e>
                            </m:acc>
                            <m:r>
                              <a:rPr lang="lv-LV" sz="1100" i="0">
                                <a:latin typeface="Cambria Math" panose="02040503050406030204" pitchFamily="18" charset="0"/>
                              </a:rPr>
                              <m:t>−</m:t>
                            </m:r>
                            <m:acc>
                              <m:accPr>
                                <m:chr m:val="̅"/>
                                <m:ctrlPr>
                                  <a:rPr lang="lv-LV" sz="1100" i="1">
                                    <a:solidFill>
                                      <a:srgbClr val="836967"/>
                                    </a:solidFill>
                                    <a:latin typeface="Cambria Math" panose="02040503050406030204" pitchFamily="18" charset="0"/>
                                  </a:rPr>
                                </m:ctrlPr>
                              </m:accPr>
                              <m:e>
                                <m:r>
                                  <a:rPr lang="lv-LV" sz="1100" i="1">
                                    <a:latin typeface="Cambria Math" panose="02040503050406030204" pitchFamily="18" charset="0"/>
                                  </a:rPr>
                                  <m:t>𝑦</m:t>
                                </m:r>
                              </m:e>
                            </m:acc>
                          </m:e>
                        </m:d>
                      </m:e>
                      <m:sup>
                        <m:r>
                          <a:rPr lang="lv-LV" sz="1100" i="0">
                            <a:latin typeface="Cambria Math" panose="02040503050406030204" pitchFamily="18" charset="0"/>
                          </a:rPr>
                          <m:t>2</m:t>
                        </m:r>
                      </m:sup>
                    </m:sSup>
                  </m:oMath>
                </m:oMathPara>
              </a14:m>
              <a:endParaRPr lang="lv-LV" sz="1100"/>
            </a:p>
          </xdr:txBody>
        </xdr:sp>
      </mc:Choice>
      <mc:Fallback xmlns="">
        <xdr:sp macro="" textlink="">
          <xdr:nvSpPr>
            <xdr:cNvPr id="7" name="TextBox 6">
              <a:extLst>
                <a:ext uri="{FF2B5EF4-FFF2-40B4-BE49-F238E27FC236}">
                  <a16:creationId xmlns:a16="http://schemas.microsoft.com/office/drawing/2014/main" id="{C8A8B237-7F33-0741-A5C9-551E4BDB9068}"/>
                </a:ext>
              </a:extLst>
            </xdr:cNvPr>
            <xdr:cNvSpPr txBox="1"/>
          </xdr:nvSpPr>
          <xdr:spPr>
            <a:xfrm>
              <a:off x="8088923" y="7053385"/>
              <a:ext cx="583942"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lv-LV" sz="1100" i="0">
                  <a:solidFill>
                    <a:srgbClr val="836967"/>
                  </a:solidFill>
                  <a:latin typeface="Cambria Math" panose="02040503050406030204" pitchFamily="18" charset="0"/>
                </a:rPr>
                <a:t>((</a:t>
              </a:r>
              <a:r>
                <a:rPr lang="lv-LV" sz="1100" i="0">
                  <a:latin typeface="Cambria Math" panose="02040503050406030204" pitchFamily="18" charset="0"/>
                </a:rPr>
                <a:t>𝑦</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𝑖 </a:t>
              </a:r>
              <a:r>
                <a:rPr lang="lv-LV" sz="1100" i="0">
                  <a:solidFill>
                    <a:srgbClr val="836967"/>
                  </a:solidFill>
                  <a:latin typeface="Cambria Math" panose="02040503050406030204" pitchFamily="18" charset="0"/>
                </a:rPr>
                <a:t>) ̃</a:t>
              </a:r>
              <a:r>
                <a:rPr lang="lv-LV" sz="1100" i="0">
                  <a:latin typeface="Cambria Math" panose="02040503050406030204" pitchFamily="18" charset="0"/>
                </a:rPr>
                <a:t>−𝑦</a:t>
              </a:r>
              <a:r>
                <a:rPr lang="lv-LV" sz="1100" i="0">
                  <a:solidFill>
                    <a:srgbClr val="836967"/>
                  </a:solidFill>
                  <a:latin typeface="Cambria Math" panose="02040503050406030204" pitchFamily="18" charset="0"/>
                </a:rPr>
                <a:t> ̅ )^</a:t>
              </a:r>
              <a:r>
                <a:rPr lang="lv-LV" sz="1100" i="0">
                  <a:latin typeface="Cambria Math" panose="02040503050406030204" pitchFamily="18" charset="0"/>
                </a:rPr>
                <a:t>2</a:t>
              </a:r>
              <a:endParaRPr lang="lv-LV" sz="1100"/>
            </a:p>
          </xdr:txBody>
        </xdr:sp>
      </mc:Fallback>
    </mc:AlternateContent>
    <xdr:clientData/>
  </xdr:oneCellAnchor>
  <xdr:oneCellAnchor>
    <xdr:from>
      <xdr:col>3</xdr:col>
      <xdr:colOff>325049</xdr:colOff>
      <xdr:row>42</xdr:row>
      <xdr:rowOff>195384</xdr:rowOff>
    </xdr:from>
    <xdr:ext cx="151965" cy="172227"/>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984EA8B2-A54B-7541-AC5B-AFBC34A9FB7E}"/>
                </a:ext>
              </a:extLst>
            </xdr:cNvPr>
            <xdr:cNvSpPr txBox="1"/>
          </xdr:nvSpPr>
          <xdr:spPr>
            <a:xfrm>
              <a:off x="6224776" y="8461929"/>
              <a:ext cx="1519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lv-LV" sz="1100" i="1">
                            <a:solidFill>
                              <a:srgbClr val="836967"/>
                            </a:solidFill>
                            <a:latin typeface="Cambria Math" panose="02040503050406030204" pitchFamily="18" charset="0"/>
                          </a:rPr>
                        </m:ctrlPr>
                      </m:accPr>
                      <m:e>
                        <m:sSub>
                          <m:sSubPr>
                            <m:ctrlPr>
                              <a:rPr lang="lv-LV" sz="1100" i="1">
                                <a:solidFill>
                                  <a:srgbClr val="836967"/>
                                </a:solidFill>
                                <a:latin typeface="Cambria Math" panose="02040503050406030204" pitchFamily="18" charset="0"/>
                              </a:rPr>
                            </m:ctrlPr>
                          </m:sSubPr>
                          <m:e>
                            <m:r>
                              <a:rPr lang="lv-LV" sz="1100" i="1">
                                <a:latin typeface="Cambria Math" panose="02040503050406030204" pitchFamily="18" charset="0"/>
                              </a:rPr>
                              <m:t>𝑦</m:t>
                            </m:r>
                          </m:e>
                          <m:sub>
                            <m:r>
                              <a:rPr lang="lv-LV" sz="1100" i="1">
                                <a:latin typeface="Cambria Math" panose="02040503050406030204" pitchFamily="18" charset="0"/>
                              </a:rPr>
                              <m:t>𝑖</m:t>
                            </m:r>
                          </m:sub>
                        </m:sSub>
                      </m:e>
                    </m:acc>
                  </m:oMath>
                </m:oMathPara>
              </a14:m>
              <a:endParaRPr lang="lv-LV" sz="1100"/>
            </a:p>
          </xdr:txBody>
        </xdr:sp>
      </mc:Choice>
      <mc:Fallback xmlns="">
        <xdr:sp macro="" textlink="">
          <xdr:nvSpPr>
            <xdr:cNvPr id="8" name="TextBox 7">
              <a:extLst>
                <a:ext uri="{FF2B5EF4-FFF2-40B4-BE49-F238E27FC236}">
                  <a16:creationId xmlns:a16="http://schemas.microsoft.com/office/drawing/2014/main" id="{984EA8B2-A54B-7541-AC5B-AFBC34A9FB7E}"/>
                </a:ext>
              </a:extLst>
            </xdr:cNvPr>
            <xdr:cNvSpPr txBox="1"/>
          </xdr:nvSpPr>
          <xdr:spPr>
            <a:xfrm>
              <a:off x="6224776" y="8461929"/>
              <a:ext cx="1519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lv-LV" sz="1100" i="0">
                  <a:solidFill>
                    <a:srgbClr val="836967"/>
                  </a:solidFill>
                  <a:latin typeface="Cambria Math" panose="02040503050406030204" pitchFamily="18" charset="0"/>
                </a:rPr>
                <a:t>(</a:t>
              </a:r>
              <a:r>
                <a:rPr lang="lv-LV" sz="1100" i="0">
                  <a:latin typeface="Cambria Math" panose="02040503050406030204" pitchFamily="18" charset="0"/>
                </a:rPr>
                <a:t>𝑦</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𝑖 </a:t>
              </a:r>
              <a:r>
                <a:rPr lang="lv-LV" sz="1100" i="0">
                  <a:solidFill>
                    <a:srgbClr val="836967"/>
                  </a:solidFill>
                  <a:latin typeface="Cambria Math" panose="02040503050406030204" pitchFamily="18" charset="0"/>
                </a:rPr>
                <a:t>) ̃</a:t>
              </a:r>
              <a:endParaRPr lang="lv-LV" sz="1100"/>
            </a:p>
          </xdr:txBody>
        </xdr:sp>
      </mc:Fallback>
    </mc:AlternateContent>
    <xdr:clientData/>
  </xdr:oneCellAnchor>
  <xdr:oneCellAnchor>
    <xdr:from>
      <xdr:col>0</xdr:col>
      <xdr:colOff>1412587</xdr:colOff>
      <xdr:row>53</xdr:row>
      <xdr:rowOff>187757</xdr:rowOff>
    </xdr:from>
    <xdr:ext cx="225446" cy="182935"/>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DF012DF2-1DE7-D94D-B488-F788946E4A84}"/>
                </a:ext>
              </a:extLst>
            </xdr:cNvPr>
            <xdr:cNvSpPr txBox="1"/>
          </xdr:nvSpPr>
          <xdr:spPr>
            <a:xfrm>
              <a:off x="1412587" y="10659484"/>
              <a:ext cx="225446" cy="182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lv-LV" sz="1100" i="1">
                            <a:solidFill>
                              <a:srgbClr val="836967"/>
                            </a:solidFill>
                            <a:latin typeface="Cambria Math" panose="02040503050406030204" pitchFamily="18" charset="0"/>
                          </a:rPr>
                        </m:ctrlPr>
                      </m:sSubPr>
                      <m:e>
                        <m:r>
                          <a:rPr lang="lv-LV" sz="1100" i="1">
                            <a:latin typeface="Cambria Math" panose="02040503050406030204" pitchFamily="18" charset="0"/>
                          </a:rPr>
                          <m:t>𝑠</m:t>
                        </m:r>
                      </m:e>
                      <m:sub>
                        <m:r>
                          <a:rPr lang="lv-LV" sz="1100" i="1">
                            <a:latin typeface="Cambria Math" panose="02040503050406030204" pitchFamily="18" charset="0"/>
                          </a:rPr>
                          <m:t>𝑦𝑥</m:t>
                        </m:r>
                      </m:sub>
                    </m:sSub>
                  </m:oMath>
                </m:oMathPara>
              </a14:m>
              <a:endParaRPr lang="lv-LV" sz="1100"/>
            </a:p>
          </xdr:txBody>
        </xdr:sp>
      </mc:Choice>
      <mc:Fallback xmlns="">
        <xdr:sp macro="" textlink="">
          <xdr:nvSpPr>
            <xdr:cNvPr id="9" name="TextBox 8">
              <a:extLst>
                <a:ext uri="{FF2B5EF4-FFF2-40B4-BE49-F238E27FC236}">
                  <a16:creationId xmlns:a16="http://schemas.microsoft.com/office/drawing/2014/main" id="{DF012DF2-1DE7-D94D-B488-F788946E4A84}"/>
                </a:ext>
              </a:extLst>
            </xdr:cNvPr>
            <xdr:cNvSpPr txBox="1"/>
          </xdr:nvSpPr>
          <xdr:spPr>
            <a:xfrm>
              <a:off x="1412587" y="10659484"/>
              <a:ext cx="225446" cy="182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lv-LV" sz="1100" i="0">
                  <a:latin typeface="Cambria Math" panose="02040503050406030204" pitchFamily="18" charset="0"/>
                </a:rPr>
                <a:t>𝑠</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𝑦𝑥</a:t>
              </a:r>
              <a:endParaRPr lang="lv-LV" sz="1100"/>
            </a:p>
          </xdr:txBody>
        </xdr:sp>
      </mc:Fallback>
    </mc:AlternateContent>
    <xdr:clientData/>
  </xdr:oneCellAnchor>
  <xdr:oneCellAnchor>
    <xdr:from>
      <xdr:col>0</xdr:col>
      <xdr:colOff>1375930</xdr:colOff>
      <xdr:row>57</xdr:row>
      <xdr:rowOff>12555</xdr:rowOff>
    </xdr:from>
    <xdr:ext cx="250581" cy="242888"/>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B024EC10-F028-2745-A9DE-C169B7662C17}"/>
                </a:ext>
              </a:extLst>
            </xdr:cNvPr>
            <xdr:cNvSpPr txBox="1"/>
          </xdr:nvSpPr>
          <xdr:spPr>
            <a:xfrm>
              <a:off x="1375930" y="11280919"/>
              <a:ext cx="250581" cy="242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lv-LV" sz="1100" i="1">
                            <a:solidFill>
                              <a:srgbClr val="836967"/>
                            </a:solidFill>
                            <a:latin typeface="Cambria Math" panose="02040503050406030204" pitchFamily="18" charset="0"/>
                          </a:rPr>
                        </m:ctrlPr>
                      </m:sSubPr>
                      <m:e>
                        <m:r>
                          <m:rPr>
                            <m:sty m:val="p"/>
                          </m:rPr>
                          <a:rPr lang="lv-LV" sz="1100">
                            <a:latin typeface="Cambria Math" panose="02040503050406030204" pitchFamily="18" charset="0"/>
                          </a:rPr>
                          <m:t>Δ</m:t>
                        </m:r>
                      </m:e>
                      <m:sub>
                        <m:r>
                          <a:rPr lang="lv-LV" sz="1100" i="1">
                            <a:latin typeface="Cambria Math" panose="02040503050406030204" pitchFamily="18" charset="0"/>
                          </a:rPr>
                          <m:t>𝑦𝑥</m:t>
                        </m:r>
                      </m:sub>
                    </m:sSub>
                  </m:oMath>
                </m:oMathPara>
              </a14:m>
              <a:endParaRPr lang="lv-LV" sz="1100"/>
            </a:p>
          </xdr:txBody>
        </xdr:sp>
      </mc:Choice>
      <mc:Fallback xmlns="">
        <xdr:sp macro="" textlink="">
          <xdr:nvSpPr>
            <xdr:cNvPr id="10" name="TextBox 9">
              <a:extLst>
                <a:ext uri="{FF2B5EF4-FFF2-40B4-BE49-F238E27FC236}">
                  <a16:creationId xmlns:a16="http://schemas.microsoft.com/office/drawing/2014/main" id="{B024EC10-F028-2745-A9DE-C169B7662C17}"/>
                </a:ext>
              </a:extLst>
            </xdr:cNvPr>
            <xdr:cNvSpPr txBox="1"/>
          </xdr:nvSpPr>
          <xdr:spPr>
            <a:xfrm>
              <a:off x="1375930" y="11280919"/>
              <a:ext cx="250581" cy="242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lv-LV" sz="1100" i="0">
                  <a:latin typeface="Cambria Math" panose="02040503050406030204" pitchFamily="18" charset="0"/>
                </a:rPr>
                <a:t>Δ</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𝑦𝑥</a:t>
              </a:r>
              <a:endParaRPr lang="lv-LV" sz="1100"/>
            </a:p>
          </xdr:txBody>
        </xdr:sp>
      </mc:Fallback>
    </mc:AlternateContent>
    <xdr:clientData/>
  </xdr:oneCellAnchor>
  <xdr:oneCellAnchor>
    <xdr:from>
      <xdr:col>5</xdr:col>
      <xdr:colOff>359833</xdr:colOff>
      <xdr:row>59</xdr:row>
      <xdr:rowOff>169334</xdr:rowOff>
    </xdr:from>
    <xdr:ext cx="151965" cy="172227"/>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FC4303D0-A41B-854B-AC27-E235E9BBA50E}"/>
                </a:ext>
              </a:extLst>
            </xdr:cNvPr>
            <xdr:cNvSpPr txBox="1"/>
          </xdr:nvSpPr>
          <xdr:spPr>
            <a:xfrm>
              <a:off x="5588000" y="9757834"/>
              <a:ext cx="1519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lv-LV" sz="1100" i="1">
                            <a:solidFill>
                              <a:srgbClr val="836967"/>
                            </a:solidFill>
                            <a:latin typeface="Cambria Math" panose="02040503050406030204" pitchFamily="18" charset="0"/>
                          </a:rPr>
                        </m:ctrlPr>
                      </m:accPr>
                      <m:e>
                        <m:sSub>
                          <m:sSubPr>
                            <m:ctrlPr>
                              <a:rPr lang="lv-LV" sz="1100" i="1">
                                <a:solidFill>
                                  <a:srgbClr val="836967"/>
                                </a:solidFill>
                                <a:latin typeface="Cambria Math" panose="02040503050406030204" pitchFamily="18" charset="0"/>
                              </a:rPr>
                            </m:ctrlPr>
                          </m:sSubPr>
                          <m:e>
                            <m:r>
                              <a:rPr lang="lv-LV" sz="1100" i="1">
                                <a:latin typeface="Cambria Math" panose="02040503050406030204" pitchFamily="18" charset="0"/>
                              </a:rPr>
                              <m:t>𝑦</m:t>
                            </m:r>
                          </m:e>
                          <m:sub>
                            <m:r>
                              <a:rPr lang="lv-LV" sz="1100" i="1">
                                <a:latin typeface="Cambria Math" panose="02040503050406030204" pitchFamily="18" charset="0"/>
                              </a:rPr>
                              <m:t>𝑖</m:t>
                            </m:r>
                          </m:sub>
                        </m:sSub>
                      </m:e>
                    </m:acc>
                  </m:oMath>
                </m:oMathPara>
              </a14:m>
              <a:endParaRPr lang="lv-LV" sz="1100"/>
            </a:p>
          </xdr:txBody>
        </xdr:sp>
      </mc:Choice>
      <mc:Fallback xmlns="">
        <xdr:sp macro="" textlink="">
          <xdr:nvSpPr>
            <xdr:cNvPr id="11" name="TextBox 10">
              <a:extLst>
                <a:ext uri="{FF2B5EF4-FFF2-40B4-BE49-F238E27FC236}">
                  <a16:creationId xmlns:a16="http://schemas.microsoft.com/office/drawing/2014/main" id="{FC4303D0-A41B-854B-AC27-E235E9BBA50E}"/>
                </a:ext>
              </a:extLst>
            </xdr:cNvPr>
            <xdr:cNvSpPr txBox="1"/>
          </xdr:nvSpPr>
          <xdr:spPr>
            <a:xfrm>
              <a:off x="5588000" y="9757834"/>
              <a:ext cx="1519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lv-LV" sz="1100" i="0">
                  <a:solidFill>
                    <a:srgbClr val="836967"/>
                  </a:solidFill>
                  <a:latin typeface="Cambria Math" panose="02040503050406030204" pitchFamily="18" charset="0"/>
                </a:rPr>
                <a:t>(</a:t>
              </a:r>
              <a:r>
                <a:rPr lang="lv-LV" sz="1100" i="0">
                  <a:latin typeface="Cambria Math" panose="02040503050406030204" pitchFamily="18" charset="0"/>
                </a:rPr>
                <a:t>𝑦</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𝑖 </a:t>
              </a:r>
              <a:r>
                <a:rPr lang="lv-LV" sz="1100" i="0">
                  <a:solidFill>
                    <a:srgbClr val="836967"/>
                  </a:solidFill>
                  <a:latin typeface="Cambria Math" panose="02040503050406030204" pitchFamily="18" charset="0"/>
                </a:rPr>
                <a:t>) ̃</a:t>
              </a:r>
              <a:endParaRPr lang="lv-LV" sz="1100"/>
            </a:p>
          </xdr:txBody>
        </xdr:sp>
      </mc:Fallback>
    </mc:AlternateContent>
    <xdr:clientData/>
  </xdr:oneCellAnchor>
  <xdr:oneCellAnchor>
    <xdr:from>
      <xdr:col>6</xdr:col>
      <xdr:colOff>148167</xdr:colOff>
      <xdr:row>59</xdr:row>
      <xdr:rowOff>169333</xdr:rowOff>
    </xdr:from>
    <xdr:ext cx="538802" cy="182935"/>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C2DB2B0D-CE04-FA49-84A9-E83F606160EE}"/>
                </a:ext>
              </a:extLst>
            </xdr:cNvPr>
            <xdr:cNvSpPr txBox="1"/>
          </xdr:nvSpPr>
          <xdr:spPr>
            <a:xfrm>
              <a:off x="6307667" y="9757833"/>
              <a:ext cx="538802" cy="182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lv-LV" sz="1100" i="1">
                            <a:solidFill>
                              <a:srgbClr val="836967"/>
                            </a:solidFill>
                            <a:latin typeface="Cambria Math" panose="02040503050406030204" pitchFamily="18" charset="0"/>
                          </a:rPr>
                        </m:ctrlPr>
                      </m:accPr>
                      <m:e>
                        <m:sSub>
                          <m:sSubPr>
                            <m:ctrlPr>
                              <a:rPr lang="lv-LV" sz="1100" i="1">
                                <a:solidFill>
                                  <a:srgbClr val="836967"/>
                                </a:solidFill>
                                <a:latin typeface="Cambria Math" panose="02040503050406030204" pitchFamily="18" charset="0"/>
                              </a:rPr>
                            </m:ctrlPr>
                          </m:sSubPr>
                          <m:e>
                            <m:r>
                              <a:rPr lang="lv-LV" sz="1100" i="1">
                                <a:latin typeface="Cambria Math" panose="02040503050406030204" pitchFamily="18" charset="0"/>
                              </a:rPr>
                              <m:t>𝑦</m:t>
                            </m:r>
                          </m:e>
                          <m:sub>
                            <m:r>
                              <a:rPr lang="lv-LV" sz="1100" i="1">
                                <a:latin typeface="Cambria Math" panose="02040503050406030204" pitchFamily="18" charset="0"/>
                              </a:rPr>
                              <m:t>𝑖</m:t>
                            </m:r>
                          </m:sub>
                        </m:sSub>
                      </m:e>
                    </m:acc>
                    <m:r>
                      <a:rPr lang="lv-LV" sz="1100" i="0">
                        <a:latin typeface="Cambria Math" panose="02040503050406030204" pitchFamily="18" charset="0"/>
                      </a:rPr>
                      <m:t>−</m:t>
                    </m:r>
                    <m:sSub>
                      <m:sSubPr>
                        <m:ctrlPr>
                          <a:rPr lang="lv-LV" sz="1100" i="1">
                            <a:solidFill>
                              <a:srgbClr val="836967"/>
                            </a:solidFill>
                            <a:latin typeface="Cambria Math" panose="02040503050406030204" pitchFamily="18" charset="0"/>
                          </a:rPr>
                        </m:ctrlPr>
                      </m:sSubPr>
                      <m:e>
                        <m:r>
                          <m:rPr>
                            <m:sty m:val="p"/>
                          </m:rPr>
                          <a:rPr lang="lv-LV" sz="1100" i="0">
                            <a:latin typeface="Cambria Math" panose="02040503050406030204" pitchFamily="18" charset="0"/>
                          </a:rPr>
                          <m:t>Δ</m:t>
                        </m:r>
                      </m:e>
                      <m:sub>
                        <m:r>
                          <a:rPr lang="lv-LV" sz="1100" i="1">
                            <a:latin typeface="Cambria Math" panose="02040503050406030204" pitchFamily="18" charset="0"/>
                          </a:rPr>
                          <m:t>𝑦𝑥</m:t>
                        </m:r>
                      </m:sub>
                    </m:sSub>
                  </m:oMath>
                </m:oMathPara>
              </a14:m>
              <a:endParaRPr lang="lv-LV" sz="1100"/>
            </a:p>
          </xdr:txBody>
        </xdr:sp>
      </mc:Choice>
      <mc:Fallback xmlns="">
        <xdr:sp macro="" textlink="">
          <xdr:nvSpPr>
            <xdr:cNvPr id="12" name="TextBox 11">
              <a:extLst>
                <a:ext uri="{FF2B5EF4-FFF2-40B4-BE49-F238E27FC236}">
                  <a16:creationId xmlns:a16="http://schemas.microsoft.com/office/drawing/2014/main" id="{C2DB2B0D-CE04-FA49-84A9-E83F606160EE}"/>
                </a:ext>
              </a:extLst>
            </xdr:cNvPr>
            <xdr:cNvSpPr txBox="1"/>
          </xdr:nvSpPr>
          <xdr:spPr>
            <a:xfrm>
              <a:off x="6307667" y="9757833"/>
              <a:ext cx="538802" cy="182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lv-LV" sz="1100" i="0">
                  <a:solidFill>
                    <a:srgbClr val="836967"/>
                  </a:solidFill>
                  <a:latin typeface="Cambria Math" panose="02040503050406030204" pitchFamily="18" charset="0"/>
                </a:rPr>
                <a:t>(</a:t>
              </a:r>
              <a:r>
                <a:rPr lang="lv-LV" sz="1100" i="0">
                  <a:latin typeface="Cambria Math" panose="02040503050406030204" pitchFamily="18" charset="0"/>
                </a:rPr>
                <a:t>𝑦</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𝑖 </a:t>
              </a:r>
              <a:r>
                <a:rPr lang="lv-LV" sz="1100" i="0">
                  <a:solidFill>
                    <a:srgbClr val="836967"/>
                  </a:solidFill>
                  <a:latin typeface="Cambria Math" panose="02040503050406030204" pitchFamily="18" charset="0"/>
                </a:rPr>
                <a:t>) ̃</a:t>
              </a:r>
              <a:r>
                <a:rPr lang="lv-LV" sz="1100" i="0">
                  <a:latin typeface="Cambria Math" panose="02040503050406030204" pitchFamily="18" charset="0"/>
                </a:rPr>
                <a:t>−Δ</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𝑦𝑥</a:t>
              </a:r>
              <a:endParaRPr lang="lv-LV" sz="1100"/>
            </a:p>
          </xdr:txBody>
        </xdr:sp>
      </mc:Fallback>
    </mc:AlternateContent>
    <xdr:clientData/>
  </xdr:oneCellAnchor>
  <xdr:oneCellAnchor>
    <xdr:from>
      <xdr:col>7</xdr:col>
      <xdr:colOff>137583</xdr:colOff>
      <xdr:row>60</xdr:row>
      <xdr:rowOff>0</xdr:rowOff>
    </xdr:from>
    <xdr:ext cx="538802" cy="182935"/>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F87BD026-BCC4-F243-BC55-F4DF3E06FB35}"/>
                </a:ext>
              </a:extLst>
            </xdr:cNvPr>
            <xdr:cNvSpPr txBox="1"/>
          </xdr:nvSpPr>
          <xdr:spPr>
            <a:xfrm>
              <a:off x="7186083" y="9779000"/>
              <a:ext cx="538802" cy="182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lv-LV" sz="1100" i="1">
                            <a:solidFill>
                              <a:srgbClr val="836967"/>
                            </a:solidFill>
                            <a:latin typeface="Cambria Math" panose="02040503050406030204" pitchFamily="18" charset="0"/>
                          </a:rPr>
                        </m:ctrlPr>
                      </m:accPr>
                      <m:e>
                        <m:sSub>
                          <m:sSubPr>
                            <m:ctrlPr>
                              <a:rPr lang="lv-LV" sz="1100" i="1">
                                <a:solidFill>
                                  <a:srgbClr val="836967"/>
                                </a:solidFill>
                                <a:latin typeface="Cambria Math" panose="02040503050406030204" pitchFamily="18" charset="0"/>
                              </a:rPr>
                            </m:ctrlPr>
                          </m:sSubPr>
                          <m:e>
                            <m:r>
                              <a:rPr lang="lv-LV" sz="1100" i="1">
                                <a:latin typeface="Cambria Math" panose="02040503050406030204" pitchFamily="18" charset="0"/>
                              </a:rPr>
                              <m:t>𝑦</m:t>
                            </m:r>
                          </m:e>
                          <m:sub>
                            <m:r>
                              <a:rPr lang="lv-LV" sz="1100" i="1">
                                <a:latin typeface="Cambria Math" panose="02040503050406030204" pitchFamily="18" charset="0"/>
                              </a:rPr>
                              <m:t>𝑖</m:t>
                            </m:r>
                          </m:sub>
                        </m:sSub>
                      </m:e>
                    </m:acc>
                    <m:r>
                      <a:rPr lang="lv-LV" sz="1100" i="0">
                        <a:latin typeface="Cambria Math" panose="02040503050406030204" pitchFamily="18" charset="0"/>
                      </a:rPr>
                      <m:t>+</m:t>
                    </m:r>
                    <m:sSub>
                      <m:sSubPr>
                        <m:ctrlPr>
                          <a:rPr lang="lv-LV" sz="1100" i="1">
                            <a:solidFill>
                              <a:srgbClr val="836967"/>
                            </a:solidFill>
                            <a:latin typeface="Cambria Math" panose="02040503050406030204" pitchFamily="18" charset="0"/>
                          </a:rPr>
                        </m:ctrlPr>
                      </m:sSubPr>
                      <m:e>
                        <m:r>
                          <m:rPr>
                            <m:sty m:val="p"/>
                          </m:rPr>
                          <a:rPr lang="lv-LV" sz="1100" i="0">
                            <a:latin typeface="Cambria Math" panose="02040503050406030204" pitchFamily="18" charset="0"/>
                          </a:rPr>
                          <m:t>Δ</m:t>
                        </m:r>
                      </m:e>
                      <m:sub>
                        <m:r>
                          <a:rPr lang="lv-LV" sz="1100" i="1">
                            <a:latin typeface="Cambria Math" panose="02040503050406030204" pitchFamily="18" charset="0"/>
                          </a:rPr>
                          <m:t>𝑦𝑥</m:t>
                        </m:r>
                      </m:sub>
                    </m:sSub>
                  </m:oMath>
                </m:oMathPara>
              </a14:m>
              <a:endParaRPr lang="lv-LV" sz="1100"/>
            </a:p>
          </xdr:txBody>
        </xdr:sp>
      </mc:Choice>
      <mc:Fallback xmlns="">
        <xdr:sp macro="" textlink="">
          <xdr:nvSpPr>
            <xdr:cNvPr id="13" name="TextBox 12">
              <a:extLst>
                <a:ext uri="{FF2B5EF4-FFF2-40B4-BE49-F238E27FC236}">
                  <a16:creationId xmlns:a16="http://schemas.microsoft.com/office/drawing/2014/main" id="{F87BD026-BCC4-F243-BC55-F4DF3E06FB35}"/>
                </a:ext>
              </a:extLst>
            </xdr:cNvPr>
            <xdr:cNvSpPr txBox="1"/>
          </xdr:nvSpPr>
          <xdr:spPr>
            <a:xfrm>
              <a:off x="7186083" y="9779000"/>
              <a:ext cx="538802" cy="182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lv-LV" sz="1100" i="0">
                  <a:solidFill>
                    <a:srgbClr val="836967"/>
                  </a:solidFill>
                  <a:latin typeface="Cambria Math" panose="02040503050406030204" pitchFamily="18" charset="0"/>
                </a:rPr>
                <a:t>(</a:t>
              </a:r>
              <a:r>
                <a:rPr lang="lv-LV" sz="1100" i="0">
                  <a:latin typeface="Cambria Math" panose="02040503050406030204" pitchFamily="18" charset="0"/>
                </a:rPr>
                <a:t>𝑦</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𝑖 </a:t>
              </a:r>
              <a:r>
                <a:rPr lang="lv-LV" sz="1100" i="0">
                  <a:solidFill>
                    <a:srgbClr val="836967"/>
                  </a:solidFill>
                  <a:latin typeface="Cambria Math" panose="02040503050406030204" pitchFamily="18" charset="0"/>
                </a:rPr>
                <a:t>) ̃</a:t>
              </a:r>
              <a:r>
                <a:rPr lang="lv-LV" sz="1100" i="0">
                  <a:latin typeface="Cambria Math" panose="02040503050406030204" pitchFamily="18" charset="0"/>
                </a:rPr>
                <a:t>+Δ</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𝑦𝑥</a:t>
              </a:r>
              <a:endParaRPr lang="lv-LV" sz="1100"/>
            </a:p>
          </xdr:txBody>
        </xdr:sp>
      </mc:Fallback>
    </mc:AlternateContent>
    <xdr:clientData/>
  </xdr:oneCellAnchor>
  <xdr:twoCellAnchor>
    <xdr:from>
      <xdr:col>0</xdr:col>
      <xdr:colOff>74083</xdr:colOff>
      <xdr:row>66</xdr:row>
      <xdr:rowOff>83609</xdr:rowOff>
    </xdr:from>
    <xdr:to>
      <xdr:col>4</xdr:col>
      <xdr:colOff>243416</xdr:colOff>
      <xdr:row>80</xdr:row>
      <xdr:rowOff>159809</xdr:rowOff>
    </xdr:to>
    <xdr:graphicFrame macro="">
      <xdr:nvGraphicFramePr>
        <xdr:cNvPr id="14" name="Chart 13">
          <a:extLst>
            <a:ext uri="{FF2B5EF4-FFF2-40B4-BE49-F238E27FC236}">
              <a16:creationId xmlns:a16="http://schemas.microsoft.com/office/drawing/2014/main" id="{66608F2E-630D-E841-BE12-B3B8B5FAC3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2</xdr:col>
      <xdr:colOff>613832</xdr:colOff>
      <xdr:row>59</xdr:row>
      <xdr:rowOff>18280</xdr:rowOff>
    </xdr:from>
    <xdr:ext cx="151965" cy="172227"/>
    <mc:AlternateContent xmlns:mc="http://schemas.openxmlformats.org/markup-compatibility/2006" xmlns:a14="http://schemas.microsoft.com/office/drawing/2010/main">
      <mc:Choice Requires="a14">
        <xdr:sp macro="" textlink="">
          <xdr:nvSpPr>
            <xdr:cNvPr id="15" name="TextBox 14">
              <a:extLst>
                <a:ext uri="{FF2B5EF4-FFF2-40B4-BE49-F238E27FC236}">
                  <a16:creationId xmlns:a16="http://schemas.microsoft.com/office/drawing/2014/main" id="{89E5A265-2AE3-9241-B049-59B37BEB0856}"/>
                </a:ext>
              </a:extLst>
            </xdr:cNvPr>
            <xdr:cNvSpPr txBox="1"/>
          </xdr:nvSpPr>
          <xdr:spPr>
            <a:xfrm>
              <a:off x="5243559" y="11679189"/>
              <a:ext cx="1519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lv-LV" sz="1100" i="1">
                            <a:solidFill>
                              <a:srgbClr val="836967"/>
                            </a:solidFill>
                            <a:latin typeface="Cambria Math" panose="02040503050406030204" pitchFamily="18" charset="0"/>
                          </a:rPr>
                        </m:ctrlPr>
                      </m:accPr>
                      <m:e>
                        <m:sSub>
                          <m:sSubPr>
                            <m:ctrlPr>
                              <a:rPr lang="lv-LV" sz="1100" i="1">
                                <a:solidFill>
                                  <a:srgbClr val="836967"/>
                                </a:solidFill>
                                <a:latin typeface="Cambria Math" panose="02040503050406030204" pitchFamily="18" charset="0"/>
                              </a:rPr>
                            </m:ctrlPr>
                          </m:sSubPr>
                          <m:e>
                            <m:r>
                              <a:rPr lang="lv-LV" sz="1100" i="1">
                                <a:latin typeface="Cambria Math" panose="02040503050406030204" pitchFamily="18" charset="0"/>
                              </a:rPr>
                              <m:t>𝑦</m:t>
                            </m:r>
                          </m:e>
                          <m:sub>
                            <m:r>
                              <a:rPr lang="lv-LV" sz="1100" i="1">
                                <a:latin typeface="Cambria Math" panose="02040503050406030204" pitchFamily="18" charset="0"/>
                              </a:rPr>
                              <m:t>𝑖</m:t>
                            </m:r>
                          </m:sub>
                        </m:sSub>
                      </m:e>
                    </m:acc>
                  </m:oMath>
                </m:oMathPara>
              </a14:m>
              <a:endParaRPr lang="lv-LV" sz="1100"/>
            </a:p>
          </xdr:txBody>
        </xdr:sp>
      </mc:Choice>
      <mc:Fallback xmlns="">
        <xdr:sp macro="" textlink="">
          <xdr:nvSpPr>
            <xdr:cNvPr id="15" name="TextBox 14">
              <a:extLst>
                <a:ext uri="{FF2B5EF4-FFF2-40B4-BE49-F238E27FC236}">
                  <a16:creationId xmlns:a16="http://schemas.microsoft.com/office/drawing/2014/main" id="{89E5A265-2AE3-9241-B049-59B37BEB0856}"/>
                </a:ext>
              </a:extLst>
            </xdr:cNvPr>
            <xdr:cNvSpPr txBox="1"/>
          </xdr:nvSpPr>
          <xdr:spPr>
            <a:xfrm>
              <a:off x="5243559" y="11679189"/>
              <a:ext cx="1519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lv-LV" sz="1100" i="0">
                  <a:solidFill>
                    <a:srgbClr val="836967"/>
                  </a:solidFill>
                  <a:latin typeface="Cambria Math" panose="02040503050406030204" pitchFamily="18" charset="0"/>
                </a:rPr>
                <a:t>(</a:t>
              </a:r>
              <a:r>
                <a:rPr lang="lv-LV" sz="1100" i="0">
                  <a:latin typeface="Cambria Math" panose="02040503050406030204" pitchFamily="18" charset="0"/>
                </a:rPr>
                <a:t>𝑦</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𝑖 </a:t>
              </a:r>
              <a:r>
                <a:rPr lang="lv-LV" sz="1100" i="0">
                  <a:solidFill>
                    <a:srgbClr val="836967"/>
                  </a:solidFill>
                  <a:latin typeface="Cambria Math" panose="02040503050406030204" pitchFamily="18" charset="0"/>
                </a:rPr>
                <a:t>) ̃</a:t>
              </a:r>
              <a:endParaRPr lang="lv-LV" sz="1100"/>
            </a:p>
          </xdr:txBody>
        </xdr:sp>
      </mc:Fallback>
    </mc:AlternateContent>
    <xdr:clientData/>
  </xdr:oneCellAnchor>
  <xdr:oneCellAnchor>
    <xdr:from>
      <xdr:col>0</xdr:col>
      <xdr:colOff>222250</xdr:colOff>
      <xdr:row>84</xdr:row>
      <xdr:rowOff>0</xdr:rowOff>
    </xdr:from>
    <xdr:ext cx="369653" cy="17222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8B6F2755-427A-8844-8E9B-78283F3E920B}"/>
                </a:ext>
              </a:extLst>
            </xdr:cNvPr>
            <xdr:cNvSpPr txBox="1"/>
          </xdr:nvSpPr>
          <xdr:spPr>
            <a:xfrm>
              <a:off x="222250" y="14541500"/>
              <a:ext cx="36965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lv-LV" sz="1100" i="1">
                            <a:solidFill>
                              <a:srgbClr val="836967"/>
                            </a:solidFill>
                            <a:latin typeface="Cambria Math" panose="02040503050406030204" pitchFamily="18" charset="0"/>
                          </a:rPr>
                        </m:ctrlPr>
                      </m:sSubPr>
                      <m:e>
                        <m:r>
                          <a:rPr lang="lv-LV" sz="1100" i="1">
                            <a:latin typeface="Cambria Math" panose="02040503050406030204" pitchFamily="18" charset="0"/>
                          </a:rPr>
                          <m:t>𝐹</m:t>
                        </m:r>
                      </m:e>
                      <m:sub>
                        <m:r>
                          <a:rPr lang="lv-LV" sz="1100" i="1">
                            <a:latin typeface="Cambria Math" panose="02040503050406030204" pitchFamily="18" charset="0"/>
                          </a:rPr>
                          <m:t>𝐹𝐴𝑘𝑇</m:t>
                        </m:r>
                      </m:sub>
                    </m:sSub>
                  </m:oMath>
                </m:oMathPara>
              </a14:m>
              <a:endParaRPr lang="lv-LV" sz="1100"/>
            </a:p>
          </xdr:txBody>
        </xdr:sp>
      </mc:Choice>
      <mc:Fallback xmlns="">
        <xdr:sp macro="" textlink="">
          <xdr:nvSpPr>
            <xdr:cNvPr id="16" name="TextBox 15">
              <a:extLst>
                <a:ext uri="{FF2B5EF4-FFF2-40B4-BE49-F238E27FC236}">
                  <a16:creationId xmlns:a16="http://schemas.microsoft.com/office/drawing/2014/main" id="{8B6F2755-427A-8844-8E9B-78283F3E920B}"/>
                </a:ext>
              </a:extLst>
            </xdr:cNvPr>
            <xdr:cNvSpPr txBox="1"/>
          </xdr:nvSpPr>
          <xdr:spPr>
            <a:xfrm>
              <a:off x="222250" y="14541500"/>
              <a:ext cx="36965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lv-LV" sz="1100" i="0">
                  <a:latin typeface="Cambria Math" panose="02040503050406030204" pitchFamily="18" charset="0"/>
                </a:rPr>
                <a:t>𝐹</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𝐹𝐴𝑘𝑇</a:t>
              </a:r>
              <a:endParaRPr lang="lv-LV" sz="1100"/>
            </a:p>
          </xdr:txBody>
        </xdr:sp>
      </mc:Fallback>
    </mc:AlternateContent>
    <xdr:clientData/>
  </xdr:oneCellAnchor>
  <xdr:oneCellAnchor>
    <xdr:from>
      <xdr:col>0</xdr:col>
      <xdr:colOff>179917</xdr:colOff>
      <xdr:row>84</xdr:row>
      <xdr:rowOff>179917</xdr:rowOff>
    </xdr:from>
    <xdr:ext cx="390525"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BA05F6A-83F3-2A44-9F21-809BC3542735}"/>
                </a:ext>
              </a:extLst>
            </xdr:cNvPr>
            <xdr:cNvSpPr txBox="1"/>
          </xdr:nvSpPr>
          <xdr:spPr>
            <a:xfrm>
              <a:off x="179917" y="14721417"/>
              <a:ext cx="3905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lv-LV" sz="1100" i="1">
                            <a:solidFill>
                              <a:srgbClr val="836967"/>
                            </a:solidFill>
                            <a:latin typeface="Cambria Math" panose="02040503050406030204" pitchFamily="18" charset="0"/>
                          </a:rPr>
                        </m:ctrlPr>
                      </m:sSubPr>
                      <m:e>
                        <m:r>
                          <a:rPr lang="lv-LV" sz="1100" i="1">
                            <a:latin typeface="Cambria Math" panose="02040503050406030204" pitchFamily="18" charset="0"/>
                          </a:rPr>
                          <m:t>𝐹</m:t>
                        </m:r>
                      </m:e>
                      <m:sub>
                        <m:r>
                          <a:rPr lang="lv-LV" sz="1100" i="1">
                            <a:latin typeface="Cambria Math" panose="02040503050406030204" pitchFamily="18" charset="0"/>
                          </a:rPr>
                          <m:t>𝑘𝑅𝑖𝑇</m:t>
                        </m:r>
                      </m:sub>
                    </m:sSub>
                  </m:oMath>
                </m:oMathPara>
              </a14:m>
              <a:endParaRPr lang="lv-LV" sz="1100"/>
            </a:p>
          </xdr:txBody>
        </xdr:sp>
      </mc:Choice>
      <mc:Fallback xmlns="">
        <xdr:sp macro="" textlink="">
          <xdr:nvSpPr>
            <xdr:cNvPr id="17" name="TextBox 16">
              <a:extLst>
                <a:ext uri="{FF2B5EF4-FFF2-40B4-BE49-F238E27FC236}">
                  <a16:creationId xmlns:a16="http://schemas.microsoft.com/office/drawing/2014/main" id="{0BA05F6A-83F3-2A44-9F21-809BC3542735}"/>
                </a:ext>
              </a:extLst>
            </xdr:cNvPr>
            <xdr:cNvSpPr txBox="1"/>
          </xdr:nvSpPr>
          <xdr:spPr>
            <a:xfrm>
              <a:off x="179917" y="14721417"/>
              <a:ext cx="3905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lv-LV" sz="1100" i="0">
                  <a:latin typeface="Cambria Math" panose="02040503050406030204" pitchFamily="18" charset="0"/>
                </a:rPr>
                <a:t>𝐹</a:t>
              </a:r>
              <a:r>
                <a:rPr lang="lv-LV" sz="1100" i="0">
                  <a:solidFill>
                    <a:srgbClr val="836967"/>
                  </a:solidFill>
                  <a:latin typeface="Cambria Math" panose="02040503050406030204" pitchFamily="18" charset="0"/>
                </a:rPr>
                <a:t>_</a:t>
              </a:r>
              <a:r>
                <a:rPr lang="lv-LV" sz="1100" i="0">
                  <a:latin typeface="Cambria Math" panose="02040503050406030204" pitchFamily="18" charset="0"/>
                </a:rPr>
                <a:t>𝑘𝑅𝑖𝑇</a:t>
              </a:r>
              <a:endParaRPr lang="lv-LV" sz="1100"/>
            </a:p>
          </xdr:txBody>
        </xdr:sp>
      </mc:Fallback>
    </mc:AlternateContent>
    <xdr:clientData/>
  </xdr:oneCellAnchor>
  <xdr:twoCellAnchor>
    <xdr:from>
      <xdr:col>16</xdr:col>
      <xdr:colOff>127000</xdr:colOff>
      <xdr:row>89</xdr:row>
      <xdr:rowOff>65809</xdr:rowOff>
    </xdr:from>
    <xdr:to>
      <xdr:col>21</xdr:col>
      <xdr:colOff>542636</xdr:colOff>
      <xdr:row>103</xdr:row>
      <xdr:rowOff>38100</xdr:rowOff>
    </xdr:to>
    <xdr:graphicFrame macro="">
      <xdr:nvGraphicFramePr>
        <xdr:cNvPr id="19" name="Chart 18">
          <a:extLst>
            <a:ext uri="{FF2B5EF4-FFF2-40B4-BE49-F238E27FC236}">
              <a16:creationId xmlns:a16="http://schemas.microsoft.com/office/drawing/2014/main" id="{83B07ECF-1060-C24E-8B85-D740303A42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173182</xdr:colOff>
      <xdr:row>104</xdr:row>
      <xdr:rowOff>77354</xdr:rowOff>
    </xdr:from>
    <xdr:to>
      <xdr:col>21</xdr:col>
      <xdr:colOff>588818</xdr:colOff>
      <xdr:row>118</xdr:row>
      <xdr:rowOff>49645</xdr:rowOff>
    </xdr:to>
    <xdr:graphicFrame macro="">
      <xdr:nvGraphicFramePr>
        <xdr:cNvPr id="20" name="Chart 19">
          <a:extLst>
            <a:ext uri="{FF2B5EF4-FFF2-40B4-BE49-F238E27FC236}">
              <a16:creationId xmlns:a16="http://schemas.microsoft.com/office/drawing/2014/main" id="{F39B2CC9-9A2F-0B4D-8A68-D594F24307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23090</xdr:colOff>
      <xdr:row>17</xdr:row>
      <xdr:rowOff>187676</xdr:rowOff>
    </xdr:from>
    <xdr:to>
      <xdr:col>9</xdr:col>
      <xdr:colOff>738908</xdr:colOff>
      <xdr:row>32</xdr:row>
      <xdr:rowOff>16675</xdr:rowOff>
    </xdr:to>
    <xdr:graphicFrame macro="">
      <xdr:nvGraphicFramePr>
        <xdr:cNvPr id="2" name="Chart 1">
          <a:extLst>
            <a:ext uri="{FF2B5EF4-FFF2-40B4-BE49-F238E27FC236}">
              <a16:creationId xmlns:a16="http://schemas.microsoft.com/office/drawing/2014/main" id="{0AC800D8-5A7A-2946-BA53-E4756F31F4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103909</xdr:colOff>
      <xdr:row>75</xdr:row>
      <xdr:rowOff>31172</xdr:rowOff>
    </xdr:from>
    <xdr:to>
      <xdr:col>7</xdr:col>
      <xdr:colOff>819728</xdr:colOff>
      <xdr:row>91</xdr:row>
      <xdr:rowOff>46181</xdr:rowOff>
    </xdr:to>
    <xdr:graphicFrame macro="">
      <xdr:nvGraphicFramePr>
        <xdr:cNvPr id="2" name="Chart 1">
          <a:extLst>
            <a:ext uri="{FF2B5EF4-FFF2-40B4-BE49-F238E27FC236}">
              <a16:creationId xmlns:a16="http://schemas.microsoft.com/office/drawing/2014/main" id="{F9018F49-DB9E-B647-9A11-B0409B3054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3</xdr:row>
      <xdr:rowOff>38100</xdr:rowOff>
    </xdr:from>
    <xdr:to>
      <xdr:col>1</xdr:col>
      <xdr:colOff>787400</xdr:colOff>
      <xdr:row>5</xdr:row>
      <xdr:rowOff>78593</xdr:rowOff>
    </xdr:to>
    <xdr:pic>
      <xdr:nvPicPr>
        <xdr:cNvPr id="2" name="Picture 1">
          <a:extLst>
            <a:ext uri="{FF2B5EF4-FFF2-40B4-BE49-F238E27FC236}">
              <a16:creationId xmlns:a16="http://schemas.microsoft.com/office/drawing/2014/main" id="{62A2B1EE-4153-5A43-874D-DC970E576029}"/>
            </a:ext>
          </a:extLst>
        </xdr:cNvPr>
        <xdr:cNvPicPr>
          <a:picLocks noChangeAspect="1"/>
        </xdr:cNvPicPr>
      </xdr:nvPicPr>
      <xdr:blipFill>
        <a:blip xmlns:r="http://schemas.openxmlformats.org/officeDocument/2006/relationships" r:embed="rId1"/>
        <a:stretch>
          <a:fillRect/>
        </a:stretch>
      </xdr:blipFill>
      <xdr:spPr>
        <a:xfrm>
          <a:off x="114300" y="749300"/>
          <a:ext cx="2908300" cy="421493"/>
        </a:xfrm>
        <a:prstGeom prst="rect">
          <a:avLst/>
        </a:prstGeom>
        <a:ln w="76200">
          <a:solidFill>
            <a:schemeClr val="tx1"/>
          </a:solidFill>
        </a:ln>
      </xdr:spPr>
    </xdr:pic>
    <xdr:clientData/>
  </xdr:twoCellAnchor>
  <xdr:twoCellAnchor>
    <xdr:from>
      <xdr:col>0</xdr:col>
      <xdr:colOff>82550</xdr:colOff>
      <xdr:row>9</xdr:row>
      <xdr:rowOff>107950</xdr:rowOff>
    </xdr:from>
    <xdr:to>
      <xdr:col>5</xdr:col>
      <xdr:colOff>800100</xdr:colOff>
      <xdr:row>25</xdr:row>
      <xdr:rowOff>63500</xdr:rowOff>
    </xdr:to>
    <xdr:graphicFrame macro="">
      <xdr:nvGraphicFramePr>
        <xdr:cNvPr id="3" name="Chart 2">
          <a:extLst>
            <a:ext uri="{FF2B5EF4-FFF2-40B4-BE49-F238E27FC236}">
              <a16:creationId xmlns:a16="http://schemas.microsoft.com/office/drawing/2014/main" id="{81C98A97-D4D3-5144-81F5-09851B90B0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50800</xdr:colOff>
      <xdr:row>40</xdr:row>
      <xdr:rowOff>19050</xdr:rowOff>
    </xdr:from>
    <xdr:to>
      <xdr:col>6</xdr:col>
      <xdr:colOff>723900</xdr:colOff>
      <xdr:row>54</xdr:row>
      <xdr:rowOff>177800</xdr:rowOff>
    </xdr:to>
    <xdr:graphicFrame macro="">
      <xdr:nvGraphicFramePr>
        <xdr:cNvPr id="4" name="Chart 3">
          <a:extLst>
            <a:ext uri="{FF2B5EF4-FFF2-40B4-BE49-F238E27FC236}">
              <a16:creationId xmlns:a16="http://schemas.microsoft.com/office/drawing/2014/main" id="{EF06F307-BF7E-D149-9F53-55B43AAAD4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63500</xdr:colOff>
      <xdr:row>71</xdr:row>
      <xdr:rowOff>133350</xdr:rowOff>
    </xdr:from>
    <xdr:to>
      <xdr:col>8</xdr:col>
      <xdr:colOff>431800</xdr:colOff>
      <xdr:row>95</xdr:row>
      <xdr:rowOff>139700</xdr:rowOff>
    </xdr:to>
    <xdr:graphicFrame macro="">
      <xdr:nvGraphicFramePr>
        <xdr:cNvPr id="6" name="Chart 5">
          <a:extLst>
            <a:ext uri="{FF2B5EF4-FFF2-40B4-BE49-F238E27FC236}">
              <a16:creationId xmlns:a16="http://schemas.microsoft.com/office/drawing/2014/main" id="{ADE0F04A-8F68-6948-AF3F-D579041FD6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8BF4F-C3BF-47A3-AF06-AAA30A48355A}">
  <dimension ref="A1:H58"/>
  <sheetViews>
    <sheetView zoomScale="95" zoomScaleNormal="95" workbookViewId="0">
      <selection activeCell="B16" sqref="B16"/>
    </sheetView>
  </sheetViews>
  <sheetFormatPr baseColWidth="10" defaultColWidth="8.83203125" defaultRowHeight="15"/>
  <cols>
    <col min="1" max="1" width="57.1640625" style="17" customWidth="1"/>
    <col min="2" max="2" width="14.6640625" style="17" customWidth="1"/>
    <col min="3" max="3" width="13.33203125" style="39" customWidth="1"/>
    <col min="4" max="4" width="13" customWidth="1"/>
  </cols>
  <sheetData>
    <row r="1" spans="1:8">
      <c r="A1" s="46" t="s">
        <v>83</v>
      </c>
      <c r="B1" s="37">
        <v>2017</v>
      </c>
      <c r="C1" s="37">
        <v>2018</v>
      </c>
      <c r="D1" s="37">
        <v>2019</v>
      </c>
    </row>
    <row r="2" spans="1:8">
      <c r="A2" s="248" t="s">
        <v>46</v>
      </c>
      <c r="B2" s="249"/>
      <c r="C2" s="249"/>
      <c r="D2" s="250"/>
    </row>
    <row r="3" spans="1:8">
      <c r="A3" s="245" t="s">
        <v>52</v>
      </c>
      <c r="B3" s="246"/>
      <c r="C3" s="246"/>
      <c r="D3" s="247"/>
    </row>
    <row r="4" spans="1:8">
      <c r="A4" s="57" t="s">
        <v>51</v>
      </c>
      <c r="B4" s="41"/>
      <c r="C4" s="41" t="s">
        <v>12</v>
      </c>
      <c r="D4" s="58">
        <v>96471</v>
      </c>
    </row>
    <row r="5" spans="1:8" ht="13.5" customHeight="1">
      <c r="A5" s="59" t="s">
        <v>53</v>
      </c>
      <c r="B5" s="42">
        <v>133361</v>
      </c>
      <c r="C5" s="42">
        <v>380227</v>
      </c>
      <c r="D5" s="60">
        <v>500154</v>
      </c>
    </row>
    <row r="6" spans="1:8" ht="16">
      <c r="A6" s="61" t="s">
        <v>54</v>
      </c>
      <c r="B6" s="43">
        <v>7899</v>
      </c>
      <c r="C6" s="43">
        <v>2325</v>
      </c>
      <c r="D6" s="62">
        <v>85075</v>
      </c>
    </row>
    <row r="7" spans="1:8">
      <c r="A7" s="63" t="s">
        <v>55</v>
      </c>
      <c r="B7" s="44">
        <v>141260</v>
      </c>
      <c r="C7" s="44">
        <v>382552</v>
      </c>
      <c r="D7" s="64">
        <v>681700</v>
      </c>
      <c r="E7" s="3"/>
      <c r="F7" s="3"/>
      <c r="G7" s="3"/>
      <c r="H7" s="3"/>
    </row>
    <row r="8" spans="1:8">
      <c r="A8" s="245" t="s">
        <v>56</v>
      </c>
      <c r="B8" s="246"/>
      <c r="C8" s="246"/>
      <c r="D8" s="247"/>
    </row>
    <row r="9" spans="1:8">
      <c r="A9" s="57" t="s">
        <v>57</v>
      </c>
      <c r="B9" s="41">
        <v>133237</v>
      </c>
      <c r="C9" s="41">
        <v>213722</v>
      </c>
      <c r="D9" s="41">
        <v>213722</v>
      </c>
    </row>
    <row r="10" spans="1:8">
      <c r="A10" s="57" t="s">
        <v>58</v>
      </c>
      <c r="B10" s="41">
        <v>476443</v>
      </c>
      <c r="C10" s="41">
        <v>448535</v>
      </c>
      <c r="D10" s="58">
        <v>447318</v>
      </c>
    </row>
    <row r="11" spans="1:8">
      <c r="A11" s="57" t="s">
        <v>59</v>
      </c>
      <c r="B11" s="41">
        <v>751348</v>
      </c>
      <c r="C11" s="41">
        <v>860730</v>
      </c>
      <c r="D11" s="58">
        <v>1089745</v>
      </c>
    </row>
    <row r="12" spans="1:8">
      <c r="A12" s="57" t="s">
        <v>60</v>
      </c>
      <c r="B12" s="41">
        <v>268060</v>
      </c>
      <c r="C12" s="41">
        <v>288209</v>
      </c>
      <c r="D12" s="58">
        <v>437878</v>
      </c>
    </row>
    <row r="13" spans="1:8">
      <c r="A13" s="57" t="s">
        <v>61</v>
      </c>
      <c r="B13" s="41">
        <v>14874</v>
      </c>
      <c r="C13" s="41">
        <v>243178</v>
      </c>
      <c r="D13" s="58">
        <v>20700</v>
      </c>
    </row>
    <row r="14" spans="1:8">
      <c r="A14" s="57" t="s">
        <v>62</v>
      </c>
      <c r="B14" s="41">
        <v>14065</v>
      </c>
      <c r="C14" s="41">
        <v>1434</v>
      </c>
      <c r="D14" s="58">
        <v>26468</v>
      </c>
    </row>
    <row r="15" spans="1:8" ht="15" customHeight="1">
      <c r="A15" s="63" t="s">
        <v>63</v>
      </c>
      <c r="B15" s="40">
        <f>SUM(B9:B14)</f>
        <v>1658027</v>
      </c>
      <c r="C15" s="40">
        <f t="shared" ref="C15:D15" si="0">SUM(C9:C14)</f>
        <v>2055808</v>
      </c>
      <c r="D15" s="40">
        <f t="shared" si="0"/>
        <v>2235831</v>
      </c>
    </row>
    <row r="16" spans="1:8">
      <c r="A16" s="63" t="s">
        <v>64</v>
      </c>
      <c r="B16" s="40">
        <v>1658027</v>
      </c>
      <c r="C16" s="40"/>
      <c r="D16" s="64"/>
    </row>
    <row r="17" spans="1:4">
      <c r="A17" s="57" t="s">
        <v>65</v>
      </c>
      <c r="B17" s="41">
        <v>40000</v>
      </c>
      <c r="C17" s="41">
        <v>42491</v>
      </c>
      <c r="D17" s="58">
        <v>40000</v>
      </c>
    </row>
    <row r="18" spans="1:4">
      <c r="A18" s="57" t="s">
        <v>66</v>
      </c>
      <c r="B18" s="41">
        <v>826</v>
      </c>
      <c r="C18" s="41">
        <v>826</v>
      </c>
      <c r="D18" s="58">
        <v>826</v>
      </c>
    </row>
    <row r="19" spans="1:4">
      <c r="A19" s="63" t="s">
        <v>67</v>
      </c>
      <c r="B19" s="40">
        <v>40826</v>
      </c>
      <c r="C19" s="40">
        <v>43317</v>
      </c>
      <c r="D19" s="64">
        <v>40826</v>
      </c>
    </row>
    <row r="20" spans="1:4" ht="15" customHeight="1">
      <c r="A20" s="63" t="s">
        <v>47</v>
      </c>
      <c r="B20" s="40">
        <v>1840113</v>
      </c>
      <c r="C20" s="40">
        <v>2481677</v>
      </c>
      <c r="D20" s="95">
        <v>2958357</v>
      </c>
    </row>
    <row r="21" spans="1:4">
      <c r="A21" s="251" t="s">
        <v>48</v>
      </c>
      <c r="B21" s="252"/>
      <c r="C21" s="252"/>
      <c r="D21" s="253"/>
    </row>
    <row r="22" spans="1:4">
      <c r="A22" s="245" t="s">
        <v>68</v>
      </c>
      <c r="B22" s="246"/>
      <c r="C22" s="246"/>
      <c r="D22" s="247"/>
    </row>
    <row r="23" spans="1:4">
      <c r="A23" s="57" t="s">
        <v>69</v>
      </c>
      <c r="B23" s="41">
        <v>859164</v>
      </c>
      <c r="C23" s="41">
        <v>1039634</v>
      </c>
      <c r="D23" s="58">
        <v>1532696</v>
      </c>
    </row>
    <row r="24" spans="1:4">
      <c r="A24" s="57" t="s">
        <v>70</v>
      </c>
      <c r="B24" s="41">
        <v>674319</v>
      </c>
      <c r="C24" s="41">
        <v>875982</v>
      </c>
      <c r="D24" s="58">
        <v>1130398</v>
      </c>
    </row>
    <row r="25" spans="1:4">
      <c r="A25" s="57" t="s">
        <v>71</v>
      </c>
      <c r="B25" s="41">
        <v>96392</v>
      </c>
      <c r="C25" s="41">
        <v>174519</v>
      </c>
      <c r="D25" s="58">
        <v>217445</v>
      </c>
    </row>
    <row r="26" spans="1:4" s="1" customFormat="1">
      <c r="A26" s="63" t="s">
        <v>72</v>
      </c>
      <c r="B26" s="40">
        <v>1629875</v>
      </c>
      <c r="C26" s="40">
        <v>2090135</v>
      </c>
      <c r="D26" s="64">
        <v>2880539</v>
      </c>
    </row>
    <row r="27" spans="1:4">
      <c r="A27" s="245" t="s">
        <v>73</v>
      </c>
      <c r="B27" s="246"/>
      <c r="C27" s="246"/>
      <c r="D27" s="247"/>
    </row>
    <row r="28" spans="1:4">
      <c r="A28" s="57" t="s">
        <v>74</v>
      </c>
      <c r="B28" s="41">
        <v>923709</v>
      </c>
      <c r="C28" s="41">
        <v>986539</v>
      </c>
      <c r="D28" s="58">
        <v>1385726</v>
      </c>
    </row>
    <row r="29" spans="1:4">
      <c r="A29" s="57" t="s">
        <v>75</v>
      </c>
      <c r="B29" s="41">
        <v>85823</v>
      </c>
      <c r="C29" s="41">
        <v>107176</v>
      </c>
      <c r="D29" s="58">
        <v>331853</v>
      </c>
    </row>
    <row r="30" spans="1:4">
      <c r="A30" s="57" t="s">
        <v>76</v>
      </c>
      <c r="B30" s="41">
        <v>34210</v>
      </c>
      <c r="C30" s="41">
        <v>6034</v>
      </c>
      <c r="D30" s="58">
        <v>44011</v>
      </c>
    </row>
    <row r="31" spans="1:4">
      <c r="A31" s="57" t="s">
        <v>77</v>
      </c>
      <c r="B31" s="41">
        <v>18293</v>
      </c>
      <c r="C31" s="41">
        <v>48037</v>
      </c>
      <c r="D31" s="58">
        <v>60725</v>
      </c>
    </row>
    <row r="32" spans="1:4" ht="15" customHeight="1">
      <c r="A32" s="63" t="s">
        <v>78</v>
      </c>
      <c r="B32" s="40">
        <v>1062035</v>
      </c>
      <c r="C32" s="40">
        <v>1147786</v>
      </c>
      <c r="D32" s="64">
        <v>1822315</v>
      </c>
    </row>
    <row r="33" spans="1:4">
      <c r="A33" s="63" t="s">
        <v>79</v>
      </c>
      <c r="B33" s="40">
        <v>500000</v>
      </c>
      <c r="C33" s="40">
        <v>700000</v>
      </c>
      <c r="D33" s="64">
        <v>950000</v>
      </c>
    </row>
    <row r="34" spans="1:4">
      <c r="A34" s="63" t="s">
        <v>80</v>
      </c>
      <c r="B34" s="40">
        <v>4086345</v>
      </c>
      <c r="C34" s="40">
        <v>3425756</v>
      </c>
      <c r="D34" s="64">
        <v>2329384</v>
      </c>
    </row>
    <row r="35" spans="1:4">
      <c r="A35" s="63" t="s">
        <v>49</v>
      </c>
      <c r="B35" s="40">
        <v>7278255</v>
      </c>
      <c r="C35" s="40" t="s">
        <v>82</v>
      </c>
      <c r="D35" s="64">
        <v>7982238</v>
      </c>
    </row>
    <row r="36" spans="1:4">
      <c r="A36" s="63" t="s">
        <v>50</v>
      </c>
      <c r="B36" s="40">
        <v>9118368</v>
      </c>
      <c r="C36" s="40">
        <v>9845354</v>
      </c>
      <c r="D36" s="64">
        <v>10940595</v>
      </c>
    </row>
    <row r="40" spans="1:4" s="1" customFormat="1">
      <c r="A40" s="112" t="s">
        <v>137</v>
      </c>
      <c r="B40" s="113">
        <v>2017</v>
      </c>
      <c r="C40" s="114">
        <v>2018</v>
      </c>
      <c r="D40" s="115">
        <v>2019</v>
      </c>
    </row>
    <row r="41" spans="1:4" s="1" customFormat="1">
      <c r="A41" s="116" t="s">
        <v>127</v>
      </c>
      <c r="B41" s="117"/>
      <c r="C41" s="67"/>
      <c r="D41" s="118"/>
    </row>
    <row r="42" spans="1:4">
      <c r="A42" s="119" t="s">
        <v>128</v>
      </c>
      <c r="B42" s="79">
        <f>B34</f>
        <v>4086345</v>
      </c>
      <c r="C42" s="79">
        <f t="shared" ref="C42:D42" si="1">C34</f>
        <v>3425756</v>
      </c>
      <c r="D42" s="79">
        <f t="shared" si="1"/>
        <v>2329384</v>
      </c>
    </row>
    <row r="43" spans="1:4">
      <c r="A43" s="119" t="s">
        <v>129</v>
      </c>
      <c r="B43" s="79">
        <f>B32</f>
        <v>1062035</v>
      </c>
      <c r="C43" s="79">
        <f t="shared" ref="C43:D43" si="2">C32</f>
        <v>1147786</v>
      </c>
      <c r="D43" s="80">
        <f t="shared" si="2"/>
        <v>1822315</v>
      </c>
    </row>
    <row r="44" spans="1:4">
      <c r="A44" s="119" t="s">
        <v>130</v>
      </c>
      <c r="B44" s="79">
        <f>B26</f>
        <v>1629875</v>
      </c>
      <c r="C44" s="79">
        <f t="shared" ref="C44:D44" si="3">C26</f>
        <v>2090135</v>
      </c>
      <c r="D44" s="80">
        <f t="shared" si="3"/>
        <v>2880539</v>
      </c>
    </row>
    <row r="45" spans="1:4">
      <c r="A45" s="119" t="s">
        <v>46</v>
      </c>
      <c r="B45" s="79">
        <f>B20</f>
        <v>1840113</v>
      </c>
      <c r="C45" s="79">
        <f t="shared" ref="C45:D45" si="4">C20</f>
        <v>2481677</v>
      </c>
      <c r="D45" s="80">
        <f t="shared" si="4"/>
        <v>2958357</v>
      </c>
    </row>
    <row r="46" spans="1:4">
      <c r="A46" s="119" t="s">
        <v>79</v>
      </c>
      <c r="B46" s="79">
        <v>500000</v>
      </c>
      <c r="C46" s="79">
        <v>700000</v>
      </c>
      <c r="D46" s="80">
        <v>950000</v>
      </c>
    </row>
    <row r="47" spans="1:4" s="1" customFormat="1">
      <c r="A47" s="125" t="s">
        <v>131</v>
      </c>
      <c r="B47" s="126">
        <f>SUM(B42:B46)</f>
        <v>9118368</v>
      </c>
      <c r="C47" s="126">
        <f t="shared" ref="C47:D47" si="5">SUM(C42:C46)</f>
        <v>9845354</v>
      </c>
      <c r="D47" s="126">
        <f t="shared" si="5"/>
        <v>10940595</v>
      </c>
    </row>
    <row r="48" spans="1:4" s="1" customFormat="1">
      <c r="A48" s="116" t="s">
        <v>132</v>
      </c>
      <c r="B48" s="120"/>
      <c r="C48" s="67"/>
      <c r="D48" s="121"/>
    </row>
    <row r="49" spans="1:4">
      <c r="A49" s="119" t="s">
        <v>133</v>
      </c>
      <c r="B49" s="79">
        <f>Pasīvi!B19</f>
        <v>542648</v>
      </c>
      <c r="C49" s="79">
        <f>Pasīvi!C19</f>
        <v>357641</v>
      </c>
      <c r="D49" s="80">
        <f>Pasīvi!D19</f>
        <v>474707</v>
      </c>
    </row>
    <row r="50" spans="1:4">
      <c r="A50" s="119" t="s">
        <v>134</v>
      </c>
      <c r="B50" s="79">
        <f>Pasīvi!B11+Pasīvi!B17</f>
        <v>379528</v>
      </c>
      <c r="C50" s="79">
        <f>Pasīvi!C11+Pasīvi!C17</f>
        <v>244383</v>
      </c>
      <c r="D50" s="80">
        <f>Pasīvi!D11+Pasīvi!D17</f>
        <v>109238</v>
      </c>
    </row>
    <row r="51" spans="1:4">
      <c r="A51" s="119" t="s">
        <v>163</v>
      </c>
      <c r="B51" s="79">
        <f>Pasīvi!B25-Aktīvi!B49-Aktīvi!B50</f>
        <v>943592</v>
      </c>
      <c r="C51" s="79">
        <f>Pasīvi!C25-Aktīvi!C49-Aktīvi!C50</f>
        <v>811223</v>
      </c>
      <c r="D51" s="80">
        <f>Pasīvi!D25-Aktīvi!D49-Aktīvi!D50</f>
        <v>794054</v>
      </c>
    </row>
    <row r="52" spans="1:4" s="1" customFormat="1">
      <c r="A52" s="72" t="s">
        <v>135</v>
      </c>
      <c r="B52" s="81">
        <f>SUM(B49:B51)</f>
        <v>1865768</v>
      </c>
      <c r="C52" s="81">
        <f t="shared" ref="C52:D52" si="6">SUM(C49:C51)</f>
        <v>1413247</v>
      </c>
      <c r="D52" s="82">
        <f t="shared" si="6"/>
        <v>1377999</v>
      </c>
    </row>
    <row r="53" spans="1:4" s="1" customFormat="1">
      <c r="A53" s="116" t="s">
        <v>81</v>
      </c>
      <c r="B53" s="81"/>
      <c r="C53" s="81"/>
      <c r="D53" s="82"/>
    </row>
    <row r="54" spans="1:4">
      <c r="A54" s="122" t="s">
        <v>138</v>
      </c>
      <c r="B54" s="123">
        <v>4397978</v>
      </c>
      <c r="C54" s="68">
        <v>4397978</v>
      </c>
      <c r="D54" s="124">
        <v>4397978</v>
      </c>
    </row>
    <row r="55" spans="1:4">
      <c r="A55" s="119" t="s">
        <v>139</v>
      </c>
      <c r="B55" s="79">
        <v>2854622</v>
      </c>
      <c r="C55" s="79">
        <v>4034129</v>
      </c>
      <c r="D55" s="80">
        <v>5164618</v>
      </c>
    </row>
    <row r="56" spans="1:4" s="1" customFormat="1">
      <c r="A56" s="116" t="s">
        <v>81</v>
      </c>
      <c r="B56" s="81">
        <v>7252600</v>
      </c>
      <c r="C56" s="81">
        <v>8432107</v>
      </c>
      <c r="D56" s="82">
        <v>9562596</v>
      </c>
    </row>
    <row r="57" spans="1:4" s="1" customFormat="1">
      <c r="A57" s="127" t="s">
        <v>136</v>
      </c>
      <c r="B57" s="128">
        <f>B52+B56</f>
        <v>9118368</v>
      </c>
      <c r="C57" s="128">
        <f t="shared" ref="C57:D57" si="7">C52+C56</f>
        <v>9845354</v>
      </c>
      <c r="D57" s="129">
        <f t="shared" si="7"/>
        <v>10940595</v>
      </c>
    </row>
    <row r="58" spans="1:4">
      <c r="A58" s="66"/>
      <c r="B58" s="70"/>
      <c r="C58" s="70"/>
      <c r="D58" s="70"/>
    </row>
  </sheetData>
  <mergeCells count="6">
    <mergeCell ref="A27:D27"/>
    <mergeCell ref="A2:D2"/>
    <mergeCell ref="A3:D3"/>
    <mergeCell ref="A8:D8"/>
    <mergeCell ref="A21:D21"/>
    <mergeCell ref="A22:D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2038-A2B1-49A7-AA2D-0372EF141300}">
  <dimension ref="A1:K26"/>
  <sheetViews>
    <sheetView workbookViewId="0">
      <selection activeCell="D11" sqref="B11:D11"/>
    </sheetView>
  </sheetViews>
  <sheetFormatPr baseColWidth="10" defaultColWidth="8.83203125" defaultRowHeight="15"/>
  <cols>
    <col min="1" max="1" width="36.5" customWidth="1"/>
    <col min="2" max="2" width="11.5" style="38" customWidth="1"/>
    <col min="3" max="3" width="11.33203125" style="38" customWidth="1"/>
    <col min="4" max="4" width="12.83203125" style="9" customWidth="1"/>
    <col min="8" max="8" width="20" bestFit="1" customWidth="1"/>
    <col min="11" max="11" width="9.83203125" bestFit="1" customWidth="1"/>
  </cols>
  <sheetData>
    <row r="1" spans="1:11">
      <c r="A1" s="46" t="s">
        <v>103</v>
      </c>
      <c r="B1" s="47">
        <v>2017</v>
      </c>
      <c r="C1" s="47">
        <v>2018</v>
      </c>
      <c r="D1" s="37">
        <v>2019</v>
      </c>
    </row>
    <row r="2" spans="1:11">
      <c r="A2" s="50" t="s">
        <v>81</v>
      </c>
      <c r="B2" s="45"/>
      <c r="C2" s="48"/>
      <c r="D2" s="51"/>
    </row>
    <row r="3" spans="1:11">
      <c r="A3" s="52" t="s">
        <v>84</v>
      </c>
      <c r="B3" s="15">
        <v>374524</v>
      </c>
      <c r="C3" s="16">
        <v>374524</v>
      </c>
      <c r="D3" s="53">
        <v>374524</v>
      </c>
    </row>
    <row r="4" spans="1:11">
      <c r="A4" s="52" t="s">
        <v>85</v>
      </c>
      <c r="B4" s="48">
        <v>4023454</v>
      </c>
      <c r="C4" s="48">
        <v>4023454</v>
      </c>
      <c r="D4" s="54">
        <v>4023454</v>
      </c>
    </row>
    <row r="5" spans="1:11">
      <c r="A5" s="254" t="s">
        <v>104</v>
      </c>
      <c r="B5" s="255"/>
      <c r="C5" s="255"/>
      <c r="D5" s="256"/>
    </row>
    <row r="6" spans="1:11">
      <c r="A6" s="52" t="s">
        <v>105</v>
      </c>
      <c r="B6" s="48">
        <v>1608525</v>
      </c>
      <c r="C6" s="48">
        <v>2517550</v>
      </c>
      <c r="D6" s="54">
        <v>3584700</v>
      </c>
    </row>
    <row r="7" spans="1:11">
      <c r="A7" s="52" t="s">
        <v>86</v>
      </c>
      <c r="B7" s="48">
        <v>1246097</v>
      </c>
      <c r="C7" s="48">
        <v>1516579</v>
      </c>
      <c r="D7" s="54">
        <v>1579918</v>
      </c>
    </row>
    <row r="8" spans="1:11">
      <c r="A8" s="55" t="s">
        <v>87</v>
      </c>
      <c r="B8" s="45">
        <f>SUM(B3+B4+B6+B7)</f>
        <v>7252600</v>
      </c>
      <c r="C8" s="45">
        <f>SUM(C3+C4+C6+C7)</f>
        <v>8432107</v>
      </c>
      <c r="D8" s="56">
        <v>9562596</v>
      </c>
    </row>
    <row r="9" spans="1:11">
      <c r="A9" s="245" t="s">
        <v>88</v>
      </c>
      <c r="B9" s="246"/>
      <c r="C9" s="246"/>
      <c r="D9" s="247"/>
    </row>
    <row r="10" spans="1:11">
      <c r="A10" s="52" t="s">
        <v>89</v>
      </c>
      <c r="B10" s="48"/>
      <c r="C10" s="48"/>
      <c r="D10" s="54"/>
    </row>
    <row r="11" spans="1:11">
      <c r="A11" s="52" t="s">
        <v>90</v>
      </c>
      <c r="B11" s="48">
        <v>244383</v>
      </c>
      <c r="C11" s="48">
        <v>109238</v>
      </c>
      <c r="D11" s="54">
        <v>5952</v>
      </c>
    </row>
    <row r="12" spans="1:11">
      <c r="A12" s="52" t="s">
        <v>91</v>
      </c>
      <c r="B12" s="48">
        <v>182042</v>
      </c>
      <c r="C12" s="48">
        <v>140680</v>
      </c>
      <c r="D12" s="54">
        <v>81546</v>
      </c>
    </row>
    <row r="13" spans="1:11">
      <c r="A13" s="52" t="s">
        <v>92</v>
      </c>
      <c r="B13" s="48">
        <v>145213</v>
      </c>
      <c r="C13" s="48">
        <v>56287</v>
      </c>
      <c r="D13" s="54" t="s">
        <v>12</v>
      </c>
    </row>
    <row r="14" spans="1:11">
      <c r="A14" s="52" t="s">
        <v>106</v>
      </c>
      <c r="B14" s="48" t="s">
        <v>12</v>
      </c>
      <c r="C14" s="49" t="s">
        <v>12</v>
      </c>
      <c r="D14" s="51" t="s">
        <v>12</v>
      </c>
      <c r="H14" s="66" t="s">
        <v>132</v>
      </c>
      <c r="I14" s="66"/>
      <c r="J14" s="67"/>
      <c r="K14" s="1"/>
    </row>
    <row r="15" spans="1:11">
      <c r="A15" s="55" t="s">
        <v>93</v>
      </c>
      <c r="B15" s="45">
        <v>571638</v>
      </c>
      <c r="C15" s="45">
        <v>306205</v>
      </c>
      <c r="D15" s="56">
        <v>87498</v>
      </c>
      <c r="H15" s="17" t="s">
        <v>133</v>
      </c>
      <c r="I15" s="38">
        <f>B19</f>
        <v>542648</v>
      </c>
      <c r="J15" s="38">
        <f t="shared" ref="J15:K15" si="0">C19</f>
        <v>357641</v>
      </c>
      <c r="K15" s="38">
        <f t="shared" si="0"/>
        <v>474707</v>
      </c>
    </row>
    <row r="16" spans="1:11">
      <c r="A16" s="245" t="s">
        <v>94</v>
      </c>
      <c r="B16" s="246"/>
      <c r="C16" s="246"/>
      <c r="D16" s="247"/>
      <c r="H16" s="17" t="s">
        <v>134</v>
      </c>
      <c r="I16" s="38">
        <f>B11+B17</f>
        <v>379528</v>
      </c>
      <c r="J16" s="38">
        <f t="shared" ref="J16:K16" si="1">C11+C17</f>
        <v>244383</v>
      </c>
      <c r="K16" s="38">
        <f t="shared" si="1"/>
        <v>109238</v>
      </c>
    </row>
    <row r="17" spans="1:11">
      <c r="A17" s="52" t="s">
        <v>90</v>
      </c>
      <c r="B17" s="48">
        <v>135145</v>
      </c>
      <c r="C17" s="48">
        <v>135145</v>
      </c>
      <c r="D17" s="54">
        <v>103286</v>
      </c>
      <c r="H17" t="s">
        <v>163</v>
      </c>
      <c r="I17" s="38">
        <f>B25-I15-I16</f>
        <v>943592</v>
      </c>
      <c r="J17" s="38">
        <f t="shared" ref="J17:K17" si="2">C25-J15-J16</f>
        <v>811223</v>
      </c>
      <c r="K17" s="38">
        <f t="shared" si="2"/>
        <v>794054</v>
      </c>
    </row>
    <row r="18" spans="1:11">
      <c r="A18" s="52" t="s">
        <v>95</v>
      </c>
      <c r="B18" s="48">
        <v>77164</v>
      </c>
      <c r="C18" s="48">
        <v>23977</v>
      </c>
      <c r="D18" s="54">
        <v>50303</v>
      </c>
      <c r="H18" s="66" t="s">
        <v>135</v>
      </c>
      <c r="I18" s="70">
        <f>SUM(I15:I17)</f>
        <v>1865768</v>
      </c>
      <c r="J18" s="70">
        <f>SUM(J15:J17)</f>
        <v>1413247</v>
      </c>
      <c r="K18" s="70">
        <f>SUM(K15:K17)</f>
        <v>1377999</v>
      </c>
    </row>
    <row r="19" spans="1:11">
      <c r="A19" s="52" t="s">
        <v>96</v>
      </c>
      <c r="B19" s="48">
        <v>542648</v>
      </c>
      <c r="C19" s="48">
        <v>357641</v>
      </c>
      <c r="D19" s="54">
        <v>474707</v>
      </c>
      <c r="H19" s="66" t="s">
        <v>81</v>
      </c>
      <c r="I19" s="70"/>
      <c r="J19" s="67"/>
      <c r="K19" s="70"/>
    </row>
    <row r="20" spans="1:11">
      <c r="A20" s="52" t="s">
        <v>97</v>
      </c>
      <c r="B20" s="48">
        <v>122086</v>
      </c>
      <c r="C20" s="48">
        <v>103496</v>
      </c>
      <c r="D20" s="54">
        <v>150615</v>
      </c>
      <c r="H20" s="17" t="s">
        <v>138</v>
      </c>
      <c r="I20" s="38">
        <f>B3+B4</f>
        <v>4397978</v>
      </c>
      <c r="J20" s="38">
        <f>C3+C4</f>
        <v>4397978</v>
      </c>
      <c r="K20" s="38">
        <f>D3+D4</f>
        <v>4397978</v>
      </c>
    </row>
    <row r="21" spans="1:11">
      <c r="A21" s="52" t="s">
        <v>98</v>
      </c>
      <c r="B21" s="48">
        <v>161253</v>
      </c>
      <c r="C21" s="48">
        <v>182985</v>
      </c>
      <c r="D21" s="54">
        <v>207841</v>
      </c>
      <c r="H21" s="17" t="s">
        <v>139</v>
      </c>
      <c r="I21" s="38">
        <f>SUM(B6:B7)</f>
        <v>2854622</v>
      </c>
      <c r="J21" s="38">
        <f>SUM(C6:C7)</f>
        <v>4034129</v>
      </c>
      <c r="K21" s="38">
        <f>SUM(D6:D7)</f>
        <v>5164618</v>
      </c>
    </row>
    <row r="22" spans="1:11">
      <c r="A22" s="52" t="s">
        <v>99</v>
      </c>
      <c r="B22" s="48">
        <v>88926</v>
      </c>
      <c r="C22" s="48">
        <v>88926</v>
      </c>
      <c r="D22" s="54">
        <v>56287</v>
      </c>
      <c r="H22" s="66" t="s">
        <v>81</v>
      </c>
      <c r="I22" s="70">
        <f>SUM(I20:I21)</f>
        <v>7252600</v>
      </c>
      <c r="J22" s="70">
        <f t="shared" ref="J22:K22" si="3">SUM(J20:J21)</f>
        <v>8432107</v>
      </c>
      <c r="K22" s="70">
        <f t="shared" si="3"/>
        <v>9562596</v>
      </c>
    </row>
    <row r="23" spans="1:11">
      <c r="A23" s="52" t="s">
        <v>100</v>
      </c>
      <c r="B23" s="48">
        <v>166908</v>
      </c>
      <c r="C23" s="48">
        <v>214872</v>
      </c>
      <c r="D23" s="54">
        <v>247462</v>
      </c>
      <c r="H23" s="66" t="s">
        <v>136</v>
      </c>
      <c r="I23" s="70">
        <f>I18+I22</f>
        <v>9118368</v>
      </c>
      <c r="J23" s="70">
        <f>J18+J22</f>
        <v>9845354</v>
      </c>
      <c r="K23" s="70">
        <f>K18+K22</f>
        <v>10940595</v>
      </c>
    </row>
    <row r="24" spans="1:11">
      <c r="A24" s="55" t="s">
        <v>101</v>
      </c>
      <c r="B24" s="45">
        <v>1294130</v>
      </c>
      <c r="C24" s="45">
        <v>1107042</v>
      </c>
      <c r="D24" s="56">
        <v>1290501</v>
      </c>
    </row>
    <row r="25" spans="1:11">
      <c r="A25" s="55" t="s">
        <v>107</v>
      </c>
      <c r="B25" s="45">
        <v>1865768</v>
      </c>
      <c r="C25" s="45">
        <v>1413247</v>
      </c>
      <c r="D25" s="56">
        <v>1377999</v>
      </c>
    </row>
    <row r="26" spans="1:11">
      <c r="A26" s="55" t="s">
        <v>102</v>
      </c>
      <c r="B26" s="45">
        <v>9118368</v>
      </c>
      <c r="C26" s="45">
        <v>9845354</v>
      </c>
      <c r="D26" s="56">
        <v>10940595</v>
      </c>
    </row>
  </sheetData>
  <mergeCells count="3">
    <mergeCell ref="A5:D5"/>
    <mergeCell ref="A9:D9"/>
    <mergeCell ref="A16:D16"/>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workbookViewId="0">
      <selection activeCell="A9" sqref="A9:D9"/>
    </sheetView>
  </sheetViews>
  <sheetFormatPr baseColWidth="10" defaultColWidth="8.83203125" defaultRowHeight="15"/>
  <cols>
    <col min="1" max="1" width="45.6640625" style="2" customWidth="1"/>
    <col min="2" max="2" width="15.33203125" style="2" customWidth="1"/>
    <col min="3" max="3" width="16.5" customWidth="1"/>
    <col min="4" max="4" width="16.6640625" customWidth="1"/>
  </cols>
  <sheetData>
    <row r="1" spans="1:5" ht="22.5" customHeight="1">
      <c r="A1" s="10"/>
      <c r="B1" s="13">
        <v>2017</v>
      </c>
      <c r="C1" s="13">
        <v>2018</v>
      </c>
      <c r="D1" s="13">
        <v>2019</v>
      </c>
    </row>
    <row r="2" spans="1:5">
      <c r="A2" s="7" t="s">
        <v>0</v>
      </c>
      <c r="B2" s="7">
        <v>7401932</v>
      </c>
      <c r="C2" s="7">
        <v>9513748</v>
      </c>
      <c r="D2" s="7">
        <v>11545151</v>
      </c>
    </row>
    <row r="3" spans="1:5">
      <c r="A3" s="11" t="s">
        <v>10</v>
      </c>
      <c r="B3" s="11">
        <v>-2749547</v>
      </c>
      <c r="C3" s="11">
        <v>-3483800</v>
      </c>
      <c r="D3" s="11">
        <v>-4469341</v>
      </c>
    </row>
    <row r="4" spans="1:5" s="1" customFormat="1">
      <c r="A4" s="8" t="s">
        <v>1</v>
      </c>
      <c r="B4" s="8">
        <v>4652385</v>
      </c>
      <c r="C4" s="8">
        <v>6029948</v>
      </c>
      <c r="D4" s="8">
        <v>7075810</v>
      </c>
    </row>
    <row r="5" spans="1:5" s="1" customFormat="1">
      <c r="A5" s="11" t="s">
        <v>2</v>
      </c>
      <c r="B5" s="11">
        <v>-2323617</v>
      </c>
      <c r="C5" s="11">
        <v>-3560833</v>
      </c>
      <c r="D5" s="11">
        <v>-4492535</v>
      </c>
    </row>
    <row r="6" spans="1:5">
      <c r="A6" s="7" t="s">
        <v>3</v>
      </c>
      <c r="B6" s="7">
        <v>-1078380</v>
      </c>
      <c r="C6" s="7">
        <v>-1118661</v>
      </c>
      <c r="D6" s="7">
        <v>-1246072</v>
      </c>
    </row>
    <row r="7" spans="1:5">
      <c r="A7" s="11" t="s">
        <v>4</v>
      </c>
      <c r="B7" s="11">
        <v>185816</v>
      </c>
      <c r="C7" s="11">
        <v>175707</v>
      </c>
      <c r="D7" s="11">
        <v>233876</v>
      </c>
      <c r="E7" s="3"/>
    </row>
    <row r="8" spans="1:5">
      <c r="A8" s="7" t="s">
        <v>5</v>
      </c>
      <c r="B8" s="7">
        <v>-84563</v>
      </c>
      <c r="C8" s="7">
        <v>-73050</v>
      </c>
      <c r="D8" s="7">
        <v>-78488</v>
      </c>
    </row>
    <row r="9" spans="1:5">
      <c r="A9" s="11" t="s">
        <v>6</v>
      </c>
      <c r="B9" s="11">
        <v>4479</v>
      </c>
      <c r="C9" s="11">
        <v>64776</v>
      </c>
      <c r="D9" s="11">
        <v>105869</v>
      </c>
    </row>
    <row r="10" spans="1:5" s="1" customFormat="1">
      <c r="A10" s="7" t="s">
        <v>7</v>
      </c>
      <c r="B10" s="7">
        <v>-27438</v>
      </c>
      <c r="C10" s="7">
        <v>-22002</v>
      </c>
      <c r="D10" s="7">
        <v>-18542</v>
      </c>
    </row>
    <row r="11" spans="1:5" s="1" customFormat="1">
      <c r="A11" s="12" t="s">
        <v>8</v>
      </c>
      <c r="B11" s="12">
        <v>1328682</v>
      </c>
      <c r="C11" s="12">
        <v>1495885</v>
      </c>
      <c r="D11" s="12">
        <v>1579918</v>
      </c>
    </row>
    <row r="12" spans="1:5">
      <c r="A12" s="7" t="s">
        <v>11</v>
      </c>
      <c r="B12" s="7">
        <v>-82585</v>
      </c>
      <c r="C12" s="7">
        <v>-175</v>
      </c>
      <c r="D12" s="14" t="s">
        <v>12</v>
      </c>
    </row>
    <row r="13" spans="1:5" s="1" customFormat="1">
      <c r="A13" s="12" t="s">
        <v>9</v>
      </c>
      <c r="B13" s="12">
        <v>1246097</v>
      </c>
      <c r="C13" s="12">
        <v>1495710</v>
      </c>
      <c r="D13" s="12">
        <v>1579918</v>
      </c>
    </row>
    <row r="14" spans="1:5">
      <c r="B14" s="4"/>
    </row>
    <row r="15" spans="1:5">
      <c r="A15" s="4"/>
    </row>
    <row r="16" spans="1:5">
      <c r="A16" s="4"/>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2874-1047-4EAB-847C-C5B67F3769EC}">
  <dimension ref="A1:D36"/>
  <sheetViews>
    <sheetView showGridLines="0" zoomScaleNormal="100" workbookViewId="0">
      <selection activeCell="B5" sqref="B5"/>
    </sheetView>
  </sheetViews>
  <sheetFormatPr baseColWidth="10" defaultColWidth="8.83203125" defaultRowHeight="15"/>
  <cols>
    <col min="1" max="1" width="84" style="17" customWidth="1"/>
    <col min="2" max="2" width="16" style="9" customWidth="1"/>
    <col min="3" max="3" width="17.1640625" style="23" customWidth="1"/>
    <col min="4" max="4" width="15" style="2" customWidth="1"/>
  </cols>
  <sheetData>
    <row r="1" spans="1:4">
      <c r="A1" s="36"/>
      <c r="B1" s="37">
        <v>2017</v>
      </c>
      <c r="C1" s="37">
        <v>2018</v>
      </c>
      <c r="D1" s="37">
        <v>2019</v>
      </c>
    </row>
    <row r="2" spans="1:4">
      <c r="A2" s="246" t="s">
        <v>13</v>
      </c>
      <c r="B2" s="246"/>
      <c r="C2" s="246"/>
      <c r="D2" s="247"/>
    </row>
    <row r="3" spans="1:4">
      <c r="A3" s="18" t="s">
        <v>8</v>
      </c>
      <c r="B3" s="25">
        <v>1328682</v>
      </c>
      <c r="C3" s="25">
        <v>1516741</v>
      </c>
      <c r="D3" s="25">
        <v>1579918</v>
      </c>
    </row>
    <row r="4" spans="1:4" s="1" customFormat="1">
      <c r="A4" s="257" t="s">
        <v>14</v>
      </c>
      <c r="B4" s="257"/>
      <c r="C4" s="257"/>
      <c r="D4" s="258"/>
    </row>
    <row r="5" spans="1:4">
      <c r="A5" s="19" t="s">
        <v>15</v>
      </c>
      <c r="B5" s="25">
        <v>411517</v>
      </c>
      <c r="C5" s="25">
        <v>455583</v>
      </c>
      <c r="D5" s="25">
        <v>606558</v>
      </c>
    </row>
    <row r="6" spans="1:4">
      <c r="A6" s="19" t="s">
        <v>16</v>
      </c>
      <c r="B6" s="26">
        <v>4073</v>
      </c>
      <c r="C6" s="26">
        <v>65437</v>
      </c>
      <c r="D6" s="26">
        <v>100732</v>
      </c>
    </row>
    <row r="7" spans="1:4" ht="16">
      <c r="A7" s="19" t="s">
        <v>17</v>
      </c>
      <c r="B7" s="24" t="s">
        <v>12</v>
      </c>
      <c r="C7" s="27" t="s">
        <v>12</v>
      </c>
      <c r="D7" s="27" t="s">
        <v>12</v>
      </c>
    </row>
    <row r="8" spans="1:4">
      <c r="A8" s="19" t="s">
        <v>18</v>
      </c>
      <c r="B8" s="24">
        <v>-180922</v>
      </c>
      <c r="C8" s="26">
        <v>-168629</v>
      </c>
      <c r="D8" s="26">
        <v>-218915</v>
      </c>
    </row>
    <row r="9" spans="1:4">
      <c r="A9" s="19" t="s">
        <v>19</v>
      </c>
      <c r="B9" s="27">
        <v>-4479</v>
      </c>
      <c r="C9" s="27">
        <v>-64776</v>
      </c>
      <c r="D9" s="27">
        <v>-105869</v>
      </c>
    </row>
    <row r="10" spans="1:4">
      <c r="A10" s="19" t="s">
        <v>7</v>
      </c>
      <c r="B10" s="26">
        <v>21847</v>
      </c>
      <c r="C10" s="26">
        <v>22002</v>
      </c>
      <c r="D10" s="26">
        <v>18542</v>
      </c>
    </row>
    <row r="11" spans="1:4" s="1" customFormat="1">
      <c r="A11" s="21" t="s">
        <v>20</v>
      </c>
      <c r="B11" s="28">
        <v>1580718</v>
      </c>
      <c r="C11" s="33">
        <v>1826258</v>
      </c>
      <c r="D11" s="33">
        <v>1980966</v>
      </c>
    </row>
    <row r="12" spans="1:4" s="1" customFormat="1">
      <c r="A12" s="257" t="s">
        <v>14</v>
      </c>
      <c r="B12" s="257"/>
      <c r="C12" s="257"/>
      <c r="D12" s="258"/>
    </row>
    <row r="13" spans="1:4">
      <c r="A13" s="19" t="s">
        <v>21</v>
      </c>
      <c r="B13" s="25">
        <v>-82470</v>
      </c>
      <c r="C13" s="34">
        <v>-367050</v>
      </c>
      <c r="D13" s="34">
        <v>-592426</v>
      </c>
    </row>
    <row r="14" spans="1:4">
      <c r="A14" s="19" t="s">
        <v>22</v>
      </c>
      <c r="B14" s="25">
        <v>-321277</v>
      </c>
      <c r="C14" s="26">
        <v>-382084</v>
      </c>
      <c r="D14" s="26">
        <v>-748492</v>
      </c>
    </row>
    <row r="15" spans="1:4" ht="32">
      <c r="A15" s="20" t="s">
        <v>44</v>
      </c>
      <c r="B15" s="30">
        <v>461132</v>
      </c>
      <c r="C15" s="34">
        <v>114007</v>
      </c>
      <c r="D15" s="34">
        <v>387730</v>
      </c>
    </row>
    <row r="16" spans="1:4" s="1" customFormat="1">
      <c r="A16" s="21" t="s">
        <v>23</v>
      </c>
      <c r="B16" s="28">
        <v>1638103</v>
      </c>
      <c r="C16" s="35">
        <v>1191131</v>
      </c>
      <c r="D16" s="35">
        <v>1027778</v>
      </c>
    </row>
    <row r="17" spans="1:4">
      <c r="A17" s="19" t="s">
        <v>24</v>
      </c>
      <c r="B17" s="25">
        <v>-21847</v>
      </c>
      <c r="C17" s="26">
        <v>-22002</v>
      </c>
      <c r="D17" s="26">
        <v>-18542</v>
      </c>
    </row>
    <row r="18" spans="1:4">
      <c r="A18" s="19" t="s">
        <v>25</v>
      </c>
      <c r="B18" s="31">
        <v>-159906</v>
      </c>
      <c r="C18" s="26">
        <v>-100709</v>
      </c>
      <c r="D18" s="26" t="s">
        <v>45</v>
      </c>
    </row>
    <row r="19" spans="1:4" s="1" customFormat="1">
      <c r="A19" s="6" t="s">
        <v>26</v>
      </c>
      <c r="B19" s="32">
        <v>1456350</v>
      </c>
      <c r="C19" s="33">
        <v>1068420</v>
      </c>
      <c r="D19" s="33">
        <v>1009236</v>
      </c>
    </row>
    <row r="20" spans="1:4" s="1" customFormat="1">
      <c r="A20" s="246" t="s">
        <v>27</v>
      </c>
      <c r="B20" s="246"/>
      <c r="C20" s="246"/>
      <c r="D20" s="247"/>
    </row>
    <row r="21" spans="1:4">
      <c r="A21" s="19" t="s">
        <v>28</v>
      </c>
      <c r="B21" s="25">
        <v>-500000</v>
      </c>
      <c r="C21" s="26">
        <v>-200000</v>
      </c>
      <c r="D21" s="26">
        <v>-250000</v>
      </c>
    </row>
    <row r="22" spans="1:4">
      <c r="A22" s="5" t="s">
        <v>29</v>
      </c>
      <c r="B22" s="31">
        <v>-443896</v>
      </c>
      <c r="C22" s="26">
        <v>-1139942</v>
      </c>
      <c r="D22" s="26">
        <v>-1186461</v>
      </c>
    </row>
    <row r="23" spans="1:4">
      <c r="A23" s="19" t="s">
        <v>30</v>
      </c>
      <c r="B23" s="29" t="s">
        <v>12</v>
      </c>
      <c r="C23" s="26">
        <v>-2491</v>
      </c>
      <c r="D23" s="26">
        <v>-250000</v>
      </c>
    </row>
    <row r="24" spans="1:4" ht="16">
      <c r="A24" s="19" t="s">
        <v>31</v>
      </c>
      <c r="B24" s="25">
        <v>2513</v>
      </c>
      <c r="C24" s="27" t="s">
        <v>12</v>
      </c>
      <c r="D24" s="27">
        <v>2491</v>
      </c>
    </row>
    <row r="25" spans="1:4">
      <c r="A25" s="19" t="s">
        <v>32</v>
      </c>
      <c r="B25" s="25">
        <v>4479</v>
      </c>
      <c r="C25" s="27">
        <v>64776</v>
      </c>
      <c r="D25" s="27">
        <v>105869</v>
      </c>
    </row>
    <row r="26" spans="1:4" s="1" customFormat="1">
      <c r="A26" s="6" t="s">
        <v>33</v>
      </c>
      <c r="B26" s="32">
        <v>-936904</v>
      </c>
      <c r="C26" s="33">
        <v>-1277657</v>
      </c>
      <c r="D26" s="33">
        <v>-1578101</v>
      </c>
    </row>
    <row r="27" spans="1:4" s="1" customFormat="1">
      <c r="A27" s="246" t="s">
        <v>34</v>
      </c>
      <c r="B27" s="246"/>
      <c r="C27" s="246"/>
      <c r="D27" s="247"/>
    </row>
    <row r="28" spans="1:4" ht="16">
      <c r="A28" s="19" t="s">
        <v>35</v>
      </c>
      <c r="B28" s="25">
        <v>3316770</v>
      </c>
      <c r="C28" s="27" t="s">
        <v>12</v>
      </c>
      <c r="D28" s="27" t="s">
        <v>12</v>
      </c>
    </row>
    <row r="29" spans="1:4">
      <c r="A29" s="19" t="s">
        <v>36</v>
      </c>
      <c r="B29" s="25">
        <v>91997</v>
      </c>
      <c r="C29" s="26">
        <v>79703</v>
      </c>
      <c r="D29" s="26">
        <v>114712</v>
      </c>
    </row>
    <row r="30" spans="1:4">
      <c r="A30" s="19" t="s">
        <v>37</v>
      </c>
      <c r="B30" s="31">
        <v>-86361</v>
      </c>
      <c r="C30" s="26">
        <v>-58838</v>
      </c>
      <c r="D30" s="26">
        <v>-57645</v>
      </c>
    </row>
    <row r="31" spans="1:4">
      <c r="A31" s="19" t="s">
        <v>38</v>
      </c>
      <c r="B31" s="31">
        <v>-200000</v>
      </c>
      <c r="C31" s="26">
        <v>-337072</v>
      </c>
      <c r="D31" s="26">
        <v>-449429</v>
      </c>
    </row>
    <row r="32" spans="1:4">
      <c r="A32" s="19" t="s">
        <v>39</v>
      </c>
      <c r="B32" s="25">
        <v>-135145</v>
      </c>
      <c r="C32" s="26">
        <v>-135145</v>
      </c>
      <c r="D32" s="26">
        <v>-135145</v>
      </c>
    </row>
    <row r="33" spans="1:4" s="22" customFormat="1">
      <c r="A33" s="21" t="s">
        <v>40</v>
      </c>
      <c r="B33" s="28">
        <v>2987261</v>
      </c>
      <c r="C33" s="33">
        <v>-451352</v>
      </c>
      <c r="D33" s="33">
        <v>-527507</v>
      </c>
    </row>
    <row r="34" spans="1:4" s="22" customFormat="1">
      <c r="A34" s="21" t="s">
        <v>41</v>
      </c>
      <c r="B34" s="28">
        <v>3506707</v>
      </c>
      <c r="C34" s="33">
        <v>-660589</v>
      </c>
      <c r="D34" s="33">
        <v>-1096372</v>
      </c>
    </row>
    <row r="35" spans="1:4" s="22" customFormat="1">
      <c r="A35" s="21" t="s">
        <v>42</v>
      </c>
      <c r="B35" s="28">
        <v>579638</v>
      </c>
      <c r="C35" s="33">
        <v>4086345</v>
      </c>
      <c r="D35" s="33">
        <v>3425756</v>
      </c>
    </row>
    <row r="36" spans="1:4" s="22" customFormat="1">
      <c r="A36" s="21" t="s">
        <v>43</v>
      </c>
      <c r="B36" s="28">
        <v>4086345</v>
      </c>
      <c r="C36" s="33">
        <v>3425756</v>
      </c>
      <c r="D36" s="33">
        <v>2329384</v>
      </c>
    </row>
  </sheetData>
  <mergeCells count="5">
    <mergeCell ref="A27:D27"/>
    <mergeCell ref="A2:D2"/>
    <mergeCell ref="A12:D12"/>
    <mergeCell ref="A20:D20"/>
    <mergeCell ref="A4:D4"/>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44A9E-D9CF-4C24-AE61-B68232DEF72A}">
  <dimension ref="A1:I140"/>
  <sheetViews>
    <sheetView zoomScale="80" zoomScaleNormal="80" workbookViewId="0">
      <selection activeCell="E25" sqref="E25"/>
    </sheetView>
  </sheetViews>
  <sheetFormatPr baseColWidth="10" defaultColWidth="8.83203125" defaultRowHeight="15"/>
  <cols>
    <col min="1" max="1" width="55.33203125" bestFit="1" customWidth="1"/>
    <col min="2" max="2" width="15.33203125" customWidth="1"/>
    <col min="3" max="3" width="16.6640625" customWidth="1"/>
    <col min="4" max="4" width="13.5" customWidth="1"/>
    <col min="5" max="5" width="16.5" customWidth="1"/>
    <col min="6" max="6" width="15.83203125" customWidth="1"/>
    <col min="7" max="7" width="18.6640625" customWidth="1"/>
    <col min="9" max="9" width="17.33203125" bestFit="1" customWidth="1"/>
    <col min="10" max="10" width="20.83203125" bestFit="1" customWidth="1"/>
    <col min="11" max="11" width="12.5" customWidth="1"/>
    <col min="12" max="12" width="12.83203125" customWidth="1"/>
    <col min="13" max="13" width="16.33203125" customWidth="1"/>
  </cols>
  <sheetData>
    <row r="1" spans="1:8">
      <c r="B1" s="261" t="s">
        <v>108</v>
      </c>
      <c r="C1" s="262"/>
      <c r="D1" s="263"/>
      <c r="E1" s="264" t="s">
        <v>109</v>
      </c>
      <c r="F1" s="265"/>
      <c r="G1" s="266"/>
    </row>
    <row r="2" spans="1:8">
      <c r="A2" s="65" t="s">
        <v>110</v>
      </c>
      <c r="B2" s="65">
        <v>2017</v>
      </c>
      <c r="C2" s="65">
        <v>2018</v>
      </c>
      <c r="D2" s="65">
        <v>2019</v>
      </c>
      <c r="E2" s="101">
        <v>2020</v>
      </c>
      <c r="F2" s="101">
        <v>2021</v>
      </c>
      <c r="G2" s="101">
        <v>2022</v>
      </c>
    </row>
    <row r="3" spans="1:8">
      <c r="A3" t="s">
        <v>111</v>
      </c>
      <c r="B3" s="90" t="s">
        <v>12</v>
      </c>
      <c r="C3" s="90">
        <f>(C25/B25)-1</f>
        <v>0.28530605252790764</v>
      </c>
      <c r="D3" s="90">
        <f>(D25/C25)-1</f>
        <v>0.2135228933959572</v>
      </c>
      <c r="E3" s="91">
        <f>D3</f>
        <v>0.2135228933959572</v>
      </c>
      <c r="F3" s="91">
        <f t="shared" ref="F3:G3" si="0">E3</f>
        <v>0.2135228933959572</v>
      </c>
      <c r="G3" s="91">
        <f t="shared" si="0"/>
        <v>0.2135228933959572</v>
      </c>
    </row>
    <row r="4" spans="1:8">
      <c r="A4" t="s">
        <v>112</v>
      </c>
      <c r="B4" s="90">
        <f>B26/B25</f>
        <v>-0.37146342333325949</v>
      </c>
      <c r="C4" s="90">
        <f>C26/C25</f>
        <v>-0.36618586071441034</v>
      </c>
      <c r="D4" s="90">
        <f>D26/D25</f>
        <v>-0.38711845345288254</v>
      </c>
      <c r="E4" s="93">
        <f>AVERAGE(B4:D4)</f>
        <v>-0.37492257916685084</v>
      </c>
      <c r="F4" s="93">
        <f>E4</f>
        <v>-0.37492257916685084</v>
      </c>
      <c r="G4" s="93">
        <f>F4</f>
        <v>-0.37492257916685084</v>
      </c>
      <c r="H4" s="92" t="s">
        <v>142</v>
      </c>
    </row>
    <row r="5" spans="1:8">
      <c r="A5" t="s">
        <v>113</v>
      </c>
      <c r="B5" s="90">
        <f>B28/B25</f>
        <v>-0.3139203386359129</v>
      </c>
      <c r="C5" s="90">
        <f t="shared" ref="C5:D5" si="1">C28/C25</f>
        <v>-0.37428287989128994</v>
      </c>
      <c r="D5" s="90">
        <f t="shared" si="1"/>
        <v>-0.38912743540556549</v>
      </c>
      <c r="E5" s="93">
        <f>AVERAGE(B5:D5)</f>
        <v>-0.35911021797758941</v>
      </c>
      <c r="F5" s="93">
        <f>E5</f>
        <v>-0.35911021797758941</v>
      </c>
      <c r="G5" s="93">
        <f>F5</f>
        <v>-0.35911021797758941</v>
      </c>
      <c r="H5" s="92" t="s">
        <v>142</v>
      </c>
    </row>
    <row r="6" spans="1:8">
      <c r="A6" t="s">
        <v>114</v>
      </c>
      <c r="B6" s="90">
        <f>B29/B25</f>
        <v>-0.14568899038791494</v>
      </c>
      <c r="C6" s="90">
        <f t="shared" ref="C6:D6" si="2">C29/C25</f>
        <v>-0.11758362739900195</v>
      </c>
      <c r="D6" s="90">
        <f t="shared" si="2"/>
        <v>-0.10793033369593867</v>
      </c>
      <c r="E6" s="91">
        <f>D6</f>
        <v>-0.10793033369593867</v>
      </c>
      <c r="F6" s="91">
        <f t="shared" ref="F6:G6" si="3">E6</f>
        <v>-0.10793033369593867</v>
      </c>
      <c r="G6" s="91">
        <f t="shared" si="3"/>
        <v>-0.10793033369593867</v>
      </c>
    </row>
    <row r="7" spans="1:8">
      <c r="A7" t="s">
        <v>115</v>
      </c>
      <c r="B7" s="90">
        <f>B30/B25</f>
        <v>2.5103716164914781E-2</v>
      </c>
      <c r="C7" s="90">
        <f t="shared" ref="C7:D7" si="4">C30/C25</f>
        <v>1.8468746491918854E-2</v>
      </c>
      <c r="D7" s="90">
        <f t="shared" si="4"/>
        <v>2.0257508974980059E-2</v>
      </c>
      <c r="E7" s="91">
        <f>D7</f>
        <v>2.0257508974980059E-2</v>
      </c>
      <c r="F7" s="91">
        <f t="shared" ref="F7:G7" si="5">E7</f>
        <v>2.0257508974980059E-2</v>
      </c>
      <c r="G7" s="91">
        <f t="shared" si="5"/>
        <v>2.0257508974980059E-2</v>
      </c>
    </row>
    <row r="8" spans="1:8">
      <c r="A8" t="s">
        <v>116</v>
      </c>
      <c r="B8" s="90">
        <f>B31/B25</f>
        <v>-1.1424449724747539E-2</v>
      </c>
      <c r="C8" s="90">
        <f t="shared" ref="C8:D8" si="6">C31/C25</f>
        <v>-7.6783618821940625E-3</v>
      </c>
      <c r="D8" s="90">
        <f t="shared" si="6"/>
        <v>-6.7983519661198024E-3</v>
      </c>
      <c r="E8" s="91">
        <f>D8</f>
        <v>-6.7983519661198024E-3</v>
      </c>
      <c r="F8" s="91">
        <f t="shared" ref="F8:G8" si="7">E8</f>
        <v>-6.7983519661198024E-3</v>
      </c>
      <c r="G8" s="91">
        <f t="shared" si="7"/>
        <v>-6.7983519661198024E-3</v>
      </c>
    </row>
    <row r="9" spans="1:8">
      <c r="A9" t="s">
        <v>117</v>
      </c>
      <c r="B9" s="90" t="s">
        <v>12</v>
      </c>
      <c r="C9" s="90">
        <f>'Naudas plūsma'!C5/Aktīvi!B15</f>
        <v>0.27477417436507368</v>
      </c>
      <c r="D9" s="90">
        <f>'Naudas plūsma'!D5/Aktīvi!C15</f>
        <v>0.29504603542743291</v>
      </c>
      <c r="E9" s="91">
        <f>D9</f>
        <v>0.29504603542743291</v>
      </c>
      <c r="F9" s="91">
        <f t="shared" ref="F9:G11" si="8">E9</f>
        <v>0.29504603542743291</v>
      </c>
      <c r="G9" s="91">
        <f t="shared" si="8"/>
        <v>0.29504603542743291</v>
      </c>
    </row>
    <row r="10" spans="1:8">
      <c r="A10" t="s">
        <v>118</v>
      </c>
      <c r="B10" s="90">
        <f>B33/((Pasīvi!B11+Pasīvi!B17)/2)</f>
        <v>-0.14459012246790751</v>
      </c>
      <c r="C10" s="90">
        <f>C33/((Pasīvi!C11+Pasīvi!C17)/2)</f>
        <v>-0.18006162458108788</v>
      </c>
      <c r="D10" s="90">
        <f>D33/((Pasīvi!D11+Pasīvi!D17)/2)</f>
        <v>-0.33947893590142625</v>
      </c>
      <c r="E10" s="91">
        <f>D10</f>
        <v>-0.33947893590142625</v>
      </c>
      <c r="F10" s="91">
        <f>E10</f>
        <v>-0.33947893590142625</v>
      </c>
      <c r="G10" s="91">
        <f t="shared" si="8"/>
        <v>-0.33947893590142625</v>
      </c>
    </row>
    <row r="11" spans="1:8">
      <c r="A11" t="s">
        <v>119</v>
      </c>
      <c r="B11" s="91">
        <f>B36/B35</f>
        <v>-6.2155579739922723E-2</v>
      </c>
      <c r="C11" s="91">
        <f>C36/C35</f>
        <v>-1.1698760265662133E-4</v>
      </c>
      <c r="D11" s="91" t="s">
        <v>12</v>
      </c>
      <c r="E11" s="91">
        <f>B11</f>
        <v>-6.2155579739922723E-2</v>
      </c>
      <c r="F11" s="91">
        <f t="shared" si="8"/>
        <v>-6.2155579739922723E-2</v>
      </c>
      <c r="G11" s="91">
        <f t="shared" si="8"/>
        <v>-6.2155579739922723E-2</v>
      </c>
    </row>
    <row r="12" spans="1:8">
      <c r="A12" s="260" t="s">
        <v>141</v>
      </c>
      <c r="B12" s="260"/>
      <c r="C12" s="260"/>
      <c r="D12" s="260"/>
      <c r="E12" s="260"/>
      <c r="F12" s="260"/>
      <c r="G12" s="260"/>
    </row>
    <row r="13" spans="1:8">
      <c r="A13" s="260"/>
      <c r="B13" s="260"/>
      <c r="C13" s="260"/>
      <c r="D13" s="260"/>
      <c r="E13" s="260"/>
      <c r="F13" s="260"/>
      <c r="G13" s="260"/>
    </row>
    <row r="14" spans="1:8">
      <c r="A14" s="65" t="s">
        <v>120</v>
      </c>
      <c r="B14" s="65">
        <v>2017</v>
      </c>
      <c r="C14" s="65">
        <v>2018</v>
      </c>
      <c r="D14" s="65">
        <v>2019</v>
      </c>
      <c r="E14" s="101">
        <v>2020</v>
      </c>
      <c r="F14" s="101">
        <v>2021</v>
      </c>
      <c r="G14" s="101">
        <v>2022</v>
      </c>
    </row>
    <row r="15" spans="1:8">
      <c r="A15" t="s">
        <v>121</v>
      </c>
      <c r="B15" s="94">
        <f>Aktīvi!B32/PZA!B2*365</f>
        <v>52.370485840723745</v>
      </c>
      <c r="C15" s="94">
        <f>Aktīvi!C32/PZA!C2*365</f>
        <v>44.035420109929333</v>
      </c>
      <c r="D15" s="94">
        <f>Aktīvi!D32/PZA!D2*365</f>
        <v>57.612496796274037</v>
      </c>
      <c r="E15" s="69">
        <f>D15</f>
        <v>57.612496796274037</v>
      </c>
      <c r="F15" s="69">
        <f t="shared" ref="F15:G15" si="9">E15</f>
        <v>57.612496796274037</v>
      </c>
      <c r="G15" s="69">
        <f t="shared" si="9"/>
        <v>57.612496796274037</v>
      </c>
    </row>
    <row r="16" spans="1:8">
      <c r="A16" t="s">
        <v>122</v>
      </c>
      <c r="B16" s="94">
        <f>B43/B25*365</f>
        <v>80.371499630096565</v>
      </c>
      <c r="C16" s="94">
        <f>C43/C25*365</f>
        <v>80.189140494366683</v>
      </c>
      <c r="D16" s="94">
        <f>D43/D25*365</f>
        <v>91.068253243288027</v>
      </c>
      <c r="E16" s="69">
        <f>D16</f>
        <v>91.068253243288027</v>
      </c>
      <c r="F16" s="69">
        <f t="shared" ref="F16:G16" si="10">E16</f>
        <v>91.068253243288027</v>
      </c>
      <c r="G16" s="69">
        <f t="shared" si="10"/>
        <v>91.068253243288027</v>
      </c>
    </row>
    <row r="17" spans="1:8">
      <c r="A17" t="s">
        <v>123</v>
      </c>
      <c r="B17" s="94">
        <f>Pasīvi!B24/PZA!B2*365</f>
        <v>63.815426837209529</v>
      </c>
      <c r="C17" s="94">
        <f>Pasīvi!C24/PZA!C2*365</f>
        <v>42.472254888399398</v>
      </c>
      <c r="D17" s="94">
        <f>Pasīvi!D24/PZA!D2*365</f>
        <v>40.799194830799529</v>
      </c>
      <c r="E17" s="69">
        <f>D17</f>
        <v>40.799194830799529</v>
      </c>
      <c r="F17" s="69">
        <f t="shared" ref="F17:G17" si="11">E17</f>
        <v>40.799194830799529</v>
      </c>
      <c r="G17" s="69">
        <f t="shared" si="11"/>
        <v>40.799194830799529</v>
      </c>
    </row>
    <row r="18" spans="1:8">
      <c r="A18" t="s">
        <v>124</v>
      </c>
      <c r="B18" t="s">
        <v>12</v>
      </c>
      <c r="C18" s="69">
        <f>Aktīvi!C15-Aktīvi!B15+'Naudas plūsma'!C5</f>
        <v>853364</v>
      </c>
      <c r="D18" s="69">
        <f>Aktīvi!D15-Aktīvi!C15+'Naudas plūsma'!D5</f>
        <v>786581</v>
      </c>
      <c r="E18" s="69">
        <f>D18</f>
        <v>786581</v>
      </c>
      <c r="F18" s="69">
        <f t="shared" ref="F18:G20" si="12">E18</f>
        <v>786581</v>
      </c>
      <c r="G18" s="69">
        <f t="shared" si="12"/>
        <v>786581</v>
      </c>
    </row>
    <row r="19" spans="1:8">
      <c r="A19" t="s">
        <v>125</v>
      </c>
      <c r="B19" s="69">
        <f>'Naudas plūsma'!B32</f>
        <v>-135145</v>
      </c>
      <c r="C19" s="69">
        <f>'Naudas plūsma'!C32</f>
        <v>-135145</v>
      </c>
      <c r="D19" s="69">
        <f>'Naudas plūsma'!D32</f>
        <v>-135145</v>
      </c>
      <c r="E19" s="69">
        <f>E75</f>
        <v>-109238</v>
      </c>
      <c r="F19" s="69">
        <f>F75</f>
        <v>0</v>
      </c>
      <c r="G19" s="69">
        <f t="shared" ref="F19:G19" si="13">G75</f>
        <v>0</v>
      </c>
      <c r="H19" s="92" t="s">
        <v>182</v>
      </c>
    </row>
    <row r="20" spans="1:8">
      <c r="A20" t="s">
        <v>126</v>
      </c>
      <c r="B20" s="69">
        <f>'Naudas plūsma'!B31</f>
        <v>-200000</v>
      </c>
      <c r="C20" s="69">
        <f>'Naudas plūsma'!C31</f>
        <v>-337072</v>
      </c>
      <c r="D20" s="69">
        <f>'Naudas plūsma'!D31</f>
        <v>-449429</v>
      </c>
      <c r="E20" s="69">
        <f>-1000000</f>
        <v>-1000000</v>
      </c>
      <c r="F20" s="69">
        <f t="shared" si="12"/>
        <v>-1000000</v>
      </c>
      <c r="G20" s="69">
        <f t="shared" si="12"/>
        <v>-1000000</v>
      </c>
    </row>
    <row r="21" spans="1:8">
      <c r="A21" s="260" t="s">
        <v>143</v>
      </c>
      <c r="B21" s="260"/>
      <c r="C21" s="260"/>
      <c r="D21" s="260"/>
      <c r="E21" s="260"/>
      <c r="F21" s="260"/>
      <c r="G21" s="260"/>
    </row>
    <row r="22" spans="1:8">
      <c r="A22" s="260"/>
      <c r="B22" s="260"/>
      <c r="C22" s="260"/>
      <c r="D22" s="260"/>
      <c r="E22" s="260"/>
      <c r="F22" s="260"/>
      <c r="G22" s="260"/>
    </row>
    <row r="24" spans="1:8">
      <c r="A24" s="134" t="s">
        <v>140</v>
      </c>
      <c r="B24" s="135">
        <v>2017</v>
      </c>
      <c r="C24" s="135">
        <v>2018</v>
      </c>
      <c r="D24" s="135">
        <v>2019</v>
      </c>
      <c r="E24" s="102">
        <v>2020</v>
      </c>
      <c r="F24" s="103">
        <v>2021</v>
      </c>
      <c r="G24" s="104">
        <v>2022</v>
      </c>
    </row>
    <row r="25" spans="1:8">
      <c r="A25" s="88" t="s">
        <v>0</v>
      </c>
      <c r="B25" s="85">
        <v>7401932</v>
      </c>
      <c r="C25" s="85">
        <v>9513748</v>
      </c>
      <c r="D25" s="85">
        <v>11545151</v>
      </c>
      <c r="E25" s="204">
        <f>D25*(1+E3)</f>
        <v>14010305.046213228</v>
      </c>
      <c r="F25" s="191">
        <f t="shared" ref="F25:G25" si="14">E25*(1+F3)</f>
        <v>17001825.917040657</v>
      </c>
      <c r="G25" s="192">
        <f t="shared" si="14"/>
        <v>20632104.97986155</v>
      </c>
    </row>
    <row r="26" spans="1:8">
      <c r="A26" s="88" t="s">
        <v>145</v>
      </c>
      <c r="B26" s="85">
        <v>-2749547</v>
      </c>
      <c r="C26" s="85">
        <v>-3483800</v>
      </c>
      <c r="D26" s="85">
        <v>-4469341</v>
      </c>
      <c r="E26" s="97">
        <f>E25*E4</f>
        <v>-5252779.7028406085</v>
      </c>
      <c r="F26" s="73">
        <f>E25*F4</f>
        <v>-5252779.7028406085</v>
      </c>
      <c r="G26" s="74">
        <f>F25*G4</f>
        <v>-6374368.4233626919</v>
      </c>
    </row>
    <row r="27" spans="1:8">
      <c r="A27" s="89" t="s">
        <v>1</v>
      </c>
      <c r="B27" s="86">
        <v>4652385</v>
      </c>
      <c r="C27" s="86">
        <v>6029948</v>
      </c>
      <c r="D27" s="86">
        <v>7075810</v>
      </c>
      <c r="E27" s="100">
        <f>SUM(E25:E26)</f>
        <v>8757525.3433726206</v>
      </c>
      <c r="F27" s="75">
        <f t="shared" ref="F27:G27" si="15">SUM(F25:F26)</f>
        <v>11749046.21420005</v>
      </c>
      <c r="G27" s="76">
        <f t="shared" si="15"/>
        <v>14257736.556498859</v>
      </c>
    </row>
    <row r="28" spans="1:8">
      <c r="A28" s="88" t="s">
        <v>2</v>
      </c>
      <c r="B28" s="85">
        <v>-2323617</v>
      </c>
      <c r="C28" s="85">
        <v>-3560833</v>
      </c>
      <c r="D28" s="85">
        <v>-4492535</v>
      </c>
      <c r="E28" s="97">
        <f>E25*E5</f>
        <v>-5031243.6990781529</v>
      </c>
      <c r="F28" s="73">
        <f t="shared" ref="F28:G28" si="16">F25*F5</f>
        <v>-6105529.4110854995</v>
      </c>
      <c r="G28" s="74">
        <f t="shared" si="16"/>
        <v>-7409199.7166545894</v>
      </c>
    </row>
    <row r="29" spans="1:8">
      <c r="A29" s="88" t="s">
        <v>3</v>
      </c>
      <c r="B29" s="85">
        <v>-1078380</v>
      </c>
      <c r="C29" s="85">
        <v>-1118661</v>
      </c>
      <c r="D29" s="85">
        <v>-1246072</v>
      </c>
      <c r="E29" s="97">
        <f>E25*E6</f>
        <v>-1512136.8988196871</v>
      </c>
      <c r="F29" s="73">
        <f t="shared" ref="F29:G29" si="17">F25*F6</f>
        <v>-1835012.7446664567</v>
      </c>
      <c r="G29" s="74">
        <f t="shared" si="17"/>
        <v>-2226829.9753260952</v>
      </c>
    </row>
    <row r="30" spans="1:8">
      <c r="A30" s="88" t="s">
        <v>4</v>
      </c>
      <c r="B30" s="85">
        <v>185816</v>
      </c>
      <c r="C30" s="85">
        <v>175707</v>
      </c>
      <c r="D30" s="85">
        <v>233876</v>
      </c>
      <c r="E30" s="97">
        <f>E25*E7</f>
        <v>283813.88021587289</v>
      </c>
      <c r="F30" s="73">
        <f t="shared" ref="F30:G30" si="18">F25*F7</f>
        <v>344414.6411054997</v>
      </c>
      <c r="G30" s="74">
        <f t="shared" si="18"/>
        <v>417955.05180227611</v>
      </c>
    </row>
    <row r="31" spans="1:8">
      <c r="A31" s="88" t="s">
        <v>5</v>
      </c>
      <c r="B31" s="85">
        <v>-84563</v>
      </c>
      <c r="C31" s="85">
        <v>-73050</v>
      </c>
      <c r="D31" s="85">
        <v>-78488</v>
      </c>
      <c r="E31" s="97">
        <f>E25*E8</f>
        <v>-95246.984856861891</v>
      </c>
      <c r="F31" s="73">
        <f>F25*F8</f>
        <v>-115584.39665073996</v>
      </c>
      <c r="G31" s="74">
        <f t="shared" ref="G31" si="19">G25*G8</f>
        <v>-140264.31145503194</v>
      </c>
      <c r="H31" s="92" t="s">
        <v>165</v>
      </c>
    </row>
    <row r="32" spans="1:8">
      <c r="A32" s="85" t="s">
        <v>6</v>
      </c>
      <c r="B32" s="85">
        <v>4479</v>
      </c>
      <c r="C32" s="85">
        <v>64776</v>
      </c>
      <c r="D32" s="85">
        <v>105869</v>
      </c>
      <c r="E32" s="97">
        <f>AVERAGE(B32:D32)</f>
        <v>58374.666666666664</v>
      </c>
      <c r="F32" s="73">
        <f>E32</f>
        <v>58374.666666666664</v>
      </c>
      <c r="G32" s="74">
        <f>F32</f>
        <v>58374.666666666664</v>
      </c>
      <c r="H32" s="92" t="s">
        <v>162</v>
      </c>
    </row>
    <row r="33" spans="1:8">
      <c r="A33" s="88" t="s">
        <v>7</v>
      </c>
      <c r="B33" s="85">
        <v>-27438</v>
      </c>
      <c r="C33" s="85">
        <v>-22002</v>
      </c>
      <c r="D33" s="85">
        <v>-18542</v>
      </c>
      <c r="E33" s="97">
        <f>E77</f>
        <v>-18542</v>
      </c>
      <c r="F33" s="73"/>
      <c r="G33" s="74"/>
      <c r="H33" s="92" t="s">
        <v>164</v>
      </c>
    </row>
    <row r="34" spans="1:8">
      <c r="A34" s="88" t="s">
        <v>166</v>
      </c>
      <c r="B34" s="85">
        <f>'Naudas plūsma'!B5</f>
        <v>411517</v>
      </c>
      <c r="C34" s="85">
        <f>'Naudas plūsma'!C5</f>
        <v>455583</v>
      </c>
      <c r="D34" s="85">
        <f>'Naudas plūsma'!D5</f>
        <v>606558</v>
      </c>
      <c r="E34" s="97">
        <f>E70</f>
        <v>659673.07243575272</v>
      </c>
      <c r="F34" s="73">
        <f>F70</f>
        <v>697116.75332789577</v>
      </c>
      <c r="G34" s="74">
        <f>G70</f>
        <v>723512.82462100207</v>
      </c>
      <c r="H34" s="92"/>
    </row>
    <row r="35" spans="1:8">
      <c r="A35" s="89" t="s">
        <v>8</v>
      </c>
      <c r="B35" s="86">
        <v>1328682</v>
      </c>
      <c r="C35" s="86">
        <v>1495885</v>
      </c>
      <c r="D35" s="86">
        <v>1579918</v>
      </c>
      <c r="E35" s="100">
        <f>E27+SUM(E28:E34)</f>
        <v>3102217.3799362117</v>
      </c>
      <c r="F35" s="75">
        <f>F27+SUM(F28:F34)</f>
        <v>4792825.722897416</v>
      </c>
      <c r="G35" s="76">
        <f>G27+SUM(G28:G34)</f>
        <v>5681285.0961530861</v>
      </c>
    </row>
    <row r="36" spans="1:8">
      <c r="A36" s="88" t="s">
        <v>11</v>
      </c>
      <c r="B36" s="85">
        <v>-82585</v>
      </c>
      <c r="C36" s="85">
        <v>-175</v>
      </c>
      <c r="D36" s="87"/>
      <c r="E36" s="97">
        <f>(E35-E20)*E11</f>
        <v>-254975.69946912208</v>
      </c>
      <c r="F36" s="73">
        <f t="shared" ref="F36" si="20">(F35-F20)*F11</f>
        <v>-360056.44113902585</v>
      </c>
      <c r="G36" s="74">
        <f>(G35-G20)*G11</f>
        <v>-415279.1485591004</v>
      </c>
    </row>
    <row r="37" spans="1:8">
      <c r="A37" s="84" t="s">
        <v>9</v>
      </c>
      <c r="B37" s="8">
        <v>1246097</v>
      </c>
      <c r="C37" s="8">
        <v>1495710</v>
      </c>
      <c r="D37" s="8">
        <v>1579918</v>
      </c>
      <c r="E37" s="133">
        <f>SUM(E35:E36)</f>
        <v>2847241.6804670896</v>
      </c>
      <c r="F37" s="77">
        <f>SUM(F35:F36)</f>
        <v>4432769.2817583904</v>
      </c>
      <c r="G37" s="78">
        <f>SUM(G35:G36)</f>
        <v>5266005.9475939861</v>
      </c>
    </row>
    <row r="39" spans="1:8">
      <c r="A39" s="134" t="str">
        <f>Aktīvi!A40</f>
        <v>Bilance,  €</v>
      </c>
      <c r="B39" s="135">
        <f>Aktīvi!B40</f>
        <v>2017</v>
      </c>
      <c r="C39" s="135">
        <f>Aktīvi!C40</f>
        <v>2018</v>
      </c>
      <c r="D39" s="135">
        <f>Aktīvi!D40</f>
        <v>2019</v>
      </c>
      <c r="E39" s="102">
        <v>2020</v>
      </c>
      <c r="F39" s="103">
        <v>2021</v>
      </c>
      <c r="G39" s="104">
        <v>2022</v>
      </c>
    </row>
    <row r="40" spans="1:8">
      <c r="A40" s="71" t="str">
        <f>Aktīvi!A41</f>
        <v>Aktīvi</v>
      </c>
      <c r="B40" s="3"/>
      <c r="C40" s="3"/>
      <c r="D40" s="3"/>
      <c r="E40" s="130"/>
      <c r="F40" s="131"/>
      <c r="G40" s="132"/>
    </row>
    <row r="41" spans="1:8">
      <c r="A41" s="72" t="str">
        <f>Aktīvi!A42</f>
        <v>Nauda un ekvivalenti</v>
      </c>
      <c r="B41" s="79">
        <f>Aktīvi!B42</f>
        <v>4086345</v>
      </c>
      <c r="C41" s="79">
        <f>Aktīvi!C42</f>
        <v>3425756</v>
      </c>
      <c r="D41" s="79">
        <f>Aktīvi!D42</f>
        <v>2329384</v>
      </c>
      <c r="E41" s="97">
        <f>E51+E55-SUM(E42:E45)</f>
        <v>3907746.2273981422</v>
      </c>
      <c r="F41" s="73">
        <f>F51+F55-SUM(F42:F45)</f>
        <v>6778862.2581377663</v>
      </c>
      <c r="G41" s="74">
        <f>G51+G55-SUM(G42:G45)</f>
        <v>9805040.2339577191</v>
      </c>
      <c r="H41" s="69"/>
    </row>
    <row r="42" spans="1:8">
      <c r="A42" s="72" t="str">
        <f>Aktīvi!A43</f>
        <v>Debitori</v>
      </c>
      <c r="B42" s="79">
        <f>Aktīvi!B43</f>
        <v>1062035</v>
      </c>
      <c r="C42" s="79">
        <f>Aktīvi!C43</f>
        <v>1147786</v>
      </c>
      <c r="D42" s="79">
        <f>Aktīvi!D43</f>
        <v>1822315</v>
      </c>
      <c r="E42" s="97">
        <f>D42*(1+E3)</f>
        <v>2211420.9714788538</v>
      </c>
      <c r="F42" s="73">
        <f>E42*(1+F3)</f>
        <v>2683609.9758255174</v>
      </c>
      <c r="G42" s="74">
        <f>F42*(1+G3)</f>
        <v>3256622.1426100368</v>
      </c>
      <c r="H42" s="96" t="s">
        <v>144</v>
      </c>
    </row>
    <row r="43" spans="1:8">
      <c r="A43" s="72" t="str">
        <f>Aktīvi!A44</f>
        <v>Krājumi</v>
      </c>
      <c r="B43" s="79">
        <f>Aktīvi!B44</f>
        <v>1629875</v>
      </c>
      <c r="C43" s="79">
        <f>Aktīvi!C44</f>
        <v>2090135</v>
      </c>
      <c r="D43" s="79">
        <f>Aktīvi!D44</f>
        <v>2880539</v>
      </c>
      <c r="E43" s="97">
        <f>D43*(E26/D26)</f>
        <v>3385473.7851600009</v>
      </c>
      <c r="F43" s="73">
        <f>E43*(F26/E26)</f>
        <v>3385473.7851600009</v>
      </c>
      <c r="G43" s="74">
        <f>F43*(G26/F26)</f>
        <v>4108349.9432835276</v>
      </c>
      <c r="H43" s="96" t="s">
        <v>146</v>
      </c>
    </row>
    <row r="44" spans="1:8">
      <c r="A44" s="72" t="str">
        <f>Aktīvi!A45</f>
        <v>Ilgtermiņa ieguldījumi</v>
      </c>
      <c r="B44" s="79">
        <f>Aktīvi!B45</f>
        <v>1840113</v>
      </c>
      <c r="C44" s="79">
        <f>Aktīvi!C45</f>
        <v>2481677</v>
      </c>
      <c r="D44" s="79">
        <f>Aktīvi!D45</f>
        <v>2958357</v>
      </c>
      <c r="E44" s="97">
        <f>E71</f>
        <v>2362738.9275642475</v>
      </c>
      <c r="F44" s="73">
        <f t="shared" ref="F44:G44" si="21">F71</f>
        <v>2452203.1742363516</v>
      </c>
      <c r="G44" s="74">
        <f t="shared" si="21"/>
        <v>2515271.3496153494</v>
      </c>
      <c r="H44" s="96" t="s">
        <v>185</v>
      </c>
    </row>
    <row r="45" spans="1:8">
      <c r="A45" s="72" t="s">
        <v>183</v>
      </c>
      <c r="B45" s="79">
        <v>500000</v>
      </c>
      <c r="C45" s="79">
        <v>700000</v>
      </c>
      <c r="D45" s="79">
        <v>950000</v>
      </c>
      <c r="E45" s="97">
        <f>D45</f>
        <v>950000</v>
      </c>
      <c r="F45" s="73">
        <f t="shared" ref="F45:G45" si="22">E45</f>
        <v>950000</v>
      </c>
      <c r="G45" s="74">
        <f t="shared" si="22"/>
        <v>950000</v>
      </c>
      <c r="H45" s="96" t="s">
        <v>184</v>
      </c>
    </row>
    <row r="46" spans="1:8">
      <c r="A46" s="71" t="str">
        <f>Aktīvi!A47</f>
        <v>Aktīvi kopā</v>
      </c>
      <c r="B46" s="81">
        <f>Aktīvi!B47</f>
        <v>9118368</v>
      </c>
      <c r="C46" s="81">
        <f>Aktīvi!C47</f>
        <v>9845354</v>
      </c>
      <c r="D46" s="81">
        <f>Aktīvi!D47</f>
        <v>10940595</v>
      </c>
      <c r="E46" s="100">
        <f>SUM(E41:E45)</f>
        <v>12817379.911601245</v>
      </c>
      <c r="F46" s="75">
        <f t="shared" ref="F46" si="23">SUM(F41:F45)</f>
        <v>16250149.193359638</v>
      </c>
      <c r="G46" s="76">
        <f>SUM(G41:G45)</f>
        <v>20635283.669466633</v>
      </c>
      <c r="H46" s="69"/>
    </row>
    <row r="47" spans="1:8">
      <c r="A47" s="71" t="str">
        <f>Aktīvi!A48</f>
        <v>Saistības</v>
      </c>
      <c r="B47" s="79"/>
      <c r="C47" s="79"/>
      <c r="D47" s="79"/>
      <c r="E47" s="97"/>
      <c r="F47" s="73"/>
      <c r="G47" s="74"/>
      <c r="H47" s="69"/>
    </row>
    <row r="48" spans="1:8">
      <c r="A48" s="72" t="str">
        <f>Aktīvi!A49</f>
        <v>Parādi piegādātājiem</v>
      </c>
      <c r="B48" s="79">
        <f>Aktīvi!B49</f>
        <v>542648</v>
      </c>
      <c r="C48" s="79">
        <f>Aktīvi!C49</f>
        <v>357641</v>
      </c>
      <c r="D48" s="79">
        <f>Aktīvi!D49</f>
        <v>474707</v>
      </c>
      <c r="E48" s="97">
        <f>D48*(E26/D26)</f>
        <v>557919.2311341553</v>
      </c>
      <c r="F48" s="73">
        <f>E48*(F26/E26)</f>
        <v>557919.2311341553</v>
      </c>
      <c r="G48" s="74">
        <f>F48*(G26/F26)</f>
        <v>677047.75964716799</v>
      </c>
      <c r="H48" s="96" t="s">
        <v>147</v>
      </c>
    </row>
    <row r="49" spans="1:8">
      <c r="A49" s="72" t="str">
        <f>Aktīvi!A50</f>
        <v>Aizņemumi</v>
      </c>
      <c r="B49" s="79">
        <f>Aktīvi!B50</f>
        <v>379528</v>
      </c>
      <c r="C49" s="79">
        <f>Aktīvi!C50</f>
        <v>244383</v>
      </c>
      <c r="D49" s="79">
        <f>Aktīvi!D50</f>
        <v>109238</v>
      </c>
      <c r="E49" s="97">
        <f>E76</f>
        <v>0</v>
      </c>
      <c r="F49" s="73">
        <f t="shared" ref="F49:G49" si="24">F76</f>
        <v>0</v>
      </c>
      <c r="G49" s="74">
        <f t="shared" si="24"/>
        <v>0</v>
      </c>
      <c r="H49" s="96" t="s">
        <v>186</v>
      </c>
    </row>
    <row r="50" spans="1:8">
      <c r="A50" s="72" t="s">
        <v>163</v>
      </c>
      <c r="B50" s="79">
        <v>943592</v>
      </c>
      <c r="C50" s="79">
        <v>811223</v>
      </c>
      <c r="D50" s="79">
        <v>794054</v>
      </c>
      <c r="E50" s="97">
        <f>AVERAGE(B50:D50)</f>
        <v>849623</v>
      </c>
      <c r="F50" s="73">
        <f>E50</f>
        <v>849623</v>
      </c>
      <c r="G50" s="74">
        <f>F50</f>
        <v>849623</v>
      </c>
      <c r="H50" s="92" t="s">
        <v>162</v>
      </c>
    </row>
    <row r="51" spans="1:8">
      <c r="A51" s="71" t="str">
        <f>Aktīvi!A52</f>
        <v>Kopā saistības</v>
      </c>
      <c r="B51" s="81">
        <f>SUM(B48:B50)</f>
        <v>1865768</v>
      </c>
      <c r="C51" s="81">
        <f t="shared" ref="C51:D51" si="25">SUM(C48:C50)</f>
        <v>1413247</v>
      </c>
      <c r="D51" s="81">
        <f t="shared" si="25"/>
        <v>1377999</v>
      </c>
      <c r="E51" s="100">
        <f>SUM(E48:E50)</f>
        <v>1407542.2311341553</v>
      </c>
      <c r="F51" s="75">
        <f t="shared" ref="F51:G51" si="26">SUM(F48:F50)</f>
        <v>1407542.2311341553</v>
      </c>
      <c r="G51" s="76">
        <f t="shared" si="26"/>
        <v>1526670.759647168</v>
      </c>
      <c r="H51" s="69"/>
    </row>
    <row r="52" spans="1:8">
      <c r="A52" s="71" t="str">
        <f>Aktīvi!A53</f>
        <v>Pašu kapitāls</v>
      </c>
      <c r="B52" s="81"/>
      <c r="C52" s="81"/>
      <c r="D52" s="81"/>
      <c r="E52" s="97"/>
      <c r="F52" s="73"/>
      <c r="G52" s="74"/>
      <c r="H52" s="69"/>
    </row>
    <row r="53" spans="1:8">
      <c r="A53" s="72" t="str">
        <f>Aktīvi!A54</f>
        <v>Akciju kapitāls</v>
      </c>
      <c r="B53" s="79">
        <f>Aktīvi!B54</f>
        <v>4397978</v>
      </c>
      <c r="C53" s="79">
        <f>Aktīvi!C54</f>
        <v>4397978</v>
      </c>
      <c r="D53" s="79">
        <f>Aktīvi!D54</f>
        <v>4397978</v>
      </c>
      <c r="E53" s="97">
        <f>D53</f>
        <v>4397978</v>
      </c>
      <c r="F53" s="73">
        <f t="shared" ref="F53:G53" si="27">E53</f>
        <v>4397978</v>
      </c>
      <c r="G53" s="74">
        <f t="shared" si="27"/>
        <v>4397978</v>
      </c>
      <c r="H53" s="96" t="s">
        <v>167</v>
      </c>
    </row>
    <row r="54" spans="1:8">
      <c r="A54" s="72" t="str">
        <f>Aktīvi!A55</f>
        <v>Nesadalītā peļņa</v>
      </c>
      <c r="B54" s="79">
        <f>Aktīvi!B55</f>
        <v>2854622</v>
      </c>
      <c r="C54" s="79">
        <f>Aktīvi!C55</f>
        <v>4034129</v>
      </c>
      <c r="D54" s="79">
        <f>Aktīvi!D55</f>
        <v>5164618</v>
      </c>
      <c r="E54" s="97">
        <f>D54+E37+E20</f>
        <v>7011859.6804670896</v>
      </c>
      <c r="F54" s="73">
        <f>E54+F37+F20</f>
        <v>10444628.96222548</v>
      </c>
      <c r="G54" s="74">
        <f t="shared" ref="G54" si="28">F54+G37+G20</f>
        <v>14710634.909819465</v>
      </c>
      <c r="H54" s="69"/>
    </row>
    <row r="55" spans="1:8">
      <c r="A55" s="71" t="str">
        <f>Aktīvi!A56</f>
        <v>Pašu kapitāls</v>
      </c>
      <c r="B55" s="81">
        <f>Aktīvi!B56</f>
        <v>7252600</v>
      </c>
      <c r="C55" s="81">
        <f>Aktīvi!C56</f>
        <v>8432107</v>
      </c>
      <c r="D55" s="81">
        <f>Aktīvi!D56</f>
        <v>9562596</v>
      </c>
      <c r="E55" s="100">
        <f>SUM(E53:E54)</f>
        <v>11409837.68046709</v>
      </c>
      <c r="F55" s="75">
        <f>SUM(F53:F54)</f>
        <v>14842606.96222548</v>
      </c>
      <c r="G55" s="76">
        <f>SUM(G53:G54)</f>
        <v>19108612.909819465</v>
      </c>
      <c r="H55" s="69"/>
    </row>
    <row r="56" spans="1:8">
      <c r="A56" s="50" t="str">
        <f>Aktīvi!A57</f>
        <v>Kopā pasīvs</v>
      </c>
      <c r="B56" s="83">
        <f>Aktīvi!B57</f>
        <v>9118368</v>
      </c>
      <c r="C56" s="83">
        <f>Aktīvi!C57</f>
        <v>9845354</v>
      </c>
      <c r="D56" s="83">
        <f>Aktīvi!D57</f>
        <v>10940595</v>
      </c>
      <c r="E56" s="133">
        <f>E51+E55</f>
        <v>12817379.911601245</v>
      </c>
      <c r="F56" s="77">
        <f>F51+F55</f>
        <v>16250149.193359636</v>
      </c>
      <c r="G56" s="78">
        <f>G51+G55</f>
        <v>20635283.669466633</v>
      </c>
      <c r="H56" s="69"/>
    </row>
    <row r="57" spans="1:8">
      <c r="A57" s="139" t="s">
        <v>187</v>
      </c>
      <c r="B57" s="140">
        <f>B56-B46</f>
        <v>0</v>
      </c>
      <c r="C57" s="140">
        <f t="shared" ref="C57:G57" si="29">C56-C46</f>
        <v>0</v>
      </c>
      <c r="D57" s="140">
        <f t="shared" si="29"/>
        <v>0</v>
      </c>
      <c r="E57" s="140">
        <f t="shared" si="29"/>
        <v>0</v>
      </c>
      <c r="F57" s="140">
        <f t="shared" si="29"/>
        <v>0</v>
      </c>
      <c r="G57" s="140">
        <f t="shared" si="29"/>
        <v>0</v>
      </c>
    </row>
    <row r="58" spans="1:8">
      <c r="A58" s="3"/>
      <c r="B58" s="3"/>
      <c r="C58" s="73"/>
      <c r="D58" s="3"/>
      <c r="E58" s="3"/>
      <c r="F58" s="3"/>
    </row>
    <row r="59" spans="1:8">
      <c r="A59" s="130"/>
      <c r="B59" s="131"/>
      <c r="C59" s="131"/>
      <c r="D59" s="131"/>
      <c r="E59" s="131"/>
      <c r="F59" s="131"/>
      <c r="G59" s="132"/>
    </row>
    <row r="60" spans="1:8">
      <c r="A60" s="144" t="s">
        <v>148</v>
      </c>
      <c r="B60" s="134">
        <v>2017</v>
      </c>
      <c r="C60" s="135">
        <v>2018</v>
      </c>
      <c r="D60" s="146">
        <v>2019</v>
      </c>
      <c r="E60" s="137">
        <v>2020</v>
      </c>
      <c r="F60" s="137">
        <v>2021</v>
      </c>
      <c r="G60" s="138">
        <v>2022</v>
      </c>
    </row>
    <row r="61" spans="1:8">
      <c r="A61" s="105" t="s">
        <v>149</v>
      </c>
      <c r="B61" s="97"/>
      <c r="C61" s="73"/>
      <c r="D61" s="74"/>
      <c r="E61" s="73"/>
      <c r="F61" s="73"/>
      <c r="G61" s="74"/>
    </row>
    <row r="62" spans="1:8">
      <c r="A62" s="106" t="s">
        <v>129</v>
      </c>
      <c r="B62" s="97">
        <f>B42</f>
        <v>1062035</v>
      </c>
      <c r="C62" s="73">
        <f t="shared" ref="C62:G62" si="30">C42</f>
        <v>1147786</v>
      </c>
      <c r="D62" s="74">
        <f>D42</f>
        <v>1822315</v>
      </c>
      <c r="E62" s="73">
        <f t="shared" si="30"/>
        <v>2211420.9714788538</v>
      </c>
      <c r="F62" s="73">
        <f t="shared" si="30"/>
        <v>2683609.9758255174</v>
      </c>
      <c r="G62" s="74">
        <f t="shared" si="30"/>
        <v>3256622.1426100368</v>
      </c>
    </row>
    <row r="63" spans="1:8">
      <c r="A63" s="106" t="s">
        <v>130</v>
      </c>
      <c r="B63" s="97">
        <f>B43</f>
        <v>1629875</v>
      </c>
      <c r="C63" s="73">
        <f t="shared" ref="C63:G63" si="31">C43</f>
        <v>2090135</v>
      </c>
      <c r="D63" s="74">
        <f t="shared" si="31"/>
        <v>2880539</v>
      </c>
      <c r="E63" s="73">
        <f t="shared" si="31"/>
        <v>3385473.7851600009</v>
      </c>
      <c r="F63" s="73">
        <f t="shared" si="31"/>
        <v>3385473.7851600009</v>
      </c>
      <c r="G63" s="74">
        <f t="shared" si="31"/>
        <v>4108349.9432835276</v>
      </c>
    </row>
    <row r="64" spans="1:8">
      <c r="A64" s="106" t="s">
        <v>133</v>
      </c>
      <c r="B64" s="97">
        <f>B48</f>
        <v>542648</v>
      </c>
      <c r="C64" s="73">
        <f t="shared" ref="C64:D64" si="32">C48</f>
        <v>357641</v>
      </c>
      <c r="D64" s="74">
        <f t="shared" si="32"/>
        <v>474707</v>
      </c>
      <c r="E64" s="73">
        <f>E48</f>
        <v>557919.2311341553</v>
      </c>
      <c r="F64" s="73">
        <f t="shared" ref="F64:G64" si="33">F48</f>
        <v>557919.2311341553</v>
      </c>
      <c r="G64" s="74">
        <f t="shared" si="33"/>
        <v>677047.75964716799</v>
      </c>
    </row>
    <row r="65" spans="1:7">
      <c r="A65" s="107" t="s">
        <v>150</v>
      </c>
      <c r="B65" s="100">
        <f>SUM(B62:B64)</f>
        <v>3234558</v>
      </c>
      <c r="C65" s="75">
        <f>SUM(C62:C64)</f>
        <v>3595562</v>
      </c>
      <c r="D65" s="76">
        <f>SUM(D62:D64)</f>
        <v>5177561</v>
      </c>
      <c r="E65" s="75">
        <f>SUM(E62:E64)</f>
        <v>6154813.9877730105</v>
      </c>
      <c r="F65" s="75">
        <f t="shared" ref="F65" si="34">SUM(F62:F64)</f>
        <v>6627002.9921196736</v>
      </c>
      <c r="G65" s="76">
        <f t="shared" ref="G65" si="35">SUM(G62:G64)</f>
        <v>8042019.8455407321</v>
      </c>
    </row>
    <row r="66" spans="1:7">
      <c r="A66" s="106" t="s">
        <v>151</v>
      </c>
      <c r="B66" s="97" t="s">
        <v>12</v>
      </c>
      <c r="C66" s="73">
        <f>C65-B65</f>
        <v>361004</v>
      </c>
      <c r="D66" s="74">
        <f>D65-C65</f>
        <v>1581999</v>
      </c>
      <c r="E66" s="73">
        <f>E65-D65</f>
        <v>977252.98777301051</v>
      </c>
      <c r="F66" s="73">
        <f t="shared" ref="F66:G66" si="36">F65-E65</f>
        <v>472189.00434666313</v>
      </c>
      <c r="G66" s="74">
        <f t="shared" si="36"/>
        <v>1415016.8534210585</v>
      </c>
    </row>
    <row r="67" spans="1:7">
      <c r="A67" s="108" t="s">
        <v>152</v>
      </c>
      <c r="B67" s="97"/>
      <c r="C67" s="73"/>
      <c r="D67" s="74"/>
      <c r="E67" s="73"/>
      <c r="F67" s="73"/>
      <c r="G67" s="74"/>
    </row>
    <row r="68" spans="1:7">
      <c r="A68" s="109" t="s">
        <v>153</v>
      </c>
      <c r="B68" s="97" t="s">
        <v>12</v>
      </c>
      <c r="C68" s="73">
        <f>B71</f>
        <v>1658027</v>
      </c>
      <c r="D68" s="74">
        <f>C71</f>
        <v>2055808</v>
      </c>
      <c r="E68" s="73">
        <f>D71</f>
        <v>2235831</v>
      </c>
      <c r="F68" s="73">
        <f t="shared" ref="F68:G68" si="37">E71</f>
        <v>2362738.9275642475</v>
      </c>
      <c r="G68" s="74">
        <f t="shared" si="37"/>
        <v>2452203.1742363516</v>
      </c>
    </row>
    <row r="69" spans="1:7">
      <c r="A69" s="109" t="s">
        <v>154</v>
      </c>
      <c r="B69" s="97" t="str">
        <f t="shared" ref="B69:G69" si="38">B18</f>
        <v>-</v>
      </c>
      <c r="C69" s="73">
        <f>C18</f>
        <v>853364</v>
      </c>
      <c r="D69" s="74">
        <f t="shared" si="38"/>
        <v>786581</v>
      </c>
      <c r="E69" s="73">
        <f t="shared" si="38"/>
        <v>786581</v>
      </c>
      <c r="F69" s="73">
        <f t="shared" si="38"/>
        <v>786581</v>
      </c>
      <c r="G69" s="74">
        <f t="shared" si="38"/>
        <v>786581</v>
      </c>
    </row>
    <row r="70" spans="1:7">
      <c r="A70" s="109" t="s">
        <v>155</v>
      </c>
      <c r="B70" s="97">
        <f>'Naudas plūsma'!B5</f>
        <v>411517</v>
      </c>
      <c r="C70" s="73">
        <f>'Naudas plūsma'!C5</f>
        <v>455583</v>
      </c>
      <c r="D70" s="74">
        <f>'Naudas plūsma'!D5</f>
        <v>606558</v>
      </c>
      <c r="E70" s="73">
        <f>E68*E9</f>
        <v>659673.07243575272</v>
      </c>
      <c r="F70" s="73">
        <f>F68*F9</f>
        <v>697116.75332789577</v>
      </c>
      <c r="G70" s="74">
        <f>G68*G9</f>
        <v>723512.82462100207</v>
      </c>
    </row>
    <row r="71" spans="1:7">
      <c r="A71" s="109" t="s">
        <v>156</v>
      </c>
      <c r="B71" s="97">
        <f>Aktīvi!B15</f>
        <v>1658027</v>
      </c>
      <c r="C71" s="73">
        <f>Aktīvi!C15</f>
        <v>2055808</v>
      </c>
      <c r="D71" s="74">
        <f>Aktīvi!D15</f>
        <v>2235831</v>
      </c>
      <c r="E71" s="73">
        <f>E68+E69-E70</f>
        <v>2362738.9275642475</v>
      </c>
      <c r="F71" s="73">
        <f t="shared" ref="F71:G71" si="39">F68+F69-F70</f>
        <v>2452203.1742363516</v>
      </c>
      <c r="G71" s="74">
        <f t="shared" si="39"/>
        <v>2515271.3496153494</v>
      </c>
    </row>
    <row r="72" spans="1:7">
      <c r="A72" s="72"/>
      <c r="B72" s="97"/>
      <c r="C72" s="73"/>
      <c r="D72" s="74"/>
      <c r="E72" s="73"/>
      <c r="F72" s="73"/>
      <c r="G72" s="74"/>
    </row>
    <row r="73" spans="1:7">
      <c r="A73" s="108" t="s">
        <v>157</v>
      </c>
      <c r="B73" s="97"/>
      <c r="C73" s="73"/>
      <c r="D73" s="74"/>
      <c r="E73" s="73"/>
      <c r="F73" s="73"/>
      <c r="G73" s="74"/>
    </row>
    <row r="74" spans="1:7">
      <c r="A74" s="109" t="s">
        <v>158</v>
      </c>
      <c r="B74" s="97" t="s">
        <v>12</v>
      </c>
      <c r="C74" s="73">
        <f>B76</f>
        <v>379528</v>
      </c>
      <c r="D74" s="74">
        <f>C76</f>
        <v>244383</v>
      </c>
      <c r="E74" s="73">
        <f>D76</f>
        <v>109238</v>
      </c>
      <c r="F74" s="73">
        <f t="shared" ref="F74:G74" si="40">E76</f>
        <v>0</v>
      </c>
      <c r="G74" s="74">
        <f t="shared" si="40"/>
        <v>0</v>
      </c>
    </row>
    <row r="75" spans="1:7">
      <c r="A75" s="109" t="s">
        <v>159</v>
      </c>
      <c r="B75" s="97">
        <f>B19</f>
        <v>-135145</v>
      </c>
      <c r="C75" s="73">
        <f>C19</f>
        <v>-135145</v>
      </c>
      <c r="D75" s="74">
        <f>D19</f>
        <v>-135145</v>
      </c>
      <c r="E75" s="73">
        <f>-E74</f>
        <v>-109238</v>
      </c>
      <c r="F75" s="73">
        <f t="shared" ref="F75:G75" si="41">-F74</f>
        <v>0</v>
      </c>
      <c r="G75" s="74">
        <f t="shared" si="41"/>
        <v>0</v>
      </c>
    </row>
    <row r="76" spans="1:7">
      <c r="A76" s="110" t="s">
        <v>160</v>
      </c>
      <c r="B76" s="100">
        <f>B49</f>
        <v>379528</v>
      </c>
      <c r="C76" s="75">
        <f t="shared" ref="C76" si="42">C49</f>
        <v>244383</v>
      </c>
      <c r="D76" s="76">
        <f>D49</f>
        <v>109238</v>
      </c>
      <c r="E76" s="75">
        <f>SUM(E74:E75)</f>
        <v>0</v>
      </c>
      <c r="F76" s="75">
        <f t="shared" ref="F76:G76" si="43">SUM(F74:F75)</f>
        <v>0</v>
      </c>
      <c r="G76" s="76">
        <f t="shared" si="43"/>
        <v>0</v>
      </c>
    </row>
    <row r="77" spans="1:7">
      <c r="A77" s="111" t="s">
        <v>161</v>
      </c>
      <c r="B77" s="147">
        <f>B33</f>
        <v>-27438</v>
      </c>
      <c r="C77" s="98">
        <f>C33</f>
        <v>-22002</v>
      </c>
      <c r="D77" s="99">
        <f>D33</f>
        <v>-18542</v>
      </c>
      <c r="E77" s="98">
        <f>(E74+E76)/2*E10</f>
        <v>-18542</v>
      </c>
      <c r="F77" s="98" t="s">
        <v>12</v>
      </c>
      <c r="G77" s="99" t="s">
        <v>12</v>
      </c>
    </row>
    <row r="79" spans="1:7">
      <c r="A79" s="145" t="s">
        <v>170</v>
      </c>
      <c r="B79" s="134">
        <v>2017</v>
      </c>
      <c r="C79" s="135">
        <v>2018</v>
      </c>
      <c r="D79" s="146">
        <v>2019</v>
      </c>
      <c r="E79" s="137">
        <v>2020</v>
      </c>
      <c r="F79" s="137">
        <v>2021</v>
      </c>
      <c r="G79" s="138">
        <v>2022</v>
      </c>
    </row>
    <row r="80" spans="1:7">
      <c r="A80" s="110" t="s">
        <v>171</v>
      </c>
      <c r="B80" s="72"/>
      <c r="C80" s="3"/>
      <c r="D80" s="141"/>
      <c r="E80" s="3"/>
      <c r="F80" s="3"/>
      <c r="G80" s="141"/>
    </row>
    <row r="81" spans="1:9">
      <c r="A81" s="110" t="s">
        <v>181</v>
      </c>
      <c r="B81" s="97">
        <f>B37</f>
        <v>1246097</v>
      </c>
      <c r="C81" s="73">
        <f t="shared" ref="C81:F81" si="44">C37</f>
        <v>1495710</v>
      </c>
      <c r="D81" s="74">
        <f t="shared" si="44"/>
        <v>1579918</v>
      </c>
      <c r="E81" s="73">
        <f>E37</f>
        <v>2847241.6804670896</v>
      </c>
      <c r="F81" s="73">
        <f t="shared" si="44"/>
        <v>4432769.2817583904</v>
      </c>
      <c r="G81" s="74">
        <f>G37</f>
        <v>5266005.9475939861</v>
      </c>
    </row>
    <row r="82" spans="1:9">
      <c r="A82" s="109" t="s">
        <v>172</v>
      </c>
      <c r="B82" s="97">
        <f>B70</f>
        <v>411517</v>
      </c>
      <c r="C82" s="73">
        <f t="shared" ref="C82:G82" si="45">C70</f>
        <v>455583</v>
      </c>
      <c r="D82" s="74">
        <f t="shared" si="45"/>
        <v>606558</v>
      </c>
      <c r="E82" s="73">
        <f t="shared" si="45"/>
        <v>659673.07243575272</v>
      </c>
      <c r="F82" s="73">
        <f t="shared" si="45"/>
        <v>697116.75332789577</v>
      </c>
      <c r="G82" s="74">
        <f t="shared" si="45"/>
        <v>723512.82462100207</v>
      </c>
    </row>
    <row r="83" spans="1:9">
      <c r="A83" s="109" t="s">
        <v>173</v>
      </c>
      <c r="B83" s="97" t="str">
        <f>B66</f>
        <v>-</v>
      </c>
      <c r="C83" s="73">
        <f>C66</f>
        <v>361004</v>
      </c>
      <c r="D83" s="74">
        <f t="shared" ref="D83:G83" si="46">D66</f>
        <v>1581999</v>
      </c>
      <c r="E83" s="73">
        <f>E66</f>
        <v>977252.98777301051</v>
      </c>
      <c r="F83" s="73">
        <f t="shared" si="46"/>
        <v>472189.00434666313</v>
      </c>
      <c r="G83" s="74">
        <f t="shared" si="46"/>
        <v>1415016.8534210585</v>
      </c>
    </row>
    <row r="84" spans="1:9">
      <c r="A84" s="110" t="s">
        <v>174</v>
      </c>
      <c r="B84" s="100">
        <f>B81+B82</f>
        <v>1657614</v>
      </c>
      <c r="C84" s="75">
        <f>C81+C82-C83</f>
        <v>1590289</v>
      </c>
      <c r="D84" s="76">
        <f t="shared" ref="D84:E84" si="47">D81+D82-D83</f>
        <v>604477</v>
      </c>
      <c r="E84" s="75">
        <f t="shared" si="47"/>
        <v>2529661.7651298316</v>
      </c>
      <c r="F84" s="75">
        <f>F81+F82-F83</f>
        <v>4657697.0307396231</v>
      </c>
      <c r="G84" s="76">
        <f>G81+G82-G83</f>
        <v>4574501.9187939297</v>
      </c>
    </row>
    <row r="85" spans="1:9">
      <c r="A85" s="72"/>
      <c r="B85" s="72"/>
      <c r="C85" s="3"/>
      <c r="D85" s="141"/>
      <c r="E85" s="3"/>
      <c r="F85" s="3"/>
      <c r="G85" s="141"/>
    </row>
    <row r="86" spans="1:9">
      <c r="A86" s="110" t="s">
        <v>168</v>
      </c>
      <c r="B86" s="72"/>
      <c r="C86" s="3"/>
      <c r="D86" s="141"/>
      <c r="E86" s="3"/>
      <c r="F86" s="3"/>
      <c r="G86" s="141"/>
    </row>
    <row r="87" spans="1:9">
      <c r="A87" s="109" t="s">
        <v>175</v>
      </c>
      <c r="B87" s="97" t="str">
        <f>B69</f>
        <v>-</v>
      </c>
      <c r="C87" s="73">
        <f t="shared" ref="C87:G87" si="48">C69</f>
        <v>853364</v>
      </c>
      <c r="D87" s="74">
        <f t="shared" si="48"/>
        <v>786581</v>
      </c>
      <c r="E87" s="73">
        <f t="shared" si="48"/>
        <v>786581</v>
      </c>
      <c r="F87" s="73">
        <f>F69</f>
        <v>786581</v>
      </c>
      <c r="G87" s="74">
        <f t="shared" si="48"/>
        <v>786581</v>
      </c>
    </row>
    <row r="88" spans="1:9">
      <c r="A88" s="110" t="s">
        <v>168</v>
      </c>
      <c r="B88" s="100" t="s">
        <v>12</v>
      </c>
      <c r="C88" s="75">
        <f t="shared" ref="C88:G88" si="49">SUM(C87)</f>
        <v>853364</v>
      </c>
      <c r="D88" s="76">
        <f t="shared" si="49"/>
        <v>786581</v>
      </c>
      <c r="E88" s="75">
        <f t="shared" si="49"/>
        <v>786581</v>
      </c>
      <c r="F88" s="75">
        <f t="shared" si="49"/>
        <v>786581</v>
      </c>
      <c r="G88" s="76">
        <f t="shared" si="49"/>
        <v>786581</v>
      </c>
    </row>
    <row r="89" spans="1:9">
      <c r="A89" s="72"/>
      <c r="B89" s="72"/>
      <c r="C89" s="3"/>
      <c r="D89" s="141"/>
      <c r="E89" s="3"/>
      <c r="F89" s="3"/>
      <c r="G89" s="141"/>
    </row>
    <row r="90" spans="1:9">
      <c r="A90" s="110" t="s">
        <v>169</v>
      </c>
      <c r="B90" s="72"/>
      <c r="C90" s="3"/>
      <c r="D90" s="141"/>
      <c r="E90" s="3"/>
      <c r="F90" s="3"/>
      <c r="G90" s="141"/>
    </row>
    <row r="91" spans="1:9">
      <c r="A91" s="109" t="s">
        <v>176</v>
      </c>
      <c r="B91" s="97">
        <f>B75</f>
        <v>-135145</v>
      </c>
      <c r="C91" s="73">
        <f t="shared" ref="C91:G91" si="50">C75</f>
        <v>-135145</v>
      </c>
      <c r="D91" s="74">
        <f t="shared" si="50"/>
        <v>-135145</v>
      </c>
      <c r="E91" s="73">
        <f>E75</f>
        <v>-109238</v>
      </c>
      <c r="F91" s="73">
        <f>F75</f>
        <v>0</v>
      </c>
      <c r="G91" s="74">
        <f t="shared" si="50"/>
        <v>0</v>
      </c>
    </row>
    <row r="92" spans="1:9">
      <c r="A92" s="109" t="s">
        <v>177</v>
      </c>
      <c r="B92" s="97">
        <f>B20</f>
        <v>-200000</v>
      </c>
      <c r="C92" s="73">
        <f t="shared" ref="C92:G92" si="51">C20</f>
        <v>-337072</v>
      </c>
      <c r="D92" s="74">
        <f t="shared" si="51"/>
        <v>-449429</v>
      </c>
      <c r="E92" s="73">
        <f>E20</f>
        <v>-1000000</v>
      </c>
      <c r="F92" s="73">
        <f t="shared" si="51"/>
        <v>-1000000</v>
      </c>
      <c r="G92" s="74">
        <f t="shared" si="51"/>
        <v>-1000000</v>
      </c>
    </row>
    <row r="93" spans="1:9">
      <c r="A93" s="110" t="s">
        <v>169</v>
      </c>
      <c r="B93" s="100">
        <f>SUM(B91:B92)</f>
        <v>-335145</v>
      </c>
      <c r="C93" s="75">
        <f t="shared" ref="C93:G93" si="52">SUM(C91:C92)</f>
        <v>-472217</v>
      </c>
      <c r="D93" s="76">
        <f t="shared" si="52"/>
        <v>-584574</v>
      </c>
      <c r="E93" s="75">
        <f t="shared" si="52"/>
        <v>-1109238</v>
      </c>
      <c r="F93" s="75">
        <f t="shared" si="52"/>
        <v>-1000000</v>
      </c>
      <c r="G93" s="76">
        <f t="shared" si="52"/>
        <v>-1000000</v>
      </c>
    </row>
    <row r="94" spans="1:9">
      <c r="A94" s="72"/>
      <c r="B94" s="72"/>
      <c r="C94" s="3"/>
      <c r="D94" s="141"/>
      <c r="E94" s="3"/>
      <c r="F94" s="3"/>
      <c r="G94" s="141"/>
    </row>
    <row r="95" spans="1:9">
      <c r="A95" s="109" t="s">
        <v>178</v>
      </c>
      <c r="B95" s="97">
        <f>B97-B96</f>
        <v>3506707</v>
      </c>
      <c r="C95" s="73">
        <f t="shared" ref="C95" si="53">C97-C96</f>
        <v>-660589</v>
      </c>
      <c r="D95" s="74">
        <f>D97-D96</f>
        <v>-1096372</v>
      </c>
      <c r="E95" s="73">
        <f>E84-E88+(E93)</f>
        <v>633842.76512983162</v>
      </c>
      <c r="F95" s="73">
        <f>F84-F88+(F93)</f>
        <v>2871116.0307396231</v>
      </c>
      <c r="G95" s="74">
        <f>G84-G88+(G93)</f>
        <v>2787920.9187939297</v>
      </c>
    </row>
    <row r="96" spans="1:9">
      <c r="A96" s="109" t="s">
        <v>179</v>
      </c>
      <c r="B96" s="97">
        <f>'Naudas plūsma'!B35</f>
        <v>579638</v>
      </c>
      <c r="C96" s="73">
        <f>'Naudas plūsma'!C35</f>
        <v>4086345</v>
      </c>
      <c r="D96" s="74">
        <f>'Naudas plūsma'!D35</f>
        <v>3425756</v>
      </c>
      <c r="E96" s="142">
        <f>D97</f>
        <v>2329384</v>
      </c>
      <c r="F96" s="73">
        <f>E97</f>
        <v>3907746.2273981422</v>
      </c>
      <c r="G96" s="74">
        <f>F97</f>
        <v>6778862.2581377663</v>
      </c>
      <c r="I96" s="69"/>
    </row>
    <row r="97" spans="1:7">
      <c r="A97" s="143" t="s">
        <v>180</v>
      </c>
      <c r="B97" s="133">
        <f>'Naudas plūsma'!B36</f>
        <v>4086345</v>
      </c>
      <c r="C97" s="77">
        <f>'Naudas plūsma'!C36</f>
        <v>3425756</v>
      </c>
      <c r="D97" s="148">
        <f>'Naudas plūsma'!D36</f>
        <v>2329384</v>
      </c>
      <c r="E97" s="77">
        <f>E41</f>
        <v>3907746.2273981422</v>
      </c>
      <c r="F97" s="77">
        <f>F41</f>
        <v>6778862.2581377663</v>
      </c>
      <c r="G97" s="78">
        <f>G41</f>
        <v>9805040.2339577191</v>
      </c>
    </row>
    <row r="133" spans="1:8" ht="19">
      <c r="A133" s="267" t="s">
        <v>188</v>
      </c>
      <c r="B133" s="267"/>
      <c r="C133" s="267"/>
      <c r="D133" s="267"/>
      <c r="E133" s="267"/>
      <c r="F133" s="267"/>
      <c r="G133" s="267"/>
      <c r="H133" s="267"/>
    </row>
    <row r="135" spans="1:8">
      <c r="A135" s="259" t="s">
        <v>189</v>
      </c>
      <c r="B135" s="259"/>
      <c r="C135" s="259"/>
      <c r="D135" s="259"/>
      <c r="E135" s="259"/>
      <c r="F135" s="259"/>
      <c r="G135" s="259"/>
      <c r="H135" s="259"/>
    </row>
    <row r="136" spans="1:8">
      <c r="A136" s="259"/>
      <c r="B136" s="259"/>
      <c r="C136" s="259"/>
      <c r="D136" s="259"/>
      <c r="E136" s="259"/>
      <c r="F136" s="259"/>
      <c r="G136" s="259"/>
      <c r="H136" s="259"/>
    </row>
    <row r="137" spans="1:8">
      <c r="A137" s="259"/>
      <c r="B137" s="259"/>
      <c r="C137" s="259"/>
      <c r="D137" s="259"/>
      <c r="E137" s="259"/>
      <c r="F137" s="259"/>
      <c r="G137" s="259"/>
      <c r="H137" s="259"/>
    </row>
    <row r="138" spans="1:8">
      <c r="A138" s="259"/>
      <c r="B138" s="259"/>
      <c r="C138" s="259"/>
      <c r="D138" s="259"/>
      <c r="E138" s="259"/>
      <c r="F138" s="259"/>
      <c r="G138" s="259"/>
      <c r="H138" s="259"/>
    </row>
    <row r="139" spans="1:8">
      <c r="A139" s="259"/>
      <c r="B139" s="259"/>
      <c r="C139" s="259"/>
      <c r="D139" s="259"/>
      <c r="E139" s="259"/>
      <c r="F139" s="259"/>
      <c r="G139" s="259"/>
      <c r="H139" s="259"/>
    </row>
    <row r="140" spans="1:8">
      <c r="A140" s="259"/>
      <c r="B140" s="259"/>
      <c r="C140" s="259"/>
      <c r="D140" s="259"/>
      <c r="E140" s="259"/>
      <c r="F140" s="259"/>
      <c r="G140" s="259"/>
      <c r="H140" s="259"/>
    </row>
  </sheetData>
  <mergeCells count="6">
    <mergeCell ref="A135:H140"/>
    <mergeCell ref="A12:G13"/>
    <mergeCell ref="A21:G22"/>
    <mergeCell ref="B1:D1"/>
    <mergeCell ref="E1:G1"/>
    <mergeCell ref="A133:H133"/>
  </mergeCells>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7D961-EF15-7642-9847-D21DC445F16F}">
  <dimension ref="A1:P145"/>
  <sheetViews>
    <sheetView zoomScaleNormal="100" workbookViewId="0">
      <selection activeCell="A39" sqref="A39"/>
    </sheetView>
  </sheetViews>
  <sheetFormatPr baseColWidth="10" defaultRowHeight="15"/>
  <cols>
    <col min="1" max="1" width="39.5" customWidth="1"/>
    <col min="2" max="2" width="21.1640625" bestFit="1" customWidth="1"/>
    <col min="3" max="3" width="16.6640625" customWidth="1"/>
    <col min="4" max="4" width="18.6640625" bestFit="1" customWidth="1"/>
    <col min="5" max="5" width="17.5" bestFit="1" customWidth="1"/>
    <col min="6" max="6" width="14.1640625" bestFit="1" customWidth="1"/>
    <col min="7" max="7" width="11.6640625" customWidth="1"/>
    <col min="8" max="8" width="21.1640625" bestFit="1" customWidth="1"/>
    <col min="9" max="9" width="13" bestFit="1" customWidth="1"/>
  </cols>
  <sheetData>
    <row r="1" spans="1:9">
      <c r="A1" s="159" t="s">
        <v>198</v>
      </c>
    </row>
    <row r="2" spans="1:9">
      <c r="A2" s="160" t="s">
        <v>190</v>
      </c>
      <c r="B2" s="160" t="s">
        <v>0</v>
      </c>
      <c r="C2" s="160" t="s">
        <v>192</v>
      </c>
      <c r="D2" s="160" t="s">
        <v>194</v>
      </c>
      <c r="E2" s="160" t="s">
        <v>193</v>
      </c>
      <c r="G2" s="187" t="s">
        <v>222</v>
      </c>
      <c r="H2" s="188" cm="1">
        <f t="array" ref="H2:I6">LINEST(B4:B6,D4:D6,TRUE,TRUE)</f>
        <v>27613.880419331905</v>
      </c>
      <c r="I2" s="188">
        <v>-18182164.513503902</v>
      </c>
    </row>
    <row r="3" spans="1:9">
      <c r="A3" s="160">
        <v>2016</v>
      </c>
      <c r="B3" s="151">
        <v>5861571</v>
      </c>
      <c r="C3" s="152" t="s">
        <v>12</v>
      </c>
      <c r="D3" s="149">
        <v>859</v>
      </c>
      <c r="E3" s="153" t="s">
        <v>12</v>
      </c>
      <c r="G3" s="189" t="s">
        <v>221</v>
      </c>
      <c r="H3" s="188">
        <v>328.20547042989426</v>
      </c>
      <c r="I3" s="188">
        <v>329475.79284668085</v>
      </c>
    </row>
    <row r="4" spans="1:9" ht="17">
      <c r="A4" s="160">
        <v>2017</v>
      </c>
      <c r="B4" s="151">
        <v>7401932</v>
      </c>
      <c r="C4" s="156">
        <f>B4/B3-1</f>
        <v>0.26278978792545549</v>
      </c>
      <c r="D4" s="149">
        <v>926</v>
      </c>
      <c r="E4" s="157">
        <f>D4/D3-1</f>
        <v>7.7997671711292238E-2</v>
      </c>
      <c r="G4" s="189" t="s">
        <v>225</v>
      </c>
      <c r="H4" s="188">
        <v>0.99985875424490367</v>
      </c>
      <c r="I4" s="188">
        <v>34820.728879665025</v>
      </c>
    </row>
    <row r="5" spans="1:9">
      <c r="A5" s="160">
        <v>2018</v>
      </c>
      <c r="B5" s="151">
        <v>9513748</v>
      </c>
      <c r="C5" s="156">
        <f>B5/B4-1</f>
        <v>0.28530605252790764</v>
      </c>
      <c r="D5" s="149">
        <v>1004</v>
      </c>
      <c r="E5" s="157">
        <f>D5/D4-1</f>
        <v>8.4233261339092813E-2</v>
      </c>
      <c r="G5" s="189" t="s">
        <v>223</v>
      </c>
      <c r="H5" s="188">
        <v>7078.8587845572802</v>
      </c>
      <c r="I5" s="188">
        <v>1</v>
      </c>
    </row>
    <row r="6" spans="1:9">
      <c r="A6" s="160">
        <v>2019</v>
      </c>
      <c r="B6" s="151">
        <v>11545151</v>
      </c>
      <c r="C6" s="156">
        <f>B6/B5-1</f>
        <v>0.2135228933959572</v>
      </c>
      <c r="D6" s="149">
        <v>1076</v>
      </c>
      <c r="E6" s="157">
        <f>D6/D5-1</f>
        <v>7.1713147410358502E-2</v>
      </c>
      <c r="G6" s="189" t="s">
        <v>224</v>
      </c>
      <c r="H6" s="188">
        <v>8582997066248.9551</v>
      </c>
      <c r="I6" s="188">
        <v>1212483159.7111378</v>
      </c>
    </row>
    <row r="7" spans="1:9" ht="15" customHeight="1">
      <c r="A7" s="154" t="s">
        <v>191</v>
      </c>
      <c r="B7" s="269">
        <f>CORREL(B4:B6,D4:D6)</f>
        <v>0.99992937462848019</v>
      </c>
      <c r="C7" s="270"/>
      <c r="D7" s="270"/>
      <c r="E7" s="271"/>
    </row>
    <row r="8" spans="1:9" ht="15" customHeight="1">
      <c r="A8" s="272" t="s">
        <v>197</v>
      </c>
      <c r="B8" s="272"/>
      <c r="C8" s="272"/>
      <c r="D8" s="272"/>
      <c r="E8" s="272"/>
    </row>
    <row r="9" spans="1:9">
      <c r="A9" s="273"/>
      <c r="B9" s="273"/>
      <c r="C9" s="273"/>
      <c r="D9" s="273"/>
      <c r="E9" s="273"/>
    </row>
    <row r="10" spans="1:9">
      <c r="A10" s="273"/>
      <c r="B10" s="273"/>
      <c r="C10" s="273"/>
      <c r="D10" s="273"/>
      <c r="E10" s="273"/>
    </row>
    <row r="11" spans="1:9">
      <c r="A11" s="273"/>
      <c r="B11" s="273"/>
      <c r="C11" s="273"/>
      <c r="D11" s="273"/>
      <c r="E11" s="273"/>
    </row>
    <row r="13" spans="1:9">
      <c r="A13" s="159" t="s">
        <v>218</v>
      </c>
    </row>
    <row r="14" spans="1:9">
      <c r="A14" s="155" t="s">
        <v>190</v>
      </c>
      <c r="B14" s="155" t="s">
        <v>217</v>
      </c>
      <c r="C14" s="149" t="s">
        <v>194</v>
      </c>
      <c r="D14" s="181" t="s">
        <v>0</v>
      </c>
    </row>
    <row r="15" spans="1:9">
      <c r="A15" s="149">
        <v>2020</v>
      </c>
      <c r="B15" s="156">
        <v>3.6999999999999998E-2</v>
      </c>
      <c r="C15" s="180">
        <f>D6*(1+B15)</f>
        <v>1115.8119999999999</v>
      </c>
      <c r="D15" s="182">
        <f>$C$37*C15+$C$38</f>
        <v>12629734.624951668</v>
      </c>
      <c r="E15" s="90">
        <f>D15/B6-1</f>
        <v>9.394278385372945E-2</v>
      </c>
    </row>
    <row r="16" spans="1:9">
      <c r="A16" s="149">
        <v>2021</v>
      </c>
      <c r="B16" s="156">
        <v>5.2999999999999999E-2</v>
      </c>
      <c r="C16" s="180">
        <f>C15*(1+B16)</f>
        <v>1174.9500359999997</v>
      </c>
      <c r="D16" s="182">
        <f t="shared" ref="D16:D17" si="0">$C$37*C16+$C$38</f>
        <v>14262765.279289808</v>
      </c>
      <c r="E16" s="90">
        <f>D16/D15-1</f>
        <v>0.12930047248276133</v>
      </c>
    </row>
    <row r="17" spans="1:14">
      <c r="A17" s="149">
        <v>2022</v>
      </c>
      <c r="B17" s="156">
        <v>5.0999999999999997E-2</v>
      </c>
      <c r="C17" s="180">
        <f>C16*(1+B17)</f>
        <v>1234.8724878359997</v>
      </c>
      <c r="D17" s="182">
        <f t="shared" si="0"/>
        <v>15917456.698722288</v>
      </c>
      <c r="E17" s="90">
        <f>D17/D16-1</f>
        <v>0.11601476901784036</v>
      </c>
    </row>
    <row r="19" spans="1:14" s="179" customFormat="1">
      <c r="A19"/>
      <c r="B19"/>
      <c r="C19"/>
      <c r="D19"/>
      <c r="E19"/>
      <c r="F19"/>
      <c r="G19"/>
      <c r="H19"/>
      <c r="I19"/>
      <c r="J19"/>
      <c r="K19"/>
      <c r="L19"/>
      <c r="M19"/>
      <c r="N19"/>
    </row>
    <row r="36" spans="1:9">
      <c r="A36" s="159" t="s">
        <v>199</v>
      </c>
    </row>
    <row r="37" spans="1:9">
      <c r="A37" s="158" t="s">
        <v>195</v>
      </c>
      <c r="B37" s="150">
        <f>SLOPE(C4:C6,E4:E6)</f>
        <v>5.7361814209325583</v>
      </c>
      <c r="C37" s="150">
        <f>SLOPE(B4:B6,D4:D6)</f>
        <v>27613.880419331912</v>
      </c>
      <c r="D37" t="s">
        <v>239</v>
      </c>
    </row>
    <row r="38" spans="1:9">
      <c r="A38" s="158" t="s">
        <v>196</v>
      </c>
      <c r="B38" s="150">
        <f>INTERCEPT(C4:C6,E4:E6)</f>
        <v>-0.19344231800891615</v>
      </c>
      <c r="C38" s="150">
        <f>INTERCEPT(B4:B6,D4:D6)</f>
        <v>-18182164.513503909</v>
      </c>
      <c r="D38" t="s">
        <v>240</v>
      </c>
    </row>
    <row r="39" spans="1:9">
      <c r="A39" t="s">
        <v>202</v>
      </c>
    </row>
    <row r="40" spans="1:9">
      <c r="A40" t="s">
        <v>203</v>
      </c>
    </row>
    <row r="41" spans="1:9">
      <c r="A41" t="s">
        <v>200</v>
      </c>
    </row>
    <row r="43" spans="1:9">
      <c r="A43" s="159" t="s">
        <v>201</v>
      </c>
    </row>
    <row r="44" spans="1:9">
      <c r="A44" s="274" t="s">
        <v>206</v>
      </c>
      <c r="B44" s="274"/>
      <c r="C44" s="274"/>
      <c r="D44" s="274"/>
      <c r="E44" s="274"/>
      <c r="F44" s="274"/>
      <c r="G44" s="274"/>
      <c r="H44" s="274"/>
      <c r="I44" s="274"/>
    </row>
    <row r="45" spans="1:9">
      <c r="A45" s="160" t="s">
        <v>190</v>
      </c>
      <c r="B45" s="160" t="s">
        <v>0</v>
      </c>
      <c r="C45" s="160" t="s">
        <v>192</v>
      </c>
      <c r="D45" s="160" t="s">
        <v>194</v>
      </c>
      <c r="E45" s="160" t="s">
        <v>193</v>
      </c>
      <c r="F45" s="161"/>
      <c r="G45" s="161"/>
      <c r="H45" s="161"/>
      <c r="I45" s="161"/>
    </row>
    <row r="46" spans="1:9">
      <c r="A46" s="160">
        <v>2016</v>
      </c>
      <c r="B46" s="151">
        <v>5861571</v>
      </c>
      <c r="C46" s="152" t="s">
        <v>12</v>
      </c>
      <c r="D46" s="149">
        <v>859</v>
      </c>
      <c r="E46" s="153" t="s">
        <v>12</v>
      </c>
      <c r="F46" s="161"/>
      <c r="G46" s="161"/>
      <c r="H46" s="161"/>
      <c r="I46" s="161"/>
    </row>
    <row r="47" spans="1:9">
      <c r="A47" s="160">
        <v>2017</v>
      </c>
      <c r="B47" s="151">
        <v>7401932</v>
      </c>
      <c r="C47" s="156">
        <f>B47/B46-1</f>
        <v>0.26278978792545549</v>
      </c>
      <c r="D47" s="149">
        <v>926</v>
      </c>
      <c r="E47" s="157">
        <f>D47/D46-1</f>
        <v>7.7997671711292238E-2</v>
      </c>
      <c r="F47" s="164">
        <f>$B$38+$B$37*E47</f>
        <v>0.25396647733739536</v>
      </c>
      <c r="G47" s="164">
        <f>C47-F47</f>
        <v>8.8233105880601292E-3</v>
      </c>
      <c r="H47" s="165">
        <f>(C47-F47)^2</f>
        <v>7.7850809733373988E-5</v>
      </c>
      <c r="I47" s="166">
        <f>(F47-C50)^2</f>
        <v>8.7546065151303212E-9</v>
      </c>
    </row>
    <row r="48" spans="1:9">
      <c r="A48" s="160">
        <v>2018</v>
      </c>
      <c r="B48" s="151">
        <v>9513748</v>
      </c>
      <c r="C48" s="156">
        <f>B48/B47-1</f>
        <v>0.28530605252790764</v>
      </c>
      <c r="D48" s="149">
        <v>1004</v>
      </c>
      <c r="E48" s="157">
        <f>D48/D47-1</f>
        <v>8.4233261339092813E-2</v>
      </c>
      <c r="F48" s="164">
        <f t="shared" ref="F48:F49" si="1">$B$38+$B$37*E48</f>
        <v>0.28973495070894478</v>
      </c>
      <c r="G48" s="164">
        <f t="shared" ref="G48:G49" si="2">C48-F48</f>
        <v>-4.4288981810371442E-3</v>
      </c>
      <c r="H48" s="165">
        <f t="shared" ref="H48:H49" si="3">(C48-F48)^2</f>
        <v>1.9615139097994124E-5</v>
      </c>
      <c r="I48" s="166">
        <f>(F48-C50)^2</f>
        <v>1.2860858717803584E-3</v>
      </c>
    </row>
    <row r="49" spans="1:9">
      <c r="A49" s="160">
        <v>2019</v>
      </c>
      <c r="B49" s="151">
        <v>11545151</v>
      </c>
      <c r="C49" s="156">
        <f>B49/B48-1</f>
        <v>0.2135228933959572</v>
      </c>
      <c r="D49" s="149">
        <v>1076</v>
      </c>
      <c r="E49" s="157">
        <f>D49/D48-1</f>
        <v>7.1713147410358502E-2</v>
      </c>
      <c r="F49" s="164">
        <f t="shared" si="1"/>
        <v>0.21791730580298008</v>
      </c>
      <c r="G49" s="164">
        <f t="shared" si="2"/>
        <v>-4.3944124070228741E-3</v>
      </c>
      <c r="H49" s="165">
        <f t="shared" si="3"/>
        <v>1.9310860402996571E-5</v>
      </c>
      <c r="I49" s="166">
        <f>(F49-C50)^2</f>
        <v>1.2928055654425185E-3</v>
      </c>
    </row>
    <row r="50" spans="1:9">
      <c r="B50" s="149" t="s">
        <v>204</v>
      </c>
      <c r="C50" s="167">
        <f>AVERAGE(C47:C49)</f>
        <v>0.25387291128310679</v>
      </c>
      <c r="G50" s="149" t="s">
        <v>205</v>
      </c>
      <c r="H50" s="168">
        <f>SUM(H47:H49)</f>
        <v>1.1677680923436468E-4</v>
      </c>
      <c r="I50" s="168">
        <f>SUM(I47:I49)</f>
        <v>2.5789001918293921E-3</v>
      </c>
    </row>
    <row r="51" spans="1:9" ht="16" thickBot="1"/>
    <row r="52" spans="1:9" ht="18" thickBot="1">
      <c r="A52" s="169" t="s">
        <v>207</v>
      </c>
      <c r="B52" s="170">
        <f>0.258/(0.258+0.012)</f>
        <v>0.95555555555555549</v>
      </c>
    </row>
    <row r="53" spans="1:9">
      <c r="A53" t="s">
        <v>208</v>
      </c>
    </row>
    <row r="55" spans="1:9">
      <c r="A55" s="171"/>
      <c r="B55" s="163">
        <f>SQRT(H50/(3-2))</f>
        <v>1.0806331904692022E-2</v>
      </c>
      <c r="C55" t="s">
        <v>212</v>
      </c>
    </row>
    <row r="56" spans="1:9" ht="16">
      <c r="A56" s="172" t="s">
        <v>209</v>
      </c>
      <c r="B56" s="161">
        <f>3-2</f>
        <v>1</v>
      </c>
    </row>
    <row r="57" spans="1:9">
      <c r="A57" s="149" t="s">
        <v>210</v>
      </c>
      <c r="B57" s="161">
        <f>_xlfn.T.INV(0.95,1)</f>
        <v>6.3137515146750376</v>
      </c>
    </row>
    <row r="58" spans="1:9">
      <c r="A58" s="161"/>
      <c r="B58" s="163">
        <f>B55*B57</f>
        <v>6.822849443133043E-2</v>
      </c>
      <c r="C58" t="s">
        <v>211</v>
      </c>
    </row>
    <row r="59" spans="1:9">
      <c r="A59" s="3"/>
    </row>
    <row r="60" spans="1:9">
      <c r="A60" s="274" t="s">
        <v>213</v>
      </c>
      <c r="B60" s="274"/>
      <c r="C60" s="274"/>
      <c r="D60" s="274"/>
      <c r="E60" s="274"/>
      <c r="F60" s="274"/>
      <c r="G60" s="274"/>
      <c r="H60" s="274"/>
    </row>
    <row r="61" spans="1:9">
      <c r="A61" s="160" t="s">
        <v>190</v>
      </c>
      <c r="B61" s="160" t="s">
        <v>0</v>
      </c>
      <c r="C61" s="160" t="s">
        <v>192</v>
      </c>
      <c r="D61" s="160" t="s">
        <v>194</v>
      </c>
      <c r="E61" s="160" t="s">
        <v>193</v>
      </c>
      <c r="F61" s="175"/>
      <c r="G61" s="173"/>
      <c r="H61" s="177"/>
    </row>
    <row r="62" spans="1:9">
      <c r="A62" s="160">
        <v>2016</v>
      </c>
      <c r="B62" s="151">
        <v>5861571</v>
      </c>
      <c r="C62" s="152" t="s">
        <v>12</v>
      </c>
      <c r="D62" s="149">
        <v>859</v>
      </c>
      <c r="E62" s="153" t="s">
        <v>12</v>
      </c>
      <c r="F62" s="175"/>
      <c r="G62" s="173"/>
      <c r="H62" s="177"/>
    </row>
    <row r="63" spans="1:9">
      <c r="A63" s="160">
        <v>2017</v>
      </c>
      <c r="B63" s="151">
        <v>7401932</v>
      </c>
      <c r="C63" s="156">
        <f>B63/B62-1</f>
        <v>0.26278978792545549</v>
      </c>
      <c r="D63" s="149">
        <v>926</v>
      </c>
      <c r="E63" s="157">
        <f>D63/D62-1</f>
        <v>7.7997671711292238E-2</v>
      </c>
      <c r="F63" s="176">
        <f>F47</f>
        <v>0.25396647733739536</v>
      </c>
      <c r="G63" s="174">
        <f>F63-$B$58</f>
        <v>0.18573798290606491</v>
      </c>
      <c r="H63" s="178">
        <f>F63+$B$58</f>
        <v>0.3221949717687258</v>
      </c>
    </row>
    <row r="64" spans="1:9">
      <c r="A64" s="160">
        <v>2018</v>
      </c>
      <c r="B64" s="151">
        <v>9513748</v>
      </c>
      <c r="C64" s="156">
        <f>B64/B63-1</f>
        <v>0.28530605252790764</v>
      </c>
      <c r="D64" s="149">
        <v>1004</v>
      </c>
      <c r="E64" s="157">
        <f>D64/D63-1</f>
        <v>8.4233261339092813E-2</v>
      </c>
      <c r="F64" s="176">
        <f t="shared" ref="F64:F65" si="4">F48</f>
        <v>0.28973495070894478</v>
      </c>
      <c r="G64" s="174">
        <f t="shared" ref="G64:G65" si="5">F64-$B$58</f>
        <v>0.22150645627761434</v>
      </c>
      <c r="H64" s="178">
        <f t="shared" ref="H64:H65" si="6">F64+$B$58</f>
        <v>0.35796344514027523</v>
      </c>
    </row>
    <row r="65" spans="1:8">
      <c r="A65" s="160">
        <v>2019</v>
      </c>
      <c r="B65" s="151">
        <v>11545151</v>
      </c>
      <c r="C65" s="156">
        <f>B65/B64-1</f>
        <v>0.2135228933959572</v>
      </c>
      <c r="D65" s="149">
        <v>1076</v>
      </c>
      <c r="E65" s="157">
        <f>D65/D64-1</f>
        <v>7.1713147410358502E-2</v>
      </c>
      <c r="F65" s="176">
        <f t="shared" si="4"/>
        <v>0.21791730580298008</v>
      </c>
      <c r="G65" s="174">
        <f t="shared" si="5"/>
        <v>0.14968881137164963</v>
      </c>
      <c r="H65" s="178">
        <f t="shared" si="6"/>
        <v>0.28614580023431052</v>
      </c>
    </row>
    <row r="83" spans="1:16">
      <c r="A83" t="s">
        <v>237</v>
      </c>
    </row>
    <row r="85" spans="1:16">
      <c r="A85" s="161"/>
      <c r="B85" s="162">
        <f>(I50/1)/(H50/1)</f>
        <v>22.084009733933389</v>
      </c>
    </row>
    <row r="86" spans="1:16">
      <c r="A86" s="161"/>
      <c r="B86" s="162">
        <f>FINV(0.05,1,1)</f>
        <v>161.44763879758855</v>
      </c>
    </row>
    <row r="87" spans="1:16">
      <c r="A87" t="s">
        <v>214</v>
      </c>
    </row>
    <row r="89" spans="1:16">
      <c r="A89" s="161" t="s">
        <v>215</v>
      </c>
      <c r="B89" s="163">
        <f>FDIST(B85,1,1)</f>
        <v>0.13347844453937213</v>
      </c>
    </row>
    <row r="90" spans="1:16">
      <c r="A90" s="161" t="s">
        <v>216</v>
      </c>
      <c r="B90" s="161"/>
    </row>
    <row r="92" spans="1:16">
      <c r="A92" s="198" t="s">
        <v>140</v>
      </c>
      <c r="B92" s="134">
        <v>2017</v>
      </c>
      <c r="C92" s="135">
        <v>2018</v>
      </c>
      <c r="D92" s="146">
        <v>2019</v>
      </c>
      <c r="E92" s="137">
        <v>2020</v>
      </c>
      <c r="F92" s="137">
        <v>2021</v>
      </c>
      <c r="G92" s="138">
        <v>2022</v>
      </c>
    </row>
    <row r="93" spans="1:16">
      <c r="A93" s="199" t="s">
        <v>0</v>
      </c>
      <c r="B93" s="204">
        <v>7401932</v>
      </c>
      <c r="C93" s="191">
        <v>9513748</v>
      </c>
      <c r="D93" s="192">
        <v>11545151</v>
      </c>
      <c r="E93" s="191">
        <f>$C$37*C15+$C$38</f>
        <v>12629734.624951668</v>
      </c>
      <c r="F93" s="191">
        <f>$C$37*C16+$C$38</f>
        <v>14262765.279289808</v>
      </c>
      <c r="G93" s="192">
        <f>$C$37*C17+$C$38</f>
        <v>15917456.698722288</v>
      </c>
    </row>
    <row r="94" spans="1:16">
      <c r="A94" s="200" t="s">
        <v>145</v>
      </c>
      <c r="B94" s="97">
        <v>-2749547</v>
      </c>
      <c r="C94" s="73">
        <v>-3483800</v>
      </c>
      <c r="D94" s="74">
        <v>-4469341</v>
      </c>
      <c r="E94" s="73">
        <f>_xlfn.FORECAST.LINEAR(E92,$B$94:$D$94,$B$92:$D$92)</f>
        <v>-5287356.6666667461</v>
      </c>
      <c r="F94" s="73">
        <f t="shared" ref="F94:G94" si="7">_xlfn.FORECAST.LINEAR(F92,$B$94:$D$94,$B$92:$D$92)</f>
        <v>-6147253.6666667461</v>
      </c>
      <c r="G94" s="74">
        <f t="shared" si="7"/>
        <v>-7007150.6666667461</v>
      </c>
      <c r="H94" s="150" t="s">
        <v>219</v>
      </c>
      <c r="K94" s="186" t="s">
        <v>234</v>
      </c>
      <c r="L94" s="186"/>
      <c r="M94" s="186"/>
      <c r="N94" s="186"/>
      <c r="O94" s="186"/>
      <c r="P94" s="186"/>
    </row>
    <row r="95" spans="1:16">
      <c r="A95" s="201" t="s">
        <v>1</v>
      </c>
      <c r="B95" s="205">
        <v>4652385</v>
      </c>
      <c r="C95" s="193">
        <v>6029948</v>
      </c>
      <c r="D95" s="194">
        <v>7075810</v>
      </c>
      <c r="E95" s="193">
        <f>SUM(E93:E94)</f>
        <v>7342377.9582849219</v>
      </c>
      <c r="F95" s="193">
        <f t="shared" ref="F95:G95" si="8">SUM(F93:F94)</f>
        <v>8115511.612623062</v>
      </c>
      <c r="G95" s="194">
        <f t="shared" si="8"/>
        <v>8910306.0320555419</v>
      </c>
      <c r="K95" s="186" t="s">
        <v>230</v>
      </c>
      <c r="L95" s="186"/>
      <c r="M95" s="186"/>
      <c r="N95" s="186"/>
      <c r="O95" s="186"/>
      <c r="P95" s="186"/>
    </row>
    <row r="96" spans="1:16" ht="15" customHeight="1">
      <c r="A96" s="200" t="s">
        <v>2</v>
      </c>
      <c r="B96" s="97">
        <v>-2323617</v>
      </c>
      <c r="C96" s="73">
        <v>-3560833</v>
      </c>
      <c r="D96" s="74">
        <v>-4492535</v>
      </c>
      <c r="E96" s="73">
        <f>E93*$H$96</f>
        <v>-4914576.2444603145</v>
      </c>
      <c r="F96" s="73">
        <f t="shared" ref="F96:G96" si="9">F93*$H$96</f>
        <v>-5550033.2749215867</v>
      </c>
      <c r="G96" s="74">
        <f t="shared" si="9"/>
        <v>-6193919.1033529425</v>
      </c>
      <c r="H96" s="184">
        <f>D96/$D$93</f>
        <v>-0.38912743540556549</v>
      </c>
      <c r="I96" s="275" t="s">
        <v>220</v>
      </c>
      <c r="J96" s="185"/>
      <c r="K96" s="211" t="s">
        <v>228</v>
      </c>
      <c r="L96" s="212">
        <f>CORREL(B102:D102,B93:D93)</f>
        <v>0.94995662424535376</v>
      </c>
      <c r="M96" s="186"/>
      <c r="N96" s="268" t="s">
        <v>236</v>
      </c>
      <c r="O96" s="268"/>
      <c r="P96" s="268"/>
    </row>
    <row r="97" spans="1:16">
      <c r="A97" s="200" t="s">
        <v>3</v>
      </c>
      <c r="B97" s="97">
        <v>-1078380</v>
      </c>
      <c r="C97" s="73">
        <v>-1118661</v>
      </c>
      <c r="D97" s="74">
        <v>-1246072</v>
      </c>
      <c r="E97" s="73">
        <f>E93*$H$97</f>
        <v>-1363131.4725621843</v>
      </c>
      <c r="F97" s="73">
        <f t="shared" ref="F97:G97" si="10">F93*$H$97</f>
        <v>-1539385.016020597</v>
      </c>
      <c r="G97" s="74">
        <f t="shared" si="10"/>
        <v>-1717976.413083751</v>
      </c>
      <c r="H97" s="184">
        <f t="shared" ref="H97:H100" si="11">D97/$D$93</f>
        <v>-0.10793033369593867</v>
      </c>
      <c r="I97" s="275"/>
      <c r="K97" s="213" t="s">
        <v>222</v>
      </c>
      <c r="L97" s="214" cm="1">
        <f t="array" ref="L97:M101">LINEST(B102:D102,B93:D93,TRUE,TRUE)</f>
        <v>4.6901927770515342E-2</v>
      </c>
      <c r="M97" s="214">
        <v>46263.386716385372</v>
      </c>
      <c r="N97" s="268"/>
      <c r="O97" s="268"/>
      <c r="P97" s="268"/>
    </row>
    <row r="98" spans="1:16">
      <c r="A98" s="200" t="s">
        <v>4</v>
      </c>
      <c r="B98" s="97">
        <v>185816</v>
      </c>
      <c r="C98" s="73">
        <v>175707</v>
      </c>
      <c r="D98" s="74">
        <v>233876</v>
      </c>
      <c r="E98" s="73">
        <f>E93*$H$98</f>
        <v>255846.96251657483</v>
      </c>
      <c r="F98" s="73">
        <f t="shared" ref="F98" si="12">F93*$H$98</f>
        <v>288928.09565324726</v>
      </c>
      <c r="G98" s="74">
        <f>G93*$H$98</f>
        <v>322448.02193322324</v>
      </c>
      <c r="H98" s="184">
        <f t="shared" si="11"/>
        <v>2.0257508974980059E-2</v>
      </c>
      <c r="I98" s="275"/>
      <c r="K98" s="213" t="s">
        <v>221</v>
      </c>
      <c r="L98" s="214">
        <v>1.5423136150871309E-2</v>
      </c>
      <c r="M98" s="214">
        <v>148626.14870486237</v>
      </c>
      <c r="N98" s="268"/>
      <c r="O98" s="268"/>
      <c r="P98" s="268"/>
    </row>
    <row r="99" spans="1:16" ht="17">
      <c r="A99" s="200" t="s">
        <v>5</v>
      </c>
      <c r="B99" s="97">
        <v>-84563</v>
      </c>
      <c r="C99" s="73">
        <v>-73050</v>
      </c>
      <c r="D99" s="74">
        <v>-78488</v>
      </c>
      <c r="E99" s="73">
        <f>E93*$H$99</f>
        <v>-85861.381219111514</v>
      </c>
      <c r="F99" s="73">
        <f t="shared" ref="F99:G99" si="13">F93*$H$99</f>
        <v>-96963.298378765117</v>
      </c>
      <c r="G99" s="74">
        <f t="shared" si="13"/>
        <v>-108212.47304338549</v>
      </c>
      <c r="H99" s="184">
        <f t="shared" si="11"/>
        <v>-6.7983519661198024E-3</v>
      </c>
      <c r="I99" s="275"/>
      <c r="K99" s="213" t="s">
        <v>225</v>
      </c>
      <c r="L99" s="214">
        <v>0.90241758794762805</v>
      </c>
      <c r="M99" s="214">
        <v>45187.971664783821</v>
      </c>
      <c r="N99" s="268"/>
      <c r="O99" s="268"/>
      <c r="P99" s="268"/>
    </row>
    <row r="100" spans="1:16">
      <c r="A100" s="200" t="s">
        <v>6</v>
      </c>
      <c r="B100" s="97">
        <v>4479</v>
      </c>
      <c r="C100" s="73">
        <v>64776</v>
      </c>
      <c r="D100" s="74">
        <v>105869</v>
      </c>
      <c r="E100" s="73">
        <f>E93*$H$100</f>
        <v>115814.62858381048</v>
      </c>
      <c r="F100" s="73">
        <f t="shared" ref="F100:G100" si="14">F93*$H$100</f>
        <v>130789.51478011269</v>
      </c>
      <c r="G100" s="74">
        <f t="shared" si="14"/>
        <v>145963.03012728287</v>
      </c>
      <c r="H100" s="184">
        <f t="shared" si="11"/>
        <v>9.1699969970076619E-3</v>
      </c>
      <c r="I100" s="275"/>
      <c r="K100" s="213" t="s">
        <v>223</v>
      </c>
      <c r="L100" s="214">
        <v>9.2477483284929018</v>
      </c>
      <c r="M100" s="214">
        <v>1</v>
      </c>
      <c r="N100" s="268"/>
      <c r="O100" s="268"/>
      <c r="P100" s="268"/>
    </row>
    <row r="101" spans="1:16">
      <c r="A101" s="200" t="s">
        <v>7</v>
      </c>
      <c r="B101" s="97">
        <v>-27438</v>
      </c>
      <c r="C101" s="73">
        <v>-22002</v>
      </c>
      <c r="D101" s="74">
        <v>-18542</v>
      </c>
      <c r="E101" s="73">
        <f>E93*$H$101</f>
        <v>-20283.887098215851</v>
      </c>
      <c r="F101" s="73">
        <f t="shared" ref="F101:G101" si="15">F93*$H$101</f>
        <v>-22906.603283802146</v>
      </c>
      <c r="G101" s="74">
        <f t="shared" si="15"/>
        <v>-25564.107572755755</v>
      </c>
      <c r="H101" s="184">
        <f>D101/$D$93</f>
        <v>-1.6060422249999156E-3</v>
      </c>
      <c r="I101" s="275"/>
      <c r="K101" s="213" t="s">
        <v>224</v>
      </c>
      <c r="L101" s="214">
        <v>18883465437.489357</v>
      </c>
      <c r="M101" s="214">
        <v>2041952783.1773055</v>
      </c>
      <c r="N101" s="268"/>
      <c r="O101" s="268"/>
      <c r="P101" s="268"/>
    </row>
    <row r="102" spans="1:16">
      <c r="A102" s="202" t="s">
        <v>166</v>
      </c>
      <c r="B102" s="206">
        <v>411517</v>
      </c>
      <c r="C102" s="142">
        <v>455583</v>
      </c>
      <c r="D102" s="195">
        <v>606558</v>
      </c>
      <c r="E102" s="142">
        <f>E93*$L$97+$M$97</f>
        <v>638622.28785664518</v>
      </c>
      <c r="F102" s="142">
        <f>F93*$L$97+$M$97</f>
        <v>715214.57365345</v>
      </c>
      <c r="G102" s="195">
        <f>G93*$L$97+$M$97</f>
        <v>792822.79109016375</v>
      </c>
      <c r="H102" s="184" t="s">
        <v>226</v>
      </c>
      <c r="I102" s="190"/>
    </row>
    <row r="103" spans="1:16">
      <c r="A103" s="201" t="s">
        <v>8</v>
      </c>
      <c r="B103" s="205">
        <v>1328682</v>
      </c>
      <c r="C103" s="193">
        <v>1495885</v>
      </c>
      <c r="D103" s="194">
        <v>1579918</v>
      </c>
      <c r="E103" s="193">
        <f>E95+SUM(E96:E102)</f>
        <v>1968808.8519021263</v>
      </c>
      <c r="F103" s="193">
        <f t="shared" ref="F103:G103" si="16">F95+SUM(F96:F102)</f>
        <v>2041155.6041051215</v>
      </c>
      <c r="G103" s="194">
        <f t="shared" si="16"/>
        <v>2125867.7781533767</v>
      </c>
    </row>
    <row r="104" spans="1:16">
      <c r="A104" s="200" t="s">
        <v>11</v>
      </c>
      <c r="B104" s="97">
        <v>-82585</v>
      </c>
      <c r="C104" s="73">
        <v>-175</v>
      </c>
      <c r="D104" s="74" t="s">
        <v>12</v>
      </c>
      <c r="E104" s="73">
        <f>(E103+E140)*$H$104</f>
        <v>-60216.875847145595</v>
      </c>
      <c r="F104" s="73">
        <f t="shared" ref="F104:G104" si="17">(F103+F140)*$H$104</f>
        <v>-64713.630172623292</v>
      </c>
      <c r="G104" s="73">
        <f t="shared" si="17"/>
        <v>-69978.964461621828</v>
      </c>
      <c r="H104" s="150">
        <f>B104/B103</f>
        <v>-6.2155579739922723E-2</v>
      </c>
      <c r="I104" s="150" t="s">
        <v>227</v>
      </c>
    </row>
    <row r="105" spans="1:16">
      <c r="A105" s="203" t="s">
        <v>9</v>
      </c>
      <c r="B105" s="207">
        <v>1246097</v>
      </c>
      <c r="C105" s="196">
        <v>1495710</v>
      </c>
      <c r="D105" s="197">
        <v>1579918</v>
      </c>
      <c r="E105" s="196">
        <f>E103+E104</f>
        <v>1908591.9760549807</v>
      </c>
      <c r="F105" s="196">
        <f t="shared" ref="F105:G105" si="18">F103+F104</f>
        <v>1976441.9739324981</v>
      </c>
      <c r="G105" s="197">
        <f t="shared" si="18"/>
        <v>2055888.8136917548</v>
      </c>
    </row>
    <row r="106" spans="1:16">
      <c r="K106" s="186" t="s">
        <v>235</v>
      </c>
      <c r="L106" s="186"/>
      <c r="M106" s="186"/>
    </row>
    <row r="107" spans="1:16">
      <c r="A107" s="134" t="s">
        <v>137</v>
      </c>
      <c r="B107" s="135">
        <v>2017</v>
      </c>
      <c r="C107" s="135">
        <v>2018</v>
      </c>
      <c r="D107" s="135">
        <v>2019</v>
      </c>
      <c r="E107" s="102">
        <v>2020</v>
      </c>
      <c r="F107" s="103">
        <v>2021</v>
      </c>
      <c r="G107" s="104">
        <v>2022</v>
      </c>
      <c r="K107" s="186" t="s">
        <v>229</v>
      </c>
      <c r="L107" s="186"/>
      <c r="M107" s="186"/>
    </row>
    <row r="108" spans="1:16">
      <c r="A108" s="71" t="s">
        <v>127</v>
      </c>
      <c r="B108" s="3"/>
      <c r="C108" s="3"/>
      <c r="D108" s="3"/>
      <c r="E108" s="130"/>
      <c r="F108" s="131"/>
      <c r="G108" s="132"/>
      <c r="K108" s="211" t="s">
        <v>228</v>
      </c>
      <c r="L108" s="212">
        <f>CORREL(B110:D110,B93:D93)</f>
        <v>0.90827436854145727</v>
      </c>
      <c r="M108" s="186"/>
      <c r="N108" s="268" t="s">
        <v>236</v>
      </c>
      <c r="O108" s="268"/>
      <c r="P108" s="268"/>
    </row>
    <row r="109" spans="1:16">
      <c r="A109" s="72" t="s">
        <v>128</v>
      </c>
      <c r="B109" s="79">
        <v>4086345</v>
      </c>
      <c r="C109" s="79">
        <v>3425756</v>
      </c>
      <c r="D109" s="79">
        <v>2329384</v>
      </c>
      <c r="E109" s="97">
        <f>E119+E123-SUM(E110:E113)</f>
        <v>2549346.053165948</v>
      </c>
      <c r="F109" s="73">
        <f t="shared" ref="F109:G109" si="19">F119+F123-SUM(F110:F113)</f>
        <v>2743442.9316505007</v>
      </c>
      <c r="G109" s="74">
        <f t="shared" si="19"/>
        <v>3013032.3134207241</v>
      </c>
      <c r="K109" s="213" t="s">
        <v>222</v>
      </c>
      <c r="L109" s="214" cm="1">
        <f t="array" ref="L109:M113">LINEST(B110:D110,B93:D93,TRUE,TRUE)</f>
        <v>0.18255756231886089</v>
      </c>
      <c r="M109" s="214">
        <v>-387867.97630968923</v>
      </c>
      <c r="N109" s="268"/>
      <c r="O109" s="268"/>
      <c r="P109" s="268"/>
    </row>
    <row r="110" spans="1:16">
      <c r="A110" s="72" t="s">
        <v>129</v>
      </c>
      <c r="B110" s="79">
        <v>1062035</v>
      </c>
      <c r="C110" s="79">
        <v>1147786</v>
      </c>
      <c r="D110" s="79">
        <v>1822315</v>
      </c>
      <c r="E110" s="97">
        <f>E93*$L$109+$M$109</f>
        <v>1917785.5895556002</v>
      </c>
      <c r="F110" s="73">
        <f>F93*$L$109+$M$109</f>
        <v>2215907.6850035451</v>
      </c>
      <c r="G110" s="74">
        <f t="shared" ref="G110" si="20">G93*$L$109+$M$109</f>
        <v>2517984.1169250747</v>
      </c>
      <c r="H110" s="150" t="s">
        <v>231</v>
      </c>
      <c r="K110" s="213" t="s">
        <v>221</v>
      </c>
      <c r="L110" s="214">
        <v>8.4090809457904786E-2</v>
      </c>
      <c r="M110" s="214">
        <v>810347.06747996516</v>
      </c>
      <c r="N110" s="268"/>
      <c r="O110" s="268"/>
      <c r="P110" s="268"/>
    </row>
    <row r="111" spans="1:16" ht="17">
      <c r="A111" s="72" t="s">
        <v>130</v>
      </c>
      <c r="B111" s="79">
        <v>1629875</v>
      </c>
      <c r="C111" s="79">
        <v>2090135</v>
      </c>
      <c r="D111" s="79">
        <v>2880539</v>
      </c>
      <c r="E111" s="97">
        <f>FORECAST(E107,$B$111:$D$111,$B$107:$D$107)</f>
        <v>3450847</v>
      </c>
      <c r="F111" s="73">
        <f t="shared" ref="F111:G111" si="21">FORECAST(F107,$B$111:$D$111,$B$107:$D$107)</f>
        <v>4076179</v>
      </c>
      <c r="G111" s="74">
        <f t="shared" si="21"/>
        <v>4701511</v>
      </c>
      <c r="H111" s="183" t="s">
        <v>233</v>
      </c>
      <c r="K111" s="213" t="s">
        <v>225</v>
      </c>
      <c r="L111" s="214">
        <v>0.82496232854938323</v>
      </c>
      <c r="M111" s="214">
        <v>246376.1635689034</v>
      </c>
      <c r="N111" s="268"/>
      <c r="O111" s="268"/>
      <c r="P111" s="268"/>
    </row>
    <row r="112" spans="1:16">
      <c r="A112" s="72" t="s">
        <v>46</v>
      </c>
      <c r="B112" s="79">
        <v>1840113</v>
      </c>
      <c r="C112" s="79">
        <v>2481677</v>
      </c>
      <c r="D112" s="79">
        <v>2958357</v>
      </c>
      <c r="E112" s="97">
        <f>_xlfn.FORECAST.LINEAR(E107,$B$112:$D$112,$B$107:$D$107)</f>
        <v>3544959.6666667461</v>
      </c>
      <c r="F112" s="73">
        <f t="shared" ref="F112:G112" si="22">_xlfn.FORECAST.LINEAR(F107,$B$112:$D$112,$B$107:$D$107)</f>
        <v>4104081.6666667461</v>
      </c>
      <c r="G112" s="74">
        <f t="shared" si="22"/>
        <v>4663203.6666667461</v>
      </c>
      <c r="H112" s="183" t="s">
        <v>233</v>
      </c>
      <c r="K112" s="213" t="s">
        <v>223</v>
      </c>
      <c r="L112" s="214">
        <v>4.7130558908407831</v>
      </c>
      <c r="M112" s="214">
        <v>1</v>
      </c>
      <c r="N112" s="268"/>
      <c r="O112" s="268"/>
      <c r="P112" s="268"/>
    </row>
    <row r="113" spans="1:16">
      <c r="A113" s="72" t="s">
        <v>183</v>
      </c>
      <c r="B113" s="79">
        <v>500000</v>
      </c>
      <c r="C113" s="79">
        <v>700000</v>
      </c>
      <c r="D113" s="79">
        <v>950000</v>
      </c>
      <c r="E113" s="97">
        <f>_xlfn.FORECAST.LINEAR(E107,$B$113:$D$113,$B$107:$D$107)</f>
        <v>1166666.6666666865</v>
      </c>
      <c r="F113" s="73">
        <f t="shared" ref="F113:G113" si="23">_xlfn.FORECAST.LINEAR(F107,$B$113:$D$113,$B$107:$D$107)</f>
        <v>1391666.6666666865</v>
      </c>
      <c r="G113" s="74">
        <f t="shared" si="23"/>
        <v>1616666.6666666865</v>
      </c>
      <c r="H113" s="183" t="s">
        <v>233</v>
      </c>
      <c r="K113" s="213" t="s">
        <v>224</v>
      </c>
      <c r="L113" s="214">
        <v>286088214105.73566</v>
      </c>
      <c r="M113" s="214">
        <v>60701213974.931046</v>
      </c>
      <c r="N113" s="268"/>
      <c r="O113" s="268"/>
      <c r="P113" s="268"/>
    </row>
    <row r="114" spans="1:16">
      <c r="A114" s="71" t="s">
        <v>131</v>
      </c>
      <c r="B114" s="81">
        <v>9118368</v>
      </c>
      <c r="C114" s="81">
        <v>9845354</v>
      </c>
      <c r="D114" s="81">
        <v>10940595</v>
      </c>
      <c r="E114" s="100">
        <f>SUM(E109:E113)</f>
        <v>12629604.976054981</v>
      </c>
      <c r="F114" s="75">
        <f t="shared" ref="F114:G114" si="24">SUM(F109:F113)</f>
        <v>14531277.949987479</v>
      </c>
      <c r="G114" s="76">
        <f t="shared" si="24"/>
        <v>16512397.763679232</v>
      </c>
    </row>
    <row r="115" spans="1:16">
      <c r="A115" s="71" t="s">
        <v>132</v>
      </c>
      <c r="B115" s="79"/>
      <c r="C115" s="79"/>
      <c r="D115" s="79"/>
      <c r="E115" s="97"/>
      <c r="F115" s="73"/>
      <c r="G115" s="74"/>
    </row>
    <row r="116" spans="1:16">
      <c r="A116" s="72" t="s">
        <v>133</v>
      </c>
      <c r="B116" s="79">
        <v>542648</v>
      </c>
      <c r="C116" s="79">
        <v>357641</v>
      </c>
      <c r="D116" s="79">
        <v>474707</v>
      </c>
      <c r="E116" s="97">
        <f>AVERAGE($B$116:$D$116)</f>
        <v>458332</v>
      </c>
      <c r="F116" s="73">
        <f t="shared" ref="F116:G116" si="25">AVERAGE($B$116:$D$116)</f>
        <v>458332</v>
      </c>
      <c r="G116" s="74">
        <f t="shared" si="25"/>
        <v>458332</v>
      </c>
      <c r="H116" s="150" t="s">
        <v>232</v>
      </c>
    </row>
    <row r="117" spans="1:16">
      <c r="A117" s="72" t="s">
        <v>134</v>
      </c>
      <c r="B117" s="79">
        <v>379528</v>
      </c>
      <c r="C117" s="79">
        <v>244383</v>
      </c>
      <c r="D117" s="79">
        <v>109238</v>
      </c>
      <c r="E117" s="97">
        <v>0</v>
      </c>
      <c r="F117" s="73">
        <v>0</v>
      </c>
      <c r="G117" s="74">
        <v>0</v>
      </c>
      <c r="H117" s="208" t="s">
        <v>186</v>
      </c>
    </row>
    <row r="118" spans="1:16">
      <c r="A118" s="72" t="s">
        <v>163</v>
      </c>
      <c r="B118" s="79">
        <v>943592</v>
      </c>
      <c r="C118" s="79">
        <v>811223</v>
      </c>
      <c r="D118" s="79">
        <v>794054</v>
      </c>
      <c r="E118" s="97">
        <f>_xlfn.FORECAST.LINEAR(E107,$B$118:$D$118,$B$107:$D$107)</f>
        <v>700085</v>
      </c>
      <c r="F118" s="73">
        <f t="shared" ref="F118:G118" si="26">_xlfn.FORECAST.LINEAR(F107,$B$118:$D$118,$B$107:$D$107)</f>
        <v>625316</v>
      </c>
      <c r="G118" s="74">
        <f t="shared" si="26"/>
        <v>550547</v>
      </c>
      <c r="H118" s="183" t="s">
        <v>233</v>
      </c>
    </row>
    <row r="119" spans="1:16">
      <c r="A119" s="71" t="s">
        <v>135</v>
      </c>
      <c r="B119" s="81">
        <v>1865768</v>
      </c>
      <c r="C119" s="81">
        <v>1413247</v>
      </c>
      <c r="D119" s="81">
        <v>1377999</v>
      </c>
      <c r="E119" s="100">
        <f>SUM(E116:E118)</f>
        <v>1158417</v>
      </c>
      <c r="F119" s="75">
        <f t="shared" ref="F119:G119" si="27">SUM(F116:F118)</f>
        <v>1083648</v>
      </c>
      <c r="G119" s="76">
        <f t="shared" si="27"/>
        <v>1008879</v>
      </c>
    </row>
    <row r="120" spans="1:16">
      <c r="A120" s="71" t="s">
        <v>81</v>
      </c>
      <c r="B120" s="81"/>
      <c r="C120" s="81"/>
      <c r="D120" s="81"/>
      <c r="E120" s="97"/>
      <c r="F120" s="73"/>
      <c r="G120" s="74"/>
    </row>
    <row r="121" spans="1:16">
      <c r="A121" s="72" t="s">
        <v>138</v>
      </c>
      <c r="B121" s="79">
        <v>4397978</v>
      </c>
      <c r="C121" s="79">
        <v>4397978</v>
      </c>
      <c r="D121" s="79">
        <v>4397978</v>
      </c>
      <c r="E121" s="97">
        <f>D121</f>
        <v>4397978</v>
      </c>
      <c r="F121" s="73">
        <f t="shared" ref="F121:G121" si="28">E121</f>
        <v>4397978</v>
      </c>
      <c r="G121" s="74">
        <f t="shared" si="28"/>
        <v>4397978</v>
      </c>
    </row>
    <row r="122" spans="1:16">
      <c r="A122" s="72" t="s">
        <v>139</v>
      </c>
      <c r="B122" s="79">
        <v>2854622</v>
      </c>
      <c r="C122" s="79">
        <v>4034129</v>
      </c>
      <c r="D122" s="79">
        <v>5164618</v>
      </c>
      <c r="E122" s="97">
        <f>E105+D122</f>
        <v>7073209.9760549804</v>
      </c>
      <c r="F122" s="73">
        <f>F105+E122</f>
        <v>9049651.9499874786</v>
      </c>
      <c r="G122" s="74">
        <f t="shared" ref="G122" si="29">G105+F122</f>
        <v>11105540.763679232</v>
      </c>
    </row>
    <row r="123" spans="1:16">
      <c r="A123" s="71" t="s">
        <v>81</v>
      </c>
      <c r="B123" s="81">
        <v>7252600</v>
      </c>
      <c r="C123" s="81">
        <v>8432107</v>
      </c>
      <c r="D123" s="81">
        <v>9562596</v>
      </c>
      <c r="E123" s="100">
        <f>SUM(E121:E122)</f>
        <v>11471187.976054981</v>
      </c>
      <c r="F123" s="75">
        <f t="shared" ref="F123:G123" si="30">SUM(F121:F122)</f>
        <v>13447629.949987479</v>
      </c>
      <c r="G123" s="76">
        <f t="shared" si="30"/>
        <v>15503518.763679232</v>
      </c>
    </row>
    <row r="124" spans="1:16">
      <c r="A124" s="50" t="s">
        <v>136</v>
      </c>
      <c r="B124" s="83">
        <v>9118368</v>
      </c>
      <c r="C124" s="83">
        <v>9845354</v>
      </c>
      <c r="D124" s="83">
        <v>10940595</v>
      </c>
      <c r="E124" s="133">
        <f>E119+E123</f>
        <v>12629604.976054981</v>
      </c>
      <c r="F124" s="77">
        <f t="shared" ref="F124:G124" si="31">F119+F123</f>
        <v>14531277.949987479</v>
      </c>
      <c r="G124" s="78">
        <f t="shared" si="31"/>
        <v>16512397.763679232</v>
      </c>
    </row>
    <row r="125" spans="1:16">
      <c r="A125" s="209" t="s">
        <v>187</v>
      </c>
      <c r="B125" s="210">
        <f>B114-B124</f>
        <v>0</v>
      </c>
      <c r="C125" s="210">
        <f t="shared" ref="C125:G125" si="32">C114-C124</f>
        <v>0</v>
      </c>
      <c r="D125" s="210">
        <f t="shared" si="32"/>
        <v>0</v>
      </c>
      <c r="E125" s="210">
        <f t="shared" si="32"/>
        <v>0</v>
      </c>
      <c r="F125" s="210">
        <f t="shared" si="32"/>
        <v>0</v>
      </c>
      <c r="G125" s="210">
        <f t="shared" si="32"/>
        <v>0</v>
      </c>
    </row>
    <row r="127" spans="1:16">
      <c r="A127" s="145" t="s">
        <v>170</v>
      </c>
      <c r="B127" s="134">
        <v>2017</v>
      </c>
      <c r="C127" s="135">
        <v>2018</v>
      </c>
      <c r="D127" s="146">
        <v>2019</v>
      </c>
      <c r="E127" s="137">
        <v>2020</v>
      </c>
      <c r="F127" s="137">
        <v>2021</v>
      </c>
      <c r="G127" s="138">
        <v>2022</v>
      </c>
    </row>
    <row r="128" spans="1:16">
      <c r="A128" s="110" t="s">
        <v>171</v>
      </c>
      <c r="B128" s="72"/>
      <c r="C128" s="3"/>
      <c r="D128" s="141"/>
      <c r="E128" s="130"/>
      <c r="F128" s="131"/>
      <c r="G128" s="132"/>
    </row>
    <row r="129" spans="1:8">
      <c r="A129" s="110" t="s">
        <v>181</v>
      </c>
      <c r="B129" s="97">
        <v>1246097</v>
      </c>
      <c r="C129" s="73">
        <v>1495710</v>
      </c>
      <c r="D129" s="74">
        <v>1579918</v>
      </c>
      <c r="E129" s="97">
        <f>E105</f>
        <v>1908591.9760549807</v>
      </c>
      <c r="F129" s="73">
        <f t="shared" ref="F129:G129" si="33">F105</f>
        <v>1976441.9739324981</v>
      </c>
      <c r="G129" s="74">
        <f t="shared" si="33"/>
        <v>2055888.8136917548</v>
      </c>
    </row>
    <row r="130" spans="1:8">
      <c r="A130" s="109" t="s">
        <v>172</v>
      </c>
      <c r="B130" s="97">
        <v>411517</v>
      </c>
      <c r="C130" s="73">
        <v>455583</v>
      </c>
      <c r="D130" s="74">
        <v>606558</v>
      </c>
      <c r="E130" s="97">
        <f>E102</f>
        <v>638622.28785664518</v>
      </c>
      <c r="F130" s="73">
        <f>F102</f>
        <v>715214.57365345</v>
      </c>
      <c r="G130" s="74">
        <f>G102</f>
        <v>792822.79109016375</v>
      </c>
    </row>
    <row r="131" spans="1:8">
      <c r="A131" s="109" t="s">
        <v>173</v>
      </c>
      <c r="B131" s="97" t="s">
        <v>12</v>
      </c>
      <c r="C131" s="73">
        <v>361004</v>
      </c>
      <c r="D131" s="74">
        <v>1581999</v>
      </c>
      <c r="E131" s="97">
        <f>(E110+E111+E116)-(D110+D111+D116)</f>
        <v>649403.58955560066</v>
      </c>
      <c r="F131" s="73">
        <f t="shared" ref="F131:G131" si="34">(F110+F111+F116)-(E110+E111+E116)</f>
        <v>923454.09544794448</v>
      </c>
      <c r="G131" s="74">
        <f t="shared" si="34"/>
        <v>927408.43192152958</v>
      </c>
    </row>
    <row r="132" spans="1:8">
      <c r="A132" s="110" t="s">
        <v>174</v>
      </c>
      <c r="B132" s="100">
        <v>1657614</v>
      </c>
      <c r="C132" s="75">
        <v>1590289</v>
      </c>
      <c r="D132" s="76">
        <v>604477</v>
      </c>
      <c r="E132" s="100">
        <f>SUM(E129:E131)</f>
        <v>3196617.8534672265</v>
      </c>
      <c r="F132" s="75">
        <f t="shared" ref="F132:G132" si="35">SUM(F129:F131)</f>
        <v>3615110.6430338928</v>
      </c>
      <c r="G132" s="76">
        <f t="shared" si="35"/>
        <v>3776120.0367034483</v>
      </c>
    </row>
    <row r="133" spans="1:8">
      <c r="A133" s="72"/>
      <c r="B133" s="72"/>
      <c r="C133" s="3"/>
      <c r="D133" s="141"/>
      <c r="E133" s="72"/>
      <c r="F133" s="3"/>
      <c r="G133" s="141"/>
    </row>
    <row r="134" spans="1:8">
      <c r="A134" s="110" t="s">
        <v>168</v>
      </c>
      <c r="B134" s="72"/>
      <c r="C134" s="3"/>
      <c r="D134" s="141"/>
      <c r="E134" s="72"/>
      <c r="F134" s="3"/>
      <c r="G134" s="141"/>
    </row>
    <row r="135" spans="1:8">
      <c r="A135" s="109" t="s">
        <v>175</v>
      </c>
      <c r="B135" s="97" t="s">
        <v>12</v>
      </c>
      <c r="C135" s="73">
        <v>853364</v>
      </c>
      <c r="D135" s="74">
        <v>786581</v>
      </c>
      <c r="E135" s="97">
        <f>_xlfn.FORECAST.LINEAR(E127,C135:D135,C127:D127)</f>
        <v>719798</v>
      </c>
      <c r="F135" s="73">
        <f t="shared" ref="F135:G135" si="36">_xlfn.FORECAST.LINEAR(F127,D135:E135,D127:E127)</f>
        <v>653015</v>
      </c>
      <c r="G135" s="74">
        <f t="shared" si="36"/>
        <v>586232</v>
      </c>
    </row>
    <row r="136" spans="1:8">
      <c r="A136" s="110" t="s">
        <v>168</v>
      </c>
      <c r="B136" s="100" t="s">
        <v>12</v>
      </c>
      <c r="C136" s="75">
        <v>853364</v>
      </c>
      <c r="D136" s="76">
        <v>786581</v>
      </c>
      <c r="E136" s="100">
        <f>SUM(E135)</f>
        <v>719798</v>
      </c>
      <c r="F136" s="75">
        <f t="shared" ref="F136:G136" si="37">SUM(F135)</f>
        <v>653015</v>
      </c>
      <c r="G136" s="76">
        <f t="shared" si="37"/>
        <v>586232</v>
      </c>
    </row>
    <row r="137" spans="1:8">
      <c r="A137" s="72"/>
      <c r="B137" s="72"/>
      <c r="C137" s="3"/>
      <c r="D137" s="141"/>
      <c r="E137" s="72"/>
      <c r="F137" s="3"/>
      <c r="G137" s="141"/>
    </row>
    <row r="138" spans="1:8">
      <c r="A138" s="110" t="s">
        <v>169</v>
      </c>
      <c r="B138" s="72"/>
      <c r="C138" s="3"/>
      <c r="D138" s="141"/>
      <c r="E138" s="72"/>
      <c r="F138" s="3"/>
      <c r="G138" s="141"/>
    </row>
    <row r="139" spans="1:8">
      <c r="A139" s="109" t="s">
        <v>176</v>
      </c>
      <c r="B139" s="97">
        <v>-135145</v>
      </c>
      <c r="C139" s="73">
        <v>-135145</v>
      </c>
      <c r="D139" s="74">
        <v>-135145</v>
      </c>
      <c r="E139" s="97">
        <f>'1.uzdevums'!E91</f>
        <v>-109238</v>
      </c>
      <c r="F139" s="73">
        <f>'1.uzdevums'!F91</f>
        <v>0</v>
      </c>
      <c r="G139" s="74">
        <f>'1.uzdevums'!G91</f>
        <v>0</v>
      </c>
    </row>
    <row r="140" spans="1:8">
      <c r="A140" s="109" t="s">
        <v>177</v>
      </c>
      <c r="B140" s="97">
        <v>-200000</v>
      </c>
      <c r="C140" s="73">
        <v>-337072</v>
      </c>
      <c r="D140" s="74">
        <v>-449429</v>
      </c>
      <c r="E140" s="97">
        <f>'1.uzdevums'!E92</f>
        <v>-1000000</v>
      </c>
      <c r="F140" s="73">
        <f>'1.uzdevums'!F92</f>
        <v>-1000000</v>
      </c>
      <c r="G140" s="74">
        <f>'1.uzdevums'!G92</f>
        <v>-1000000</v>
      </c>
      <c r="H140" t="s">
        <v>238</v>
      </c>
    </row>
    <row r="141" spans="1:8">
      <c r="A141" s="110" t="s">
        <v>169</v>
      </c>
      <c r="B141" s="100">
        <v>-335145</v>
      </c>
      <c r="C141" s="75">
        <v>-472217</v>
      </c>
      <c r="D141" s="76">
        <v>-584574</v>
      </c>
      <c r="E141" s="100">
        <f>SUM(E139:E140)</f>
        <v>-1109238</v>
      </c>
      <c r="F141" s="75">
        <f t="shared" ref="F141:G141" si="38">SUM(F139:F140)</f>
        <v>-1000000</v>
      </c>
      <c r="G141" s="76">
        <f t="shared" si="38"/>
        <v>-1000000</v>
      </c>
    </row>
    <row r="142" spans="1:8">
      <c r="A142" s="72"/>
      <c r="B142" s="72"/>
      <c r="C142" s="3"/>
      <c r="D142" s="141"/>
      <c r="E142" s="72"/>
      <c r="F142" s="3"/>
      <c r="G142" s="141"/>
    </row>
    <row r="143" spans="1:8">
      <c r="A143" s="109" t="s">
        <v>178</v>
      </c>
      <c r="B143" s="97">
        <v>3506707</v>
      </c>
      <c r="C143" s="73">
        <v>-660589</v>
      </c>
      <c r="D143" s="74">
        <v>-1096372</v>
      </c>
      <c r="E143" s="97">
        <f>E132-E136+E141</f>
        <v>1367581.8534672265</v>
      </c>
      <c r="F143" s="73">
        <f t="shared" ref="F143:G143" si="39">F132-F136+F141</f>
        <v>1962095.6430338928</v>
      </c>
      <c r="G143" s="74">
        <f t="shared" si="39"/>
        <v>2189888.0367034483</v>
      </c>
    </row>
    <row r="144" spans="1:8">
      <c r="A144" s="109" t="s">
        <v>179</v>
      </c>
      <c r="B144" s="97">
        <v>579638</v>
      </c>
      <c r="C144" s="73">
        <v>4086345</v>
      </c>
      <c r="D144" s="74">
        <v>3425756</v>
      </c>
      <c r="E144" s="206">
        <f>D145</f>
        <v>2329384</v>
      </c>
      <c r="F144" s="142">
        <f t="shared" ref="F144:G144" si="40">E145</f>
        <v>2549346.053165948</v>
      </c>
      <c r="G144" s="195">
        <f t="shared" si="40"/>
        <v>4511441.6961998409</v>
      </c>
    </row>
    <row r="145" spans="1:7">
      <c r="A145" s="143" t="s">
        <v>180</v>
      </c>
      <c r="B145" s="133">
        <v>4086345</v>
      </c>
      <c r="C145" s="77">
        <v>3425756</v>
      </c>
      <c r="D145" s="148">
        <v>2329384</v>
      </c>
      <c r="E145" s="133">
        <f>E109</f>
        <v>2549346.053165948</v>
      </c>
      <c r="F145" s="77">
        <f>SUM(F143:F144)</f>
        <v>4511441.6961998409</v>
      </c>
      <c r="G145" s="78">
        <f>SUM(G143:G144)</f>
        <v>6701329.7329032887</v>
      </c>
    </row>
  </sheetData>
  <mergeCells count="7">
    <mergeCell ref="N96:P101"/>
    <mergeCell ref="N108:P113"/>
    <mergeCell ref="B7:E7"/>
    <mergeCell ref="A8:E11"/>
    <mergeCell ref="A44:I44"/>
    <mergeCell ref="A60:H60"/>
    <mergeCell ref="I96:I10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2D491-EDF6-5B44-A813-F71B807B1B73}">
  <dimension ref="A2:I94"/>
  <sheetViews>
    <sheetView zoomScale="80" zoomScaleNormal="80" workbookViewId="0">
      <selection activeCell="B9" sqref="B9"/>
    </sheetView>
  </sheetViews>
  <sheetFormatPr baseColWidth="10" defaultRowHeight="15"/>
  <cols>
    <col min="1" max="1" width="34.33203125" bestFit="1" customWidth="1"/>
    <col min="2" max="2" width="11.83203125" bestFit="1" customWidth="1"/>
    <col min="4" max="4" width="12.6640625" bestFit="1" customWidth="1"/>
  </cols>
  <sheetData>
    <row r="2" spans="1:7">
      <c r="A2" s="161" t="s">
        <v>242</v>
      </c>
      <c r="B2" s="161">
        <v>20.315999999999999</v>
      </c>
      <c r="C2" s="150" t="s">
        <v>244</v>
      </c>
    </row>
    <row r="3" spans="1:7">
      <c r="A3" s="161" t="s">
        <v>241</v>
      </c>
      <c r="B3" s="215">
        <v>3769242</v>
      </c>
    </row>
    <row r="4" spans="1:7">
      <c r="A4" s="216" t="s">
        <v>243</v>
      </c>
      <c r="B4" s="217">
        <f>B2*B3</f>
        <v>76575920.472000003</v>
      </c>
    </row>
    <row r="6" spans="1:7" ht="26">
      <c r="A6" s="220" t="s">
        <v>252</v>
      </c>
    </row>
    <row r="7" spans="1:7" ht="16">
      <c r="A7" s="219"/>
    </row>
    <row r="8" spans="1:7">
      <c r="A8" s="218"/>
      <c r="B8" s="134">
        <v>2017</v>
      </c>
      <c r="C8" s="135">
        <v>2018</v>
      </c>
      <c r="D8" s="146">
        <v>2019</v>
      </c>
      <c r="E8" s="136">
        <v>2020</v>
      </c>
      <c r="F8" s="137">
        <v>2021</v>
      </c>
      <c r="G8" s="138">
        <v>2022</v>
      </c>
    </row>
    <row r="9" spans="1:7" ht="16">
      <c r="A9" s="221" t="s">
        <v>245</v>
      </c>
      <c r="B9" s="73">
        <f>'1.uzdevums'!B37+'1.uzdevums'!B36+'1.uzdevums'!B33</f>
        <v>1136074</v>
      </c>
      <c r="C9" s="73">
        <f>'1.uzdevums'!C37+'1.uzdevums'!C36+'1.uzdevums'!C33</f>
        <v>1473533</v>
      </c>
      <c r="D9" s="74">
        <f>'1.uzdevums'!D37+'1.uzdevums'!D36+'1.uzdevums'!D33</f>
        <v>1561376</v>
      </c>
      <c r="E9" s="97">
        <f>'1.uzdevums'!E37+'1.uzdevums'!E36+'1.uzdevums'!E33</f>
        <v>2573723.9809979675</v>
      </c>
      <c r="F9" s="73">
        <f>'1.uzdevums'!F37+'1.uzdevums'!F36+'1.uzdevums'!F33</f>
        <v>4072712.8406193648</v>
      </c>
      <c r="G9" s="74">
        <f>'1.uzdevums'!G37+'1.uzdevums'!G36+'1.uzdevums'!G33</f>
        <v>4850726.7990348861</v>
      </c>
    </row>
    <row r="10" spans="1:7" ht="16">
      <c r="A10" s="222" t="s">
        <v>166</v>
      </c>
      <c r="B10" s="73">
        <f>'1.uzdevums'!B34</f>
        <v>411517</v>
      </c>
      <c r="C10" s="73">
        <f>'1.uzdevums'!C34</f>
        <v>455583</v>
      </c>
      <c r="D10" s="74">
        <f>'1.uzdevums'!D34</f>
        <v>606558</v>
      </c>
      <c r="E10" s="97">
        <f>'1.uzdevums'!E34</f>
        <v>659673.07243575272</v>
      </c>
      <c r="F10" s="73">
        <f>'1.uzdevums'!F34</f>
        <v>697116.75332789577</v>
      </c>
      <c r="G10" s="74">
        <f>'1.uzdevums'!G34</f>
        <v>723512.82462100207</v>
      </c>
    </row>
    <row r="11" spans="1:7" ht="16">
      <c r="A11" s="222" t="s">
        <v>246</v>
      </c>
      <c r="B11" s="73">
        <f>B9+B10</f>
        <v>1547591</v>
      </c>
      <c r="C11" s="73">
        <f t="shared" ref="C11:G11" si="0">C9+C10</f>
        <v>1929116</v>
      </c>
      <c r="D11" s="74">
        <f t="shared" si="0"/>
        <v>2167934</v>
      </c>
      <c r="E11" s="97">
        <f t="shared" si="0"/>
        <v>3233397.05343372</v>
      </c>
      <c r="F11" s="73">
        <f t="shared" si="0"/>
        <v>4769829.5939472606</v>
      </c>
      <c r="G11" s="74">
        <f t="shared" si="0"/>
        <v>5574239.6236558883</v>
      </c>
    </row>
    <row r="12" spans="1:7" ht="16">
      <c r="A12" s="222" t="s">
        <v>247</v>
      </c>
      <c r="B12" s="73">
        <v>71066</v>
      </c>
      <c r="C12" s="73">
        <f>'1.uzdevums'!C66</f>
        <v>361004</v>
      </c>
      <c r="D12" s="74">
        <f>'1.uzdevums'!D66</f>
        <v>1581999</v>
      </c>
      <c r="E12" s="97">
        <f>'1.uzdevums'!E66</f>
        <v>977252.98777301051</v>
      </c>
      <c r="F12" s="73">
        <f>'1.uzdevums'!F66</f>
        <v>472189.00434666313</v>
      </c>
      <c r="G12" s="74">
        <f>'1.uzdevums'!G66</f>
        <v>1415016.8534210585</v>
      </c>
    </row>
    <row r="13" spans="1:7" ht="16">
      <c r="A13" s="222" t="s">
        <v>248</v>
      </c>
      <c r="B13" s="73">
        <f>B11-B12</f>
        <v>1476525</v>
      </c>
      <c r="C13" s="73">
        <f>C11-C12</f>
        <v>1568112</v>
      </c>
      <c r="D13" s="74">
        <f>D11-D12</f>
        <v>585935</v>
      </c>
      <c r="E13" s="97">
        <f t="shared" ref="E13:G13" si="1">E11-E12</f>
        <v>2256144.0656607095</v>
      </c>
      <c r="F13" s="73">
        <f t="shared" si="1"/>
        <v>4297640.5896005975</v>
      </c>
      <c r="G13" s="74">
        <f t="shared" si="1"/>
        <v>4159222.7702348297</v>
      </c>
    </row>
    <row r="14" spans="1:7" ht="16">
      <c r="A14" s="222" t="s">
        <v>249</v>
      </c>
      <c r="B14" s="73">
        <f>'1.uzdevums'!B36</f>
        <v>-82585</v>
      </c>
      <c r="C14" s="73">
        <f>'1.uzdevums'!C36</f>
        <v>-175</v>
      </c>
      <c r="D14" s="74">
        <v>-117902</v>
      </c>
      <c r="E14" s="97">
        <f>'1.uzdevums'!E36</f>
        <v>-254975.69946912208</v>
      </c>
      <c r="F14" s="73">
        <f>'1.uzdevums'!F36</f>
        <v>-360056.44113902585</v>
      </c>
      <c r="G14" s="74">
        <f>'1.uzdevums'!G36</f>
        <v>-415279.1485591004</v>
      </c>
    </row>
    <row r="15" spans="1:7" ht="16">
      <c r="A15" s="222" t="s">
        <v>250</v>
      </c>
      <c r="B15" s="73">
        <v>569100</v>
      </c>
      <c r="C15" s="73">
        <f>'1.uzdevums'!C69</f>
        <v>853364</v>
      </c>
      <c r="D15" s="74">
        <f>'1.uzdevums'!D69</f>
        <v>786581</v>
      </c>
      <c r="E15" s="97">
        <f>'1.uzdevums'!E69</f>
        <v>786581</v>
      </c>
      <c r="F15" s="73">
        <f>'1.uzdevums'!F69</f>
        <v>786581</v>
      </c>
      <c r="G15" s="74">
        <f>'1.uzdevums'!G69</f>
        <v>786581</v>
      </c>
    </row>
    <row r="16" spans="1:7" ht="16">
      <c r="A16" s="223" t="s">
        <v>251</v>
      </c>
      <c r="B16" s="196">
        <f>B13+B14-B15</f>
        <v>824840</v>
      </c>
      <c r="C16" s="196">
        <f>C13+C14-C15</f>
        <v>714573</v>
      </c>
      <c r="D16" s="196">
        <f>D13+D14-D15</f>
        <v>-318548</v>
      </c>
      <c r="E16" s="207">
        <f t="shared" ref="E16:G16" si="2">E13+E14-E15</f>
        <v>1214587.3661915874</v>
      </c>
      <c r="F16" s="196">
        <f t="shared" si="2"/>
        <v>3151003.1484615719</v>
      </c>
      <c r="G16" s="197">
        <f t="shared" si="2"/>
        <v>2957362.6216757293</v>
      </c>
    </row>
    <row r="19" spans="1:9" ht="26">
      <c r="A19" s="220" t="s">
        <v>253</v>
      </c>
    </row>
    <row r="20" spans="1:9" ht="15" customHeight="1">
      <c r="A20" s="220"/>
    </row>
    <row r="21" spans="1:9" ht="26">
      <c r="A21" s="220"/>
    </row>
    <row r="22" spans="1:9">
      <c r="A22" s="130"/>
      <c r="B22" s="134">
        <v>2017</v>
      </c>
      <c r="C22" s="135">
        <v>2018</v>
      </c>
      <c r="D22" s="135">
        <v>2019</v>
      </c>
      <c r="E22" s="136">
        <v>2020</v>
      </c>
      <c r="F22" s="137">
        <v>2021</v>
      </c>
      <c r="G22" s="138">
        <v>2022</v>
      </c>
    </row>
    <row r="23" spans="1:9">
      <c r="A23" s="72" t="s">
        <v>81</v>
      </c>
      <c r="B23" s="97">
        <f>'1.uzdevums'!B55</f>
        <v>7252600</v>
      </c>
      <c r="C23" s="73">
        <f>'1.uzdevums'!C55</f>
        <v>8432107</v>
      </c>
      <c r="D23" s="73">
        <f>'1.uzdevums'!D55</f>
        <v>9562596</v>
      </c>
      <c r="E23" s="97">
        <f>'1.uzdevums'!E55</f>
        <v>11409837.68046709</v>
      </c>
      <c r="F23" s="73">
        <f>'1.uzdevums'!F55</f>
        <v>14842606.96222548</v>
      </c>
      <c r="G23" s="74">
        <f>'1.uzdevums'!G55</f>
        <v>19108612.909819465</v>
      </c>
    </row>
    <row r="24" spans="1:9">
      <c r="A24" s="72" t="s">
        <v>261</v>
      </c>
      <c r="B24" s="97">
        <f>'1.uzdevums'!B49</f>
        <v>379528</v>
      </c>
      <c r="C24" s="73">
        <f>'1.uzdevums'!C49</f>
        <v>244383</v>
      </c>
      <c r="D24" s="73">
        <f>'1.uzdevums'!D49</f>
        <v>109238</v>
      </c>
      <c r="E24" s="97">
        <f>'1.uzdevums'!E49</f>
        <v>0</v>
      </c>
      <c r="F24" s="73">
        <f>'1.uzdevums'!F49</f>
        <v>0</v>
      </c>
      <c r="G24" s="74">
        <f>'1.uzdevums'!G49</f>
        <v>0</v>
      </c>
    </row>
    <row r="25" spans="1:9">
      <c r="A25" s="72" t="s">
        <v>262</v>
      </c>
      <c r="B25" s="97">
        <f>SUM(B23:B24)</f>
        <v>7632128</v>
      </c>
      <c r="C25" s="73">
        <f t="shared" ref="C25:G25" si="3">SUM(C23:C24)</f>
        <v>8676490</v>
      </c>
      <c r="D25" s="73">
        <f t="shared" si="3"/>
        <v>9671834</v>
      </c>
      <c r="E25" s="97">
        <f t="shared" si="3"/>
        <v>11409837.68046709</v>
      </c>
      <c r="F25" s="73">
        <f t="shared" si="3"/>
        <v>14842606.96222548</v>
      </c>
      <c r="G25" s="74">
        <f t="shared" si="3"/>
        <v>19108612.909819465</v>
      </c>
    </row>
    <row r="26" spans="1:9">
      <c r="A26" s="72" t="s">
        <v>254</v>
      </c>
      <c r="B26" s="97">
        <f>'1.uzdevums'!B77</f>
        <v>-27438</v>
      </c>
      <c r="C26" s="73">
        <f>'1.uzdevums'!C77</f>
        <v>-22002</v>
      </c>
      <c r="D26" s="73">
        <f>'1.uzdevums'!D77</f>
        <v>-18542</v>
      </c>
      <c r="E26" s="97">
        <f>'1.uzdevums'!E77</f>
        <v>-18542</v>
      </c>
      <c r="F26" s="73">
        <v>0</v>
      </c>
      <c r="G26" s="74">
        <v>0</v>
      </c>
    </row>
    <row r="27" spans="1:9">
      <c r="A27" s="72" t="s">
        <v>255</v>
      </c>
      <c r="B27" s="229">
        <v>0.02</v>
      </c>
      <c r="C27" s="224">
        <f t="shared" ref="C27:G27" si="4">(C23/C25*$B$32)+(C24/C25*C33*(1-20%))</f>
        <v>4.5381192298152823E-2</v>
      </c>
      <c r="D27" s="224">
        <f t="shared" si="4"/>
        <v>4.5638856597828292E-2</v>
      </c>
      <c r="E27" s="229">
        <f t="shared" si="4"/>
        <v>4.4609000000000003E-2</v>
      </c>
      <c r="F27" s="224">
        <f t="shared" si="4"/>
        <v>4.4609000000000003E-2</v>
      </c>
      <c r="G27" s="225">
        <f t="shared" si="4"/>
        <v>4.4609000000000003E-2</v>
      </c>
    </row>
    <row r="28" spans="1:9">
      <c r="A28" s="72" t="s">
        <v>256</v>
      </c>
      <c r="B28" s="229">
        <v>-2.8999999999999998E-3</v>
      </c>
      <c r="C28" s="3"/>
      <c r="D28" s="3"/>
      <c r="E28" s="72"/>
      <c r="F28" s="3"/>
      <c r="G28" s="141"/>
      <c r="H28" t="s">
        <v>275</v>
      </c>
    </row>
    <row r="29" spans="1:9">
      <c r="A29" s="72" t="s">
        <v>257</v>
      </c>
      <c r="B29" s="240">
        <v>0.77</v>
      </c>
      <c r="C29" s="3"/>
      <c r="D29" s="3"/>
      <c r="E29" s="72"/>
      <c r="F29" s="3"/>
      <c r="G29" s="141"/>
      <c r="H29" t="s">
        <v>263</v>
      </c>
    </row>
    <row r="30" spans="1:9">
      <c r="A30" s="72" t="s">
        <v>260</v>
      </c>
      <c r="B30" s="229">
        <v>5.8799999999999998E-2</v>
      </c>
      <c r="C30" s="3"/>
      <c r="D30" s="3"/>
      <c r="E30" s="72"/>
      <c r="F30" s="3"/>
      <c r="G30" s="141"/>
      <c r="H30" t="s">
        <v>263</v>
      </c>
      <c r="I30" t="s">
        <v>274</v>
      </c>
    </row>
    <row r="31" spans="1:9">
      <c r="A31" s="72" t="s">
        <v>273</v>
      </c>
      <c r="B31" s="229">
        <f>B28+B29*(B30-B28)</f>
        <v>4.4609000000000003E-2</v>
      </c>
      <c r="C31" s="3"/>
      <c r="D31" s="3"/>
      <c r="E31" s="72"/>
      <c r="F31" s="3"/>
      <c r="G31" s="141"/>
    </row>
    <row r="32" spans="1:9">
      <c r="A32" s="72" t="s">
        <v>258</v>
      </c>
      <c r="B32" s="230">
        <f>B31</f>
        <v>4.4609000000000003E-2</v>
      </c>
      <c r="C32" s="3"/>
      <c r="D32" s="3"/>
      <c r="E32" s="72"/>
      <c r="F32" s="3"/>
      <c r="G32" s="141"/>
    </row>
    <row r="33" spans="1:7">
      <c r="A33" s="226" t="s">
        <v>259</v>
      </c>
      <c r="B33" s="231">
        <f>-(B26/B24)</f>
        <v>7.2295061233953753E-2</v>
      </c>
      <c r="C33" s="227">
        <f>-(C26/C24)</f>
        <v>9.0030812290543938E-2</v>
      </c>
      <c r="D33" s="227">
        <f>-(D26/D24)</f>
        <v>0.16973946795071312</v>
      </c>
      <c r="E33" s="231">
        <v>0</v>
      </c>
      <c r="F33" s="227">
        <v>0</v>
      </c>
      <c r="G33" s="228">
        <v>0</v>
      </c>
    </row>
    <row r="36" spans="1:7" ht="26">
      <c r="A36" s="220" t="s">
        <v>267</v>
      </c>
    </row>
    <row r="38" spans="1:7">
      <c r="A38" s="278" t="s">
        <v>272</v>
      </c>
      <c r="B38" s="278"/>
      <c r="C38" s="278"/>
      <c r="G38" s="91"/>
    </row>
    <row r="39" spans="1:7">
      <c r="A39" s="278"/>
      <c r="B39" s="278"/>
      <c r="C39" s="278"/>
    </row>
    <row r="40" spans="1:7">
      <c r="A40" s="279"/>
      <c r="B40" s="279"/>
      <c r="C40" s="279"/>
    </row>
    <row r="41" spans="1:7">
      <c r="A41" s="280" t="s">
        <v>264</v>
      </c>
      <c r="B41" s="280"/>
      <c r="C41" s="280"/>
      <c r="D41" s="215">
        <f>'1.uzdevums'!G35+('1.uzdevums'!G43-'1.uzdevums'!F43)+('1.uzdevums'!G42-'1.uzdevums'!F42)+('1.uzdevums'!G48-'1.uzdevums'!F48)-'1.uzdevums'!G33-(-'1.uzdevums'!G36)</f>
        <v>6681022.8010150446</v>
      </c>
    </row>
    <row r="42" spans="1:7">
      <c r="A42" s="161" t="s">
        <v>265</v>
      </c>
      <c r="B42" s="232">
        <v>0.13</v>
      </c>
    </row>
    <row r="43" spans="1:7">
      <c r="A43" s="161" t="s">
        <v>266</v>
      </c>
      <c r="B43" s="215">
        <f>D41/(B42-2%)</f>
        <v>60736570.918318585</v>
      </c>
    </row>
    <row r="44" spans="1:7">
      <c r="A44" s="281" t="s">
        <v>269</v>
      </c>
      <c r="B44" s="281"/>
      <c r="C44" s="281"/>
    </row>
    <row r="45" spans="1:7">
      <c r="A45" s="281"/>
      <c r="B45" s="281"/>
      <c r="C45" s="281"/>
    </row>
    <row r="46" spans="1:7">
      <c r="A46" s="281"/>
      <c r="B46" s="281"/>
      <c r="C46" s="281"/>
    </row>
    <row r="47" spans="1:7">
      <c r="A47" s="199" t="s">
        <v>266</v>
      </c>
      <c r="B47" s="233">
        <f>G11*4</f>
        <v>22296958.494623553</v>
      </c>
      <c r="C47" s="183" t="s">
        <v>270</v>
      </c>
    </row>
    <row r="48" spans="1:7">
      <c r="A48" s="281" t="s">
        <v>268</v>
      </c>
      <c r="B48" s="281"/>
      <c r="C48" s="281"/>
    </row>
    <row r="49" spans="1:8">
      <c r="A49" s="281"/>
      <c r="B49" s="281"/>
      <c r="C49" s="281"/>
    </row>
    <row r="50" spans="1:8">
      <c r="A50" s="281"/>
      <c r="B50" s="281"/>
      <c r="C50" s="281"/>
    </row>
    <row r="51" spans="1:8">
      <c r="A51" s="281"/>
      <c r="B51" s="281"/>
      <c r="C51" s="281"/>
    </row>
    <row r="52" spans="1:8">
      <c r="A52" s="161" t="s">
        <v>266</v>
      </c>
      <c r="B52" s="234">
        <f>0.4*B43+0.6*B47</f>
        <v>37672803.464101568</v>
      </c>
      <c r="C52" s="150" t="s">
        <v>271</v>
      </c>
    </row>
    <row r="53" spans="1:8">
      <c r="A53" s="3"/>
      <c r="C53" s="150"/>
    </row>
    <row r="54" spans="1:8">
      <c r="A54" s="3"/>
      <c r="C54" s="150"/>
    </row>
    <row r="55" spans="1:8">
      <c r="A55" s="3"/>
      <c r="C55" s="150"/>
    </row>
    <row r="56" spans="1:8">
      <c r="A56" s="3"/>
      <c r="C56" s="150"/>
    </row>
    <row r="57" spans="1:8" ht="26">
      <c r="A57" s="220" t="s">
        <v>281</v>
      </c>
      <c r="C57" s="150"/>
    </row>
    <row r="58" spans="1:8">
      <c r="A58" s="278" t="s">
        <v>278</v>
      </c>
      <c r="B58" s="278"/>
      <c r="C58" s="278"/>
      <c r="D58" s="278"/>
      <c r="E58" s="278"/>
    </row>
    <row r="59" spans="1:8">
      <c r="A59" s="278"/>
      <c r="B59" s="278"/>
      <c r="C59" s="278"/>
      <c r="D59" s="278"/>
      <c r="E59" s="278"/>
    </row>
    <row r="60" spans="1:8">
      <c r="A60" s="278"/>
      <c r="B60" s="278"/>
      <c r="C60" s="278"/>
      <c r="D60" s="278"/>
      <c r="E60" s="278"/>
    </row>
    <row r="61" spans="1:8">
      <c r="A61" s="278"/>
      <c r="B61" s="278"/>
      <c r="C61" s="278"/>
      <c r="D61" s="278"/>
      <c r="E61" s="278"/>
    </row>
    <row r="62" spans="1:8">
      <c r="A62" s="278"/>
      <c r="B62" s="278"/>
      <c r="C62" s="278"/>
      <c r="D62" s="278"/>
      <c r="E62" s="278"/>
    </row>
    <row r="64" spans="1:8" ht="15" customHeight="1">
      <c r="A64" s="218"/>
      <c r="B64" s="134">
        <v>2017</v>
      </c>
      <c r="C64" s="135">
        <v>2018</v>
      </c>
      <c r="D64" s="146">
        <v>2019</v>
      </c>
      <c r="E64" s="136">
        <v>2020</v>
      </c>
      <c r="F64" s="137">
        <v>2021</v>
      </c>
      <c r="G64" s="137">
        <v>2022</v>
      </c>
      <c r="H64" s="238">
        <v>2022</v>
      </c>
    </row>
    <row r="65" spans="1:8" ht="16">
      <c r="A65" s="221" t="s">
        <v>245</v>
      </c>
      <c r="B65" s="73">
        <v>1136074</v>
      </c>
      <c r="C65" s="73">
        <v>1473533</v>
      </c>
      <c r="D65" s="74">
        <v>1561376</v>
      </c>
      <c r="E65" s="97">
        <v>2573723.9809979675</v>
      </c>
      <c r="F65" s="73">
        <v>4072712.8406193648</v>
      </c>
      <c r="G65" s="73">
        <v>4850726.7990348861</v>
      </c>
      <c r="H65" s="276" t="s">
        <v>277</v>
      </c>
    </row>
    <row r="66" spans="1:8" ht="16">
      <c r="A66" s="222" t="s">
        <v>166</v>
      </c>
      <c r="B66" s="73">
        <v>411517</v>
      </c>
      <c r="C66" s="73">
        <v>455583</v>
      </c>
      <c r="D66" s="74">
        <v>606558</v>
      </c>
      <c r="E66" s="97">
        <v>659673.07243575272</v>
      </c>
      <c r="F66" s="73">
        <v>697116.75332789577</v>
      </c>
      <c r="G66" s="73">
        <v>723512.82462100207</v>
      </c>
      <c r="H66" s="277"/>
    </row>
    <row r="67" spans="1:8" ht="16">
      <c r="A67" s="222" t="s">
        <v>246</v>
      </c>
      <c r="B67" s="73">
        <v>1547591</v>
      </c>
      <c r="C67" s="73">
        <v>1929116</v>
      </c>
      <c r="D67" s="74">
        <v>2167934</v>
      </c>
      <c r="E67" s="97">
        <v>3233397.05343372</v>
      </c>
      <c r="F67" s="73">
        <v>4769829.5939472606</v>
      </c>
      <c r="G67" s="73">
        <v>5574239.6236558883</v>
      </c>
      <c r="H67" s="277"/>
    </row>
    <row r="68" spans="1:8" ht="16">
      <c r="A68" s="222" t="s">
        <v>247</v>
      </c>
      <c r="B68" s="73">
        <v>71066</v>
      </c>
      <c r="C68" s="73">
        <v>361004</v>
      </c>
      <c r="D68" s="74">
        <v>1581999</v>
      </c>
      <c r="E68" s="97">
        <v>977252.98777301051</v>
      </c>
      <c r="F68" s="73">
        <v>472189.00434666313</v>
      </c>
      <c r="G68" s="73">
        <v>1415016.8534210585</v>
      </c>
      <c r="H68" s="277"/>
    </row>
    <row r="69" spans="1:8" ht="16">
      <c r="A69" s="222" t="s">
        <v>248</v>
      </c>
      <c r="B69" s="73">
        <v>1476525</v>
      </c>
      <c r="C69" s="73">
        <v>1568112</v>
      </c>
      <c r="D69" s="74">
        <v>585935</v>
      </c>
      <c r="E69" s="97">
        <v>2256144.0656607095</v>
      </c>
      <c r="F69" s="73">
        <v>4297640.5896005975</v>
      </c>
      <c r="G69" s="73">
        <v>4159222.7702348297</v>
      </c>
      <c r="H69" s="277"/>
    </row>
    <row r="70" spans="1:8" ht="16">
      <c r="A70" s="222" t="s">
        <v>249</v>
      </c>
      <c r="B70" s="73">
        <v>-82585</v>
      </c>
      <c r="C70" s="73">
        <v>-175</v>
      </c>
      <c r="D70" s="74">
        <v>-117902</v>
      </c>
      <c r="E70" s="97">
        <v>-254975.69946912208</v>
      </c>
      <c r="F70" s="73">
        <v>-360056.44113902585</v>
      </c>
      <c r="G70" s="73">
        <v>-415279.1485591004</v>
      </c>
      <c r="H70" s="277"/>
    </row>
    <row r="71" spans="1:8" ht="16">
      <c r="A71" s="222" t="s">
        <v>250</v>
      </c>
      <c r="B71" s="73">
        <v>569100</v>
      </c>
      <c r="C71" s="73">
        <v>853364</v>
      </c>
      <c r="D71" s="74">
        <v>786581</v>
      </c>
      <c r="E71" s="97">
        <v>786581</v>
      </c>
      <c r="F71" s="73">
        <v>786581</v>
      </c>
      <c r="G71" s="73">
        <v>786581</v>
      </c>
      <c r="H71" s="277"/>
    </row>
    <row r="72" spans="1:8" ht="16">
      <c r="A72" s="223" t="s">
        <v>251</v>
      </c>
      <c r="B72" s="196">
        <v>824840</v>
      </c>
      <c r="C72" s="196">
        <v>714573</v>
      </c>
      <c r="D72" s="196">
        <v>-318548</v>
      </c>
      <c r="E72" s="207">
        <v>1214587.3661915874</v>
      </c>
      <c r="F72" s="196">
        <v>3151003.1484615719</v>
      </c>
      <c r="G72" s="196">
        <v>2957362.6216757293</v>
      </c>
      <c r="H72" s="235">
        <f>G67*6</f>
        <v>33445437.741935328</v>
      </c>
    </row>
    <row r="73" spans="1:8">
      <c r="A73" s="72"/>
      <c r="B73" s="3">
        <f>B74/B72</f>
        <v>0.98039215686274506</v>
      </c>
      <c r="C73" s="3">
        <f t="shared" ref="C73:H73" si="5">C74/C72</f>
        <v>0.91506224157487193</v>
      </c>
      <c r="D73" s="3">
        <f t="shared" si="5"/>
        <v>-0.87469140577680593</v>
      </c>
      <c r="E73" s="3">
        <f t="shared" si="5"/>
        <v>0.83981755187571006</v>
      </c>
      <c r="F73" s="3">
        <f t="shared" si="5"/>
        <v>0.80395396926094853</v>
      </c>
      <c r="G73" s="3">
        <f t="shared" si="5"/>
        <v>0.76962190567087629</v>
      </c>
      <c r="H73" s="200">
        <f t="shared" si="5"/>
        <v>0.76962190567087629</v>
      </c>
    </row>
    <row r="74" spans="1:8" ht="16">
      <c r="A74" s="237" t="s">
        <v>276</v>
      </c>
      <c r="B74" s="98">
        <f>B72/(1+B27)^1</f>
        <v>808666.66666666663</v>
      </c>
      <c r="C74" s="98">
        <f>C72/(1+C27)^2</f>
        <v>653878.77114888094</v>
      </c>
      <c r="D74" s="98">
        <f>-D72/(1+D27)^3</f>
        <v>278631.19792738999</v>
      </c>
      <c r="E74" s="98">
        <f>E72/(1+E27)^4</f>
        <v>1020031.7884141855</v>
      </c>
      <c r="F74" s="98">
        <f>F72/(1+F27)^5</f>
        <v>2533261.4883594266</v>
      </c>
      <c r="G74" s="98">
        <f>G72/(1+G27)^6</f>
        <v>2276051.0566538936</v>
      </c>
      <c r="H74" s="236">
        <f>H72/(1+G27)^6</f>
        <v>25740341.530944917</v>
      </c>
    </row>
    <row r="93" spans="1:4">
      <c r="A93" s="161" t="s">
        <v>279</v>
      </c>
      <c r="B93" s="215">
        <f>SUM(B74:H74)</f>
        <v>33310862.500115361</v>
      </c>
    </row>
    <row r="94" spans="1:4" ht="16">
      <c r="A94" s="239" t="s">
        <v>280</v>
      </c>
      <c r="B94" s="215">
        <f>B93+'1.uzdevums'!D41-'1.uzdevums'!D49</f>
        <v>35531008.500115365</v>
      </c>
      <c r="D94" s="243"/>
    </row>
  </sheetData>
  <mergeCells count="6">
    <mergeCell ref="H65:H71"/>
    <mergeCell ref="A58:E62"/>
    <mergeCell ref="A38:C40"/>
    <mergeCell ref="A41:C41"/>
    <mergeCell ref="A44:C46"/>
    <mergeCell ref="A48:C5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654E-5D49-7F4F-91BD-8DF4FED3070B}">
  <dimension ref="A2:AM110"/>
  <sheetViews>
    <sheetView tabSelected="1" topLeftCell="A77" workbookViewId="0">
      <selection activeCell="D107" sqref="D107"/>
    </sheetView>
  </sheetViews>
  <sheetFormatPr baseColWidth="10" defaultRowHeight="15"/>
  <cols>
    <col min="1" max="1" width="29.33203125" customWidth="1"/>
    <col min="2" max="2" width="17.83203125" customWidth="1"/>
    <col min="4" max="4" width="10.5" bestFit="1" customWidth="1"/>
  </cols>
  <sheetData>
    <row r="2" spans="1:6" ht="26">
      <c r="A2" s="220" t="s">
        <v>296</v>
      </c>
    </row>
    <row r="8" spans="1:6">
      <c r="A8" s="161" t="s">
        <v>282</v>
      </c>
      <c r="B8" s="242">
        <v>2.1000000000000001E-2</v>
      </c>
      <c r="C8" s="242">
        <v>3.1E-2</v>
      </c>
      <c r="D8" s="242">
        <v>4.1000000000000002E-2</v>
      </c>
      <c r="E8" s="242">
        <v>5.0999999999999997E-2</v>
      </c>
      <c r="F8" s="242">
        <v>6.0999999999999999E-2</v>
      </c>
    </row>
    <row r="9" spans="1:6">
      <c r="A9" s="161" t="s">
        <v>283</v>
      </c>
      <c r="B9" s="242">
        <f>5.7362*B8-0.1934</f>
        <v>-7.2939799999999971E-2</v>
      </c>
      <c r="C9" s="242">
        <f>5.7362*C8-0.1934</f>
        <v>-1.5577799999999975E-2</v>
      </c>
      <c r="D9" s="242">
        <f t="shared" ref="D9:F9" si="0">5.7362*D8-0.1934</f>
        <v>4.1784200000000021E-2</v>
      </c>
      <c r="E9" s="242">
        <f t="shared" si="0"/>
        <v>9.914619999999999E-2</v>
      </c>
      <c r="F9" s="242">
        <f t="shared" si="0"/>
        <v>0.15650820000000001</v>
      </c>
    </row>
    <row r="26" spans="1:10">
      <c r="A26" s="259" t="s">
        <v>295</v>
      </c>
      <c r="B26" s="259"/>
      <c r="C26" s="259"/>
      <c r="D26" s="259"/>
      <c r="E26" s="259"/>
      <c r="F26" s="259"/>
      <c r="G26" s="259"/>
      <c r="H26" s="259"/>
      <c r="I26" s="259"/>
      <c r="J26" s="259"/>
    </row>
    <row r="27" spans="1:10">
      <c r="A27" s="259"/>
      <c r="B27" s="259"/>
      <c r="C27" s="259"/>
      <c r="D27" s="259"/>
      <c r="E27" s="259"/>
      <c r="F27" s="259"/>
      <c r="G27" s="259"/>
      <c r="H27" s="259"/>
      <c r="I27" s="259"/>
      <c r="J27" s="259"/>
    </row>
    <row r="28" spans="1:10">
      <c r="A28" s="259"/>
      <c r="B28" s="259"/>
      <c r="C28" s="259"/>
      <c r="D28" s="259"/>
      <c r="E28" s="259"/>
      <c r="F28" s="259"/>
      <c r="G28" s="259"/>
      <c r="H28" s="259"/>
      <c r="I28" s="259"/>
      <c r="J28" s="259"/>
    </row>
    <row r="29" spans="1:10">
      <c r="A29" s="259"/>
      <c r="B29" s="259"/>
      <c r="C29" s="259"/>
      <c r="D29" s="259"/>
      <c r="E29" s="259"/>
      <c r="F29" s="259"/>
      <c r="G29" s="259"/>
      <c r="H29" s="259"/>
      <c r="I29" s="259"/>
      <c r="J29" s="259"/>
    </row>
    <row r="30" spans="1:10">
      <c r="A30" s="259"/>
      <c r="B30" s="259"/>
      <c r="C30" s="259"/>
      <c r="D30" s="259"/>
      <c r="E30" s="259"/>
      <c r="F30" s="259"/>
      <c r="G30" s="259"/>
      <c r="H30" s="259"/>
      <c r="I30" s="259"/>
      <c r="J30" s="259"/>
    </row>
    <row r="32" spans="1:10" ht="26">
      <c r="A32" s="220" t="s">
        <v>293</v>
      </c>
    </row>
    <row r="34" spans="1:9">
      <c r="A34" t="s">
        <v>284</v>
      </c>
    </row>
    <row r="35" spans="1:9">
      <c r="A35" s="282" t="s">
        <v>287</v>
      </c>
      <c r="B35" s="286"/>
      <c r="C35" s="286"/>
      <c r="D35" s="286"/>
      <c r="E35" s="286"/>
      <c r="F35" s="286"/>
      <c r="G35" s="283"/>
    </row>
    <row r="36" spans="1:9">
      <c r="A36" s="287">
        <v>4.53E-2</v>
      </c>
      <c r="B36" s="288">
        <v>0.02</v>
      </c>
      <c r="C36" s="288">
        <v>0.03</v>
      </c>
      <c r="D36" s="288">
        <v>0.04</v>
      </c>
      <c r="E36" s="288">
        <v>0.05</v>
      </c>
      <c r="F36" s="288">
        <v>0.06</v>
      </c>
      <c r="G36" s="288">
        <v>7.0000000000000007E-2</v>
      </c>
      <c r="H36" s="241"/>
      <c r="I36" s="241"/>
    </row>
    <row r="37" spans="1:9">
      <c r="A37" s="289">
        <f>'3.uzdevums'!B93</f>
        <v>33310862.500115361</v>
      </c>
      <c r="B37" s="289">
        <f>'3.uzdevums'!B72/(1+'4.uzdevums'!B36)^1+('3.uzdevums'!C72/(1+'4.uzdevums'!B36)^2)-'3.uzdevums'!D72/(1+'4.uzdevums'!B36)^3+('3.uzdevums'!E72/(1+'4.uzdevums'!B36)^4)+('3.uzdevums'!F72/(1+'4.uzdevums'!B36)^5)+('3.uzdevums'!G72/(1+'4.uzdevums'!B36)^6)+('3.uzdevums'!H72/(1+'4.uzdevums'!B36)^6)</f>
        <v>38096363.391729653</v>
      </c>
      <c r="C37" s="289">
        <f>'3.uzdevums'!B72/(1+C36)^1+('3.uzdevums'!C72/(1+C36)^2)-'3.uzdevums'!D72/(1+C36)^3+('3.uzdevums'!E72/(1+C36)^4)+('3.uzdevums'!F72/(1+C36)^5)+('3.uzdevums'!G72/(1+C36)^6)+('3.uzdevums'!H72/(1+C36)^6)</f>
        <v>36049886.008492284</v>
      </c>
      <c r="D37" s="289">
        <f>'3.uzdevums'!B72/(1+D36)^1+('3.uzdevums'!C72/(1+D36)^2)-'3.uzdevums'!D72/(1+D36)^3+('3.uzdevums'!E72/(1+D36)^4)+('3.uzdevums'!F72/(1+D36)^5)+('3.uzdevums'!G72/(1+D36)^6)+('3.uzdevums'!H72/(1+D36)^6)</f>
        <v>34134757.48029542</v>
      </c>
      <c r="E37" s="289">
        <f>'3.uzdevums'!B72/(1+E36)^1+('3.uzdevums'!C72/(1+E36)^2)-'3.uzdevums'!D72/(1+E36)^3+('3.uzdevums'!E72/(1+E36)^4)+('3.uzdevums'!F72/(1+E36)^5)+('3.uzdevums'!G72/(1+E36)^6)+('3.uzdevums'!H72/(1+E36)^6)</f>
        <v>32341341.981086023</v>
      </c>
      <c r="F37" s="289">
        <f>'3.uzdevums'!B72/(1+F36)^1+('3.uzdevums'!C72/(1+F36)^2)-'3.uzdevums'!D72/(1+F36)^3+('3.uzdevums'!E72/(1+F36)^4)+('3.uzdevums'!F72/(1+F36)^5)+('3.uzdevums'!G72/(1+F36)^6)+('3.uzdevums'!H72/(1+F36)^6)</f>
        <v>30660795.042370692</v>
      </c>
      <c r="G37" s="289">
        <f>'3.uzdevums'!B72/(1+G36)^1+('3.uzdevums'!C72/(1+G36)^2)-'3.uzdevums'!D72/(1+G36)^3+('3.uzdevums'!E72/(1+G36)^4)+('3.uzdevums'!F72/(1+G36)^5)+('3.uzdevums'!G72/(1+G36)^6)+('3.uzdevums'!H72/(1+G36)^6)</f>
        <v>29084991.823219843</v>
      </c>
    </row>
    <row r="38" spans="1:9">
      <c r="A38" s="282" t="s">
        <v>285</v>
      </c>
      <c r="B38" s="283"/>
      <c r="C38" s="215">
        <f>B37-C37</f>
        <v>2046477.3832373694</v>
      </c>
      <c r="D38" s="215">
        <f>C37-D37</f>
        <v>1915128.5281968638</v>
      </c>
      <c r="E38" s="215">
        <f>D37-E37</f>
        <v>1793415.4992093965</v>
      </c>
      <c r="F38" s="215">
        <f>E37-F37</f>
        <v>1680546.9387153313</v>
      </c>
      <c r="G38" s="215">
        <f>F37-G37</f>
        <v>1575803.2191508487</v>
      </c>
    </row>
    <row r="39" spans="1:9">
      <c r="A39" s="161" t="s">
        <v>286</v>
      </c>
      <c r="B39" s="284">
        <f>AVERAGE(C38:G38)</f>
        <v>1802274.3137019619</v>
      </c>
    </row>
    <row r="57" spans="1:39">
      <c r="A57" s="285" t="s">
        <v>290</v>
      </c>
      <c r="B57" s="285"/>
      <c r="C57" s="285"/>
      <c r="D57" s="285"/>
      <c r="E57" s="285"/>
      <c r="F57" s="285"/>
      <c r="G57" s="285"/>
      <c r="H57" s="285"/>
      <c r="I57" s="285"/>
      <c r="J57" s="285"/>
      <c r="K57" s="285"/>
    </row>
    <row r="58" spans="1:39" s="179" customFormat="1">
      <c r="A58"/>
      <c r="B58"/>
      <c r="C58"/>
      <c r="D58"/>
      <c r="E58"/>
      <c r="F58"/>
      <c r="G58"/>
      <c r="H58"/>
      <c r="I58"/>
      <c r="J58"/>
      <c r="K58"/>
      <c r="L58"/>
      <c r="M58"/>
      <c r="N58"/>
      <c r="O58"/>
      <c r="P58"/>
      <c r="Q58"/>
      <c r="R58"/>
      <c r="S58"/>
      <c r="T58"/>
      <c r="U58"/>
      <c r="V58"/>
      <c r="W58"/>
      <c r="X58"/>
      <c r="Y58"/>
      <c r="Z58"/>
      <c r="AA58"/>
      <c r="AB58"/>
    </row>
    <row r="59" spans="1:39" s="179" customFormat="1" ht="26">
      <c r="A59" s="220" t="s">
        <v>298</v>
      </c>
      <c r="B59"/>
      <c r="C59"/>
      <c r="D59"/>
      <c r="E59"/>
      <c r="F59"/>
      <c r="G59"/>
      <c r="H59"/>
      <c r="I59"/>
      <c r="J59"/>
      <c r="K59"/>
      <c r="L59"/>
      <c r="M59"/>
      <c r="N59"/>
      <c r="O59"/>
      <c r="P59"/>
      <c r="Q59"/>
      <c r="R59"/>
      <c r="S59"/>
      <c r="T59"/>
      <c r="U59"/>
      <c r="V59"/>
      <c r="W59"/>
      <c r="X59"/>
      <c r="Y59"/>
      <c r="Z59"/>
      <c r="AA59"/>
      <c r="AB59"/>
    </row>
    <row r="60" spans="1:39" s="179" customFormat="1">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row>
    <row r="61" spans="1:39">
      <c r="A61" s="292">
        <v>0.37490000000000001</v>
      </c>
      <c r="B61" s="292">
        <v>0.2135</v>
      </c>
      <c r="C61" s="293">
        <f>(11545151*(1+B61))-(14010305*A61)</f>
        <v>8757577.3940000013</v>
      </c>
      <c r="D61" s="3"/>
      <c r="E61" s="3"/>
      <c r="F61" s="3"/>
      <c r="G61" s="3"/>
    </row>
    <row r="62" spans="1:39">
      <c r="A62" s="244"/>
      <c r="B62" s="161"/>
      <c r="C62" s="280" t="s">
        <v>288</v>
      </c>
      <c r="D62" s="280"/>
      <c r="E62" s="280"/>
      <c r="F62" s="280"/>
      <c r="G62" s="280"/>
    </row>
    <row r="63" spans="1:39">
      <c r="A63" s="161"/>
      <c r="B63" s="215">
        <f>C61</f>
        <v>8757577.3940000013</v>
      </c>
      <c r="C63" s="163">
        <v>0.19350000000000001</v>
      </c>
      <c r="D63" s="163">
        <v>0.20349999999999999</v>
      </c>
      <c r="E63" s="163">
        <v>0.2135</v>
      </c>
      <c r="F63" s="163">
        <v>0.2235</v>
      </c>
      <c r="G63" s="163">
        <v>0.23350000000000001</v>
      </c>
    </row>
    <row r="64" spans="1:39" ht="15" customHeight="1">
      <c r="A64" s="290" t="s">
        <v>289</v>
      </c>
      <c r="B64" s="163">
        <v>0.35489999999999999</v>
      </c>
      <c r="C64" s="297">
        <f t="dataTable" ref="C64:G68" dt2D="1" dtr="1" r1="B61" r2="A61"/>
        <v>8806880.4739999995</v>
      </c>
      <c r="D64" s="297">
        <v>8922331.9839999992</v>
      </c>
      <c r="E64" s="297">
        <v>9037783.4940000009</v>
      </c>
      <c r="F64" s="297">
        <v>9153235.0040000007</v>
      </c>
      <c r="G64" s="297">
        <v>9268686.5140000004</v>
      </c>
      <c r="H64" s="295">
        <f>D64-C64</f>
        <v>115451.50999999978</v>
      </c>
      <c r="I64" s="259" t="s">
        <v>292</v>
      </c>
      <c r="J64" s="259"/>
      <c r="K64" s="259"/>
      <c r="L64" s="259"/>
    </row>
    <row r="65" spans="1:12">
      <c r="A65" s="290"/>
      <c r="B65" s="163">
        <v>0.3649</v>
      </c>
      <c r="C65" s="298">
        <v>8666777.4239999987</v>
      </c>
      <c r="D65" s="297">
        <v>8782228.9340000004</v>
      </c>
      <c r="E65" s="297">
        <v>8897680.444000002</v>
      </c>
      <c r="F65" s="297">
        <v>9013131.9539999999</v>
      </c>
      <c r="G65" s="297">
        <v>9128583.4640000015</v>
      </c>
      <c r="H65" s="295">
        <f t="shared" ref="H65:H68" si="1">D65-C65</f>
        <v>115451.51000000164</v>
      </c>
      <c r="I65" s="259"/>
      <c r="J65" s="259"/>
      <c r="K65" s="259"/>
      <c r="L65" s="259"/>
    </row>
    <row r="66" spans="1:12">
      <c r="A66" s="290"/>
      <c r="B66" s="163">
        <v>0.37490000000000001</v>
      </c>
      <c r="C66" s="298">
        <v>8526674.373999998</v>
      </c>
      <c r="D66" s="298">
        <v>8642125.8839999996</v>
      </c>
      <c r="E66" s="291">
        <v>8757577.3940000013</v>
      </c>
      <c r="F66" s="297">
        <v>8873028.9039999992</v>
      </c>
      <c r="G66" s="297">
        <v>8988480.4140000008</v>
      </c>
      <c r="H66" s="295">
        <f t="shared" si="1"/>
        <v>115451.51000000164</v>
      </c>
      <c r="I66" s="259"/>
      <c r="J66" s="259"/>
      <c r="K66" s="259"/>
      <c r="L66" s="259"/>
    </row>
    <row r="67" spans="1:12">
      <c r="A67" s="290"/>
      <c r="B67" s="163">
        <v>0.38490000000000002</v>
      </c>
      <c r="C67" s="298">
        <v>8386571.3239999991</v>
      </c>
      <c r="D67" s="298">
        <v>8502022.8339999989</v>
      </c>
      <c r="E67" s="298">
        <v>8617474.3440000005</v>
      </c>
      <c r="F67" s="298">
        <v>8732925.8540000003</v>
      </c>
      <c r="G67" s="297">
        <v>8848377.3640000001</v>
      </c>
      <c r="H67" s="295">
        <f t="shared" si="1"/>
        <v>115451.50999999978</v>
      </c>
      <c r="I67" s="259"/>
      <c r="J67" s="259"/>
      <c r="K67" s="259"/>
      <c r="L67" s="259"/>
    </row>
    <row r="68" spans="1:12">
      <c r="A68" s="290"/>
      <c r="B68" s="163">
        <v>0.39489999999999997</v>
      </c>
      <c r="C68" s="298">
        <v>8246468.2740000002</v>
      </c>
      <c r="D68" s="298">
        <v>8361919.784</v>
      </c>
      <c r="E68" s="298">
        <v>8477371.2940000016</v>
      </c>
      <c r="F68" s="298">
        <v>8592822.8040000014</v>
      </c>
      <c r="G68" s="298">
        <v>8708274.3140000012</v>
      </c>
      <c r="H68" s="295">
        <f t="shared" si="1"/>
        <v>115451.50999999978</v>
      </c>
      <c r="I68" s="259"/>
      <c r="J68" s="259"/>
      <c r="K68" s="259"/>
      <c r="L68" s="259"/>
    </row>
    <row r="69" spans="1:12">
      <c r="C69" s="294">
        <f>C64-C65</f>
        <v>140103.05000000075</v>
      </c>
      <c r="D69" s="294">
        <f t="shared" ref="D69:G69" si="2">D64-D65</f>
        <v>140103.04999999888</v>
      </c>
      <c r="E69" s="294">
        <f t="shared" si="2"/>
        <v>140103.04999999888</v>
      </c>
      <c r="F69" s="294">
        <f t="shared" si="2"/>
        <v>140103.05000000075</v>
      </c>
      <c r="G69" s="294">
        <f t="shared" si="2"/>
        <v>140103.04999999888</v>
      </c>
    </row>
    <row r="70" spans="1:12">
      <c r="A70" s="296" t="s">
        <v>291</v>
      </c>
      <c r="B70" s="296"/>
      <c r="C70" s="296"/>
      <c r="D70" s="296"/>
      <c r="E70" s="296"/>
      <c r="F70" s="296"/>
      <c r="G70" s="296"/>
    </row>
    <row r="71" spans="1:12">
      <c r="A71" s="296"/>
      <c r="B71" s="296"/>
      <c r="C71" s="296"/>
      <c r="D71" s="296"/>
      <c r="E71" s="296"/>
      <c r="F71" s="296"/>
      <c r="G71" s="296"/>
    </row>
    <row r="98" spans="1:7">
      <c r="A98" s="299" t="s">
        <v>297</v>
      </c>
      <c r="B98" s="299"/>
      <c r="C98" s="299"/>
      <c r="D98" s="299"/>
      <c r="E98" s="299"/>
      <c r="F98" s="299"/>
      <c r="G98" s="299"/>
    </row>
    <row r="99" spans="1:7">
      <c r="A99" s="299"/>
      <c r="B99" s="299"/>
      <c r="C99" s="299"/>
      <c r="D99" s="299"/>
      <c r="E99" s="299"/>
      <c r="F99" s="299"/>
      <c r="G99" s="299"/>
    </row>
    <row r="100" spans="1:7">
      <c r="A100" s="299"/>
      <c r="B100" s="299"/>
      <c r="C100" s="299"/>
      <c r="D100" s="299"/>
      <c r="E100" s="299"/>
      <c r="F100" s="299"/>
      <c r="G100" s="299"/>
    </row>
    <row r="101" spans="1:7">
      <c r="A101" s="299"/>
      <c r="B101" s="299"/>
      <c r="C101" s="299"/>
      <c r="D101" s="299"/>
      <c r="E101" s="299"/>
      <c r="F101" s="299"/>
      <c r="G101" s="299"/>
    </row>
    <row r="104" spans="1:7" ht="26">
      <c r="A104" s="220" t="s">
        <v>294</v>
      </c>
    </row>
    <row r="106" spans="1:7">
      <c r="D106" s="69">
        <f>'3.uzdevums'!B93</f>
        <v>33310862.500115361</v>
      </c>
    </row>
    <row r="107" spans="1:7" ht="16">
      <c r="A107" s="239" t="s">
        <v>299</v>
      </c>
      <c r="B107" s="239" t="s">
        <v>300</v>
      </c>
      <c r="D107" s="302"/>
    </row>
    <row r="108" spans="1:7">
      <c r="A108" s="300">
        <v>0</v>
      </c>
      <c r="B108" s="301">
        <f>D106</f>
        <v>33310862.500115361</v>
      </c>
      <c r="D108" s="302"/>
    </row>
    <row r="109" spans="1:7">
      <c r="A109" s="300">
        <v>0.01</v>
      </c>
      <c r="B109" s="301">
        <f t="dataTable" ref="B109:B110" dt2D="0" dtr="0" r1="D106"/>
        <v>0.01</v>
      </c>
    </row>
    <row r="110" spans="1:7">
      <c r="A110" s="300">
        <v>-0.01</v>
      </c>
      <c r="B110" s="301">
        <v>-0.01</v>
      </c>
    </row>
  </sheetData>
  <mergeCells count="8">
    <mergeCell ref="A64:A68"/>
    <mergeCell ref="A70:G71"/>
    <mergeCell ref="I64:L68"/>
    <mergeCell ref="A98:G101"/>
    <mergeCell ref="A26:J30"/>
    <mergeCell ref="A38:B38"/>
    <mergeCell ref="A35:G35"/>
    <mergeCell ref="C62:G6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Aktīvi</vt:lpstr>
      <vt:lpstr>Pasīvi</vt:lpstr>
      <vt:lpstr>PZA</vt:lpstr>
      <vt:lpstr>Naudas plūsma</vt:lpstr>
      <vt:lpstr>1.uzdevums</vt:lpstr>
      <vt:lpstr>2.uzdevums</vt:lpstr>
      <vt:lpstr>3.uzdevums</vt:lpstr>
      <vt:lpstr>4.uzdevums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2021-03-31T19:07:10Z</dcterms:modified>
</cp:coreProperties>
</file>