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Looqupai\Project\Data\"/>
    </mc:Choice>
  </mc:AlternateContent>
  <xr:revisionPtr revIDLastSave="0" documentId="13_ncr:1_{1FE460AA-1AC5-4186-9B33-72BF9B52AFAB}" xr6:coauthVersionLast="47" xr6:coauthVersionMax="47" xr10:uidLastSave="{00000000-0000-0000-0000-000000000000}"/>
  <bookViews>
    <workbookView xWindow="14303" yWindow="-98" windowWidth="28995" windowHeight="15675" activeTab="2" xr2:uid="{00000000-000D-0000-FFFF-FFFF00000000}"/>
  </bookViews>
  <sheets>
    <sheet name="Property List" sheetId="6" r:id="rId1"/>
    <sheet name="Flip Inventory Sheet" sheetId="3" r:id="rId2"/>
    <sheet name="Sold Flips" sheetId="4" r:id="rId3"/>
    <sheet name="Wholesale" sheetId="5" r:id="rId4"/>
    <sheet name="Kiavi Loans" sheetId="2" r:id="rId5"/>
  </sheets>
  <externalReferences>
    <externalReference r:id="rId6"/>
  </externalReferences>
  <definedNames>
    <definedName name="_xlnm._FilterDatabase" localSheetId="1" hidden="1">'Flip Inventory Sheet'!$A$2:$AB$27</definedName>
    <definedName name="_xlnm._FilterDatabase" localSheetId="4" hidden="1">'Kiavi Loans'!$A$3:$Z$35</definedName>
    <definedName name="_xlnm._FilterDatabase" localSheetId="0" hidden="1">'Property List'!$A$1:$Z$45</definedName>
    <definedName name="_xlnm._FilterDatabase" localSheetId="2" hidden="1">'Sold Flips'!$A$2:$AF$37</definedName>
    <definedName name="_xlnm._FilterDatabase" localSheetId="3" hidden="1">Wholesale!$A$2:$AC$31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4" l="1"/>
  <c r="C9" i="4"/>
  <c r="C8" i="4"/>
  <c r="C7" i="4"/>
  <c r="C6" i="4"/>
  <c r="E6" i="4" s="1"/>
  <c r="C5" i="4"/>
  <c r="C4" i="4"/>
  <c r="C43" i="6"/>
  <c r="C35" i="6"/>
  <c r="AB31" i="5"/>
  <c r="O31" i="5"/>
  <c r="M31" i="5"/>
  <c r="L31" i="5"/>
  <c r="U31" i="5" s="1"/>
  <c r="J31" i="5"/>
  <c r="V31" i="5" s="1"/>
  <c r="H31" i="5"/>
  <c r="F31" i="5"/>
  <c r="E31" i="5"/>
  <c r="AB30" i="5"/>
  <c r="O30" i="5"/>
  <c r="M30" i="5"/>
  <c r="L30" i="5"/>
  <c r="J30" i="5"/>
  <c r="V30" i="5" s="1"/>
  <c r="H30" i="5"/>
  <c r="F30" i="5"/>
  <c r="E30" i="5"/>
  <c r="AB29" i="5"/>
  <c r="O29" i="5"/>
  <c r="M29" i="5"/>
  <c r="L29" i="5"/>
  <c r="U29" i="5" s="1"/>
  <c r="J29" i="5"/>
  <c r="V29" i="5" s="1"/>
  <c r="H29" i="5"/>
  <c r="F29" i="5"/>
  <c r="E29" i="5"/>
  <c r="AB28" i="5"/>
  <c r="O28" i="5"/>
  <c r="M28" i="5"/>
  <c r="L28" i="5"/>
  <c r="J28" i="5"/>
  <c r="V28" i="5" s="1"/>
  <c r="H28" i="5"/>
  <c r="F28" i="5"/>
  <c r="E28" i="5"/>
  <c r="AB27" i="5"/>
  <c r="O27" i="5"/>
  <c r="M27" i="5"/>
  <c r="L27" i="5"/>
  <c r="J27" i="5"/>
  <c r="V27" i="5" s="1"/>
  <c r="F27" i="5"/>
  <c r="E27" i="5"/>
  <c r="AB26" i="5"/>
  <c r="O26" i="5"/>
  <c r="M26" i="5"/>
  <c r="L26" i="5"/>
  <c r="J26" i="5"/>
  <c r="H26" i="5"/>
  <c r="F26" i="5"/>
  <c r="E26" i="5"/>
  <c r="AB25" i="5"/>
  <c r="O25" i="5"/>
  <c r="M25" i="5"/>
  <c r="L25" i="5"/>
  <c r="J25" i="5"/>
  <c r="V25" i="5" s="1"/>
  <c r="H25" i="5"/>
  <c r="F25" i="5"/>
  <c r="E25" i="5"/>
  <c r="AB24" i="5"/>
  <c r="O24" i="5"/>
  <c r="M24" i="5"/>
  <c r="L24" i="5"/>
  <c r="J24" i="5"/>
  <c r="V24" i="5" s="1"/>
  <c r="H24" i="5"/>
  <c r="F24" i="5"/>
  <c r="E24" i="5"/>
  <c r="AB23" i="5"/>
  <c r="O23" i="5"/>
  <c r="M23" i="5"/>
  <c r="L23" i="5"/>
  <c r="J23" i="5"/>
  <c r="V23" i="5" s="1"/>
  <c r="H23" i="5"/>
  <c r="F23" i="5"/>
  <c r="E23" i="5"/>
  <c r="AB22" i="5"/>
  <c r="O22" i="5"/>
  <c r="M22" i="5"/>
  <c r="L22" i="5"/>
  <c r="J22" i="5"/>
  <c r="V22" i="5" s="1"/>
  <c r="H22" i="5"/>
  <c r="F22" i="5"/>
  <c r="E22" i="5"/>
  <c r="AB21" i="5"/>
  <c r="O21" i="5"/>
  <c r="M21" i="5"/>
  <c r="L21" i="5"/>
  <c r="J21" i="5"/>
  <c r="V21" i="5" s="1"/>
  <c r="H21" i="5"/>
  <c r="F21" i="5"/>
  <c r="E21" i="5"/>
  <c r="AB20" i="5"/>
  <c r="O20" i="5"/>
  <c r="M20" i="5"/>
  <c r="L20" i="5"/>
  <c r="J20" i="5"/>
  <c r="V20" i="5" s="1"/>
  <c r="H20" i="5"/>
  <c r="K20" i="5" s="1"/>
  <c r="F20" i="5"/>
  <c r="E20" i="5"/>
  <c r="Z19" i="5"/>
  <c r="X19" i="5"/>
  <c r="W19" i="5"/>
  <c r="Q19" i="5"/>
  <c r="O19" i="5"/>
  <c r="M19" i="5"/>
  <c r="L19" i="5"/>
  <c r="J19" i="5"/>
  <c r="H19" i="5"/>
  <c r="F19" i="5"/>
  <c r="C19" i="5"/>
  <c r="AB19" i="5" s="1"/>
  <c r="AB18" i="5"/>
  <c r="O18" i="5"/>
  <c r="M18" i="5"/>
  <c r="L18" i="5"/>
  <c r="J18" i="5"/>
  <c r="V18" i="5" s="1"/>
  <c r="H18" i="5"/>
  <c r="F18" i="5"/>
  <c r="E18" i="5"/>
  <c r="AB17" i="5"/>
  <c r="O17" i="5"/>
  <c r="M17" i="5"/>
  <c r="L17" i="5"/>
  <c r="J17" i="5"/>
  <c r="V17" i="5" s="1"/>
  <c r="H17" i="5"/>
  <c r="F17" i="5"/>
  <c r="E17" i="5"/>
  <c r="AB16" i="5"/>
  <c r="O16" i="5"/>
  <c r="M16" i="5"/>
  <c r="L16" i="5"/>
  <c r="J16" i="5"/>
  <c r="V16" i="5" s="1"/>
  <c r="H16" i="5"/>
  <c r="F16" i="5"/>
  <c r="E16" i="5"/>
  <c r="AB15" i="5"/>
  <c r="O15" i="5"/>
  <c r="M15" i="5"/>
  <c r="L15" i="5"/>
  <c r="J15" i="5"/>
  <c r="V15" i="5" s="1"/>
  <c r="H15" i="5"/>
  <c r="F15" i="5"/>
  <c r="E15" i="5"/>
  <c r="AB14" i="5"/>
  <c r="O14" i="5"/>
  <c r="M14" i="5"/>
  <c r="L14" i="5"/>
  <c r="J14" i="5"/>
  <c r="V14" i="5" s="1"/>
  <c r="H14" i="5"/>
  <c r="F14" i="5"/>
  <c r="E14" i="5"/>
  <c r="Z13" i="5"/>
  <c r="X13" i="5"/>
  <c r="W13" i="5"/>
  <c r="O13" i="5"/>
  <c r="M13" i="5"/>
  <c r="U13" i="5" s="1"/>
  <c r="J13" i="5"/>
  <c r="H13" i="5"/>
  <c r="G13" i="5"/>
  <c r="F13" i="5"/>
  <c r="C13" i="5"/>
  <c r="AB13" i="5" s="1"/>
  <c r="AB12" i="5"/>
  <c r="O12" i="5"/>
  <c r="M12" i="5"/>
  <c r="L12" i="5"/>
  <c r="U12" i="5" s="1"/>
  <c r="J12" i="5"/>
  <c r="V12" i="5" s="1"/>
  <c r="H12" i="5"/>
  <c r="F12" i="5"/>
  <c r="E12" i="5"/>
  <c r="AB11" i="5"/>
  <c r="O11" i="5"/>
  <c r="M11" i="5"/>
  <c r="L11" i="5"/>
  <c r="J11" i="5"/>
  <c r="H11" i="5"/>
  <c r="F11" i="5"/>
  <c r="E11" i="5"/>
  <c r="AB10" i="5"/>
  <c r="O10" i="5"/>
  <c r="M10" i="5"/>
  <c r="U10" i="5" s="1"/>
  <c r="L10" i="5"/>
  <c r="J10" i="5"/>
  <c r="V10" i="5" s="1"/>
  <c r="H10" i="5"/>
  <c r="F10" i="5"/>
  <c r="E10" i="5"/>
  <c r="AB9" i="5"/>
  <c r="O9" i="5"/>
  <c r="M9" i="5"/>
  <c r="L9" i="5"/>
  <c r="J9" i="5"/>
  <c r="V9" i="5" s="1"/>
  <c r="H9" i="5"/>
  <c r="F9" i="5"/>
  <c r="E9" i="5"/>
  <c r="Z8" i="5"/>
  <c r="X8" i="5"/>
  <c r="W8" i="5"/>
  <c r="R8" i="5"/>
  <c r="Q8" i="5"/>
  <c r="O8" i="5"/>
  <c r="L8" i="5"/>
  <c r="J8" i="5"/>
  <c r="H8" i="5"/>
  <c r="G8" i="5"/>
  <c r="F8" i="5"/>
  <c r="C8" i="5"/>
  <c r="AB8" i="5" s="1"/>
  <c r="AB7" i="5"/>
  <c r="O7" i="5"/>
  <c r="M7" i="5"/>
  <c r="L7" i="5"/>
  <c r="J7" i="5"/>
  <c r="V7" i="5" s="1"/>
  <c r="H7" i="5"/>
  <c r="F7" i="5"/>
  <c r="E7" i="5"/>
  <c r="AB6" i="5"/>
  <c r="O6" i="5"/>
  <c r="M6" i="5"/>
  <c r="L6" i="5"/>
  <c r="J6" i="5"/>
  <c r="V6" i="5" s="1"/>
  <c r="H6" i="5"/>
  <c r="F6" i="5"/>
  <c r="E6" i="5"/>
  <c r="AB5" i="5"/>
  <c r="O5" i="5"/>
  <c r="M5" i="5"/>
  <c r="L5" i="5"/>
  <c r="J5" i="5"/>
  <c r="V5" i="5" s="1"/>
  <c r="H5" i="5"/>
  <c r="F5" i="5"/>
  <c r="E5" i="5"/>
  <c r="AB4" i="5"/>
  <c r="O4" i="5"/>
  <c r="M4" i="5"/>
  <c r="L4" i="5"/>
  <c r="J4" i="5"/>
  <c r="V4" i="5" s="1"/>
  <c r="H4" i="5"/>
  <c r="F4" i="5"/>
  <c r="E4" i="5"/>
  <c r="AB3" i="5"/>
  <c r="O3" i="5"/>
  <c r="M3" i="5"/>
  <c r="L3" i="5"/>
  <c r="J3" i="5"/>
  <c r="V3" i="5" s="1"/>
  <c r="H3" i="5"/>
  <c r="F3" i="5"/>
  <c r="E3" i="5"/>
  <c r="D1" i="5"/>
  <c r="A1" i="5"/>
  <c r="AB37" i="4"/>
  <c r="O37" i="4"/>
  <c r="L37" i="4"/>
  <c r="J37" i="4"/>
  <c r="H37" i="4"/>
  <c r="G37" i="4"/>
  <c r="M37" i="4" s="1"/>
  <c r="E37" i="4"/>
  <c r="AB36" i="4"/>
  <c r="O36" i="4"/>
  <c r="M36" i="4"/>
  <c r="L36" i="4"/>
  <c r="J36" i="4"/>
  <c r="H36" i="4"/>
  <c r="E36" i="4"/>
  <c r="AB35" i="4"/>
  <c r="O35" i="4"/>
  <c r="M35" i="4"/>
  <c r="L35" i="4"/>
  <c r="U35" i="4" s="1"/>
  <c r="J35" i="4"/>
  <c r="H35" i="4"/>
  <c r="E35" i="4"/>
  <c r="AB34" i="4"/>
  <c r="O34" i="4"/>
  <c r="M34" i="4"/>
  <c r="L34" i="4"/>
  <c r="J34" i="4"/>
  <c r="H34" i="4"/>
  <c r="E34" i="4"/>
  <c r="AB33" i="4"/>
  <c r="O33" i="4"/>
  <c r="M33" i="4"/>
  <c r="L33" i="4"/>
  <c r="J33" i="4"/>
  <c r="H33" i="4"/>
  <c r="E33" i="4"/>
  <c r="AB32" i="4"/>
  <c r="O32" i="4"/>
  <c r="M32" i="4"/>
  <c r="L32" i="4"/>
  <c r="J32" i="4"/>
  <c r="H32" i="4"/>
  <c r="E32" i="4"/>
  <c r="AB31" i="4"/>
  <c r="O31" i="4"/>
  <c r="M31" i="4"/>
  <c r="L31" i="4"/>
  <c r="J31" i="4"/>
  <c r="V31" i="4" s="1"/>
  <c r="H31" i="4"/>
  <c r="E31" i="4"/>
  <c r="AB30" i="4"/>
  <c r="O30" i="4"/>
  <c r="M30" i="4"/>
  <c r="L30" i="4"/>
  <c r="J30" i="4"/>
  <c r="H30" i="4"/>
  <c r="E30" i="4"/>
  <c r="AB29" i="4"/>
  <c r="O29" i="4"/>
  <c r="M29" i="4"/>
  <c r="L29" i="4"/>
  <c r="J29" i="4"/>
  <c r="H29" i="4"/>
  <c r="E29" i="4"/>
  <c r="AB28" i="4"/>
  <c r="O28" i="4"/>
  <c r="M28" i="4"/>
  <c r="L28" i="4"/>
  <c r="J28" i="4"/>
  <c r="H28" i="4"/>
  <c r="E28" i="4"/>
  <c r="AB27" i="4"/>
  <c r="O27" i="4"/>
  <c r="M27" i="4"/>
  <c r="L27" i="4"/>
  <c r="J27" i="4"/>
  <c r="H27" i="4"/>
  <c r="E27" i="4"/>
  <c r="AB26" i="4"/>
  <c r="O26" i="4"/>
  <c r="M26" i="4"/>
  <c r="L26" i="4"/>
  <c r="J26" i="4"/>
  <c r="H26" i="4"/>
  <c r="E26" i="4"/>
  <c r="AB25" i="4"/>
  <c r="O25" i="4"/>
  <c r="M25" i="4"/>
  <c r="L25" i="4"/>
  <c r="J25" i="4"/>
  <c r="H25" i="4"/>
  <c r="E25" i="4"/>
  <c r="AB24" i="4"/>
  <c r="O24" i="4"/>
  <c r="M24" i="4"/>
  <c r="L24" i="4"/>
  <c r="U24" i="4" s="1"/>
  <c r="J24" i="4"/>
  <c r="H24" i="4"/>
  <c r="E24" i="4"/>
  <c r="AB23" i="4"/>
  <c r="O23" i="4"/>
  <c r="M23" i="4"/>
  <c r="L23" i="4"/>
  <c r="J23" i="4"/>
  <c r="H23" i="4"/>
  <c r="E23" i="4"/>
  <c r="AB22" i="4"/>
  <c r="O22" i="4"/>
  <c r="M22" i="4"/>
  <c r="L22" i="4"/>
  <c r="J22" i="4"/>
  <c r="V22" i="4" s="1"/>
  <c r="H22" i="4"/>
  <c r="K22" i="4" s="1"/>
  <c r="E22" i="4"/>
  <c r="AB21" i="4"/>
  <c r="O21" i="4"/>
  <c r="M21" i="4"/>
  <c r="L21" i="4"/>
  <c r="J21" i="4"/>
  <c r="H21" i="4"/>
  <c r="E21" i="4"/>
  <c r="AB20" i="4"/>
  <c r="O20" i="4"/>
  <c r="M20" i="4"/>
  <c r="L20" i="4"/>
  <c r="J20" i="4"/>
  <c r="V20" i="4" s="1"/>
  <c r="H20" i="4"/>
  <c r="K20" i="4" s="1"/>
  <c r="E20" i="4"/>
  <c r="AB19" i="4"/>
  <c r="O19" i="4"/>
  <c r="M19" i="4"/>
  <c r="L19" i="4"/>
  <c r="J19" i="4"/>
  <c r="H19" i="4"/>
  <c r="E19" i="4"/>
  <c r="AB18" i="4"/>
  <c r="O18" i="4"/>
  <c r="M18" i="4"/>
  <c r="L18" i="4"/>
  <c r="J18" i="4"/>
  <c r="K18" i="4" s="1"/>
  <c r="H18" i="4"/>
  <c r="E18" i="4"/>
  <c r="AB17" i="4"/>
  <c r="O17" i="4"/>
  <c r="M17" i="4"/>
  <c r="L17" i="4"/>
  <c r="J17" i="4"/>
  <c r="H17" i="4"/>
  <c r="E17" i="4"/>
  <c r="AB16" i="4"/>
  <c r="O16" i="4"/>
  <c r="M16" i="4"/>
  <c r="L16" i="4"/>
  <c r="J16" i="4"/>
  <c r="H16" i="4"/>
  <c r="E16" i="4"/>
  <c r="AB15" i="4"/>
  <c r="O15" i="4"/>
  <c r="M15" i="4"/>
  <c r="L15" i="4"/>
  <c r="J15" i="4"/>
  <c r="H15" i="4"/>
  <c r="E15" i="4"/>
  <c r="AB14" i="4"/>
  <c r="O14" i="4"/>
  <c r="M14" i="4"/>
  <c r="L14" i="4"/>
  <c r="J14" i="4"/>
  <c r="H14" i="4"/>
  <c r="E14" i="4"/>
  <c r="AB13" i="4"/>
  <c r="O13" i="4"/>
  <c r="M13" i="4"/>
  <c r="L13" i="4"/>
  <c r="J13" i="4"/>
  <c r="H13" i="4"/>
  <c r="E13" i="4"/>
  <c r="AB12" i="4"/>
  <c r="O12" i="4"/>
  <c r="M12" i="4"/>
  <c r="L12" i="4"/>
  <c r="J12" i="4"/>
  <c r="V12" i="4" s="1"/>
  <c r="H12" i="4"/>
  <c r="E12" i="4"/>
  <c r="AB11" i="4"/>
  <c r="O11" i="4"/>
  <c r="M11" i="4"/>
  <c r="L11" i="4"/>
  <c r="J11" i="4"/>
  <c r="H11" i="4"/>
  <c r="E11" i="4"/>
  <c r="AB10" i="4"/>
  <c r="O10" i="4"/>
  <c r="M10" i="4"/>
  <c r="L10" i="4"/>
  <c r="J10" i="4"/>
  <c r="V10" i="4" s="1"/>
  <c r="H10" i="4"/>
  <c r="E10" i="4"/>
  <c r="AB9" i="4"/>
  <c r="O9" i="4"/>
  <c r="M9" i="4"/>
  <c r="L9" i="4"/>
  <c r="J9" i="4"/>
  <c r="H9" i="4"/>
  <c r="E9" i="4"/>
  <c r="AB8" i="4"/>
  <c r="O8" i="4"/>
  <c r="M8" i="4"/>
  <c r="L8" i="4"/>
  <c r="J8" i="4"/>
  <c r="H8" i="4"/>
  <c r="E8" i="4"/>
  <c r="AB7" i="4"/>
  <c r="O7" i="4"/>
  <c r="M7" i="4"/>
  <c r="L7" i="4"/>
  <c r="J7" i="4"/>
  <c r="H7" i="4"/>
  <c r="E7" i="4"/>
  <c r="AB6" i="4"/>
  <c r="O6" i="4"/>
  <c r="M6" i="4"/>
  <c r="L6" i="4"/>
  <c r="J6" i="4"/>
  <c r="H6" i="4"/>
  <c r="AB5" i="4"/>
  <c r="O5" i="4"/>
  <c r="M5" i="4"/>
  <c r="L5" i="4"/>
  <c r="J5" i="4"/>
  <c r="H5" i="4"/>
  <c r="E5" i="4"/>
  <c r="AB4" i="4"/>
  <c r="O4" i="4"/>
  <c r="M4" i="4"/>
  <c r="U4" i="4" s="1"/>
  <c r="L4" i="4"/>
  <c r="J4" i="4"/>
  <c r="H4" i="4"/>
  <c r="E4" i="4"/>
  <c r="AB3" i="4"/>
  <c r="O3" i="4"/>
  <c r="M3" i="4"/>
  <c r="L3" i="4"/>
  <c r="J3" i="4"/>
  <c r="H3" i="4"/>
  <c r="E3" i="4"/>
  <c r="A1" i="4"/>
  <c r="AA27" i="3"/>
  <c r="Z27" i="3"/>
  <c r="Y27" i="3"/>
  <c r="W27" i="3"/>
  <c r="T27" i="3"/>
  <c r="S27" i="3"/>
  <c r="R27" i="3"/>
  <c r="Q27" i="3"/>
  <c r="N27" i="3"/>
  <c r="L27" i="3"/>
  <c r="J27" i="3"/>
  <c r="I27" i="3"/>
  <c r="H27" i="3"/>
  <c r="G27" i="3"/>
  <c r="F27" i="3"/>
  <c r="C27" i="3"/>
  <c r="AB27" i="3" s="1"/>
  <c r="AA26" i="3"/>
  <c r="Z26" i="3"/>
  <c r="Y26" i="3"/>
  <c r="W26" i="3"/>
  <c r="T26" i="3"/>
  <c r="S26" i="3"/>
  <c r="R26" i="3"/>
  <c r="Q26" i="3"/>
  <c r="N26" i="3"/>
  <c r="L26" i="3"/>
  <c r="J26" i="3"/>
  <c r="I26" i="3"/>
  <c r="H26" i="3"/>
  <c r="G26" i="3"/>
  <c r="F26" i="3"/>
  <c r="C26" i="3"/>
  <c r="AB26" i="3" s="1"/>
  <c r="AA25" i="3"/>
  <c r="Z25" i="3"/>
  <c r="Y25" i="3"/>
  <c r="W25" i="3"/>
  <c r="T25" i="3"/>
  <c r="S25" i="3"/>
  <c r="R25" i="3"/>
  <c r="Q25" i="3"/>
  <c r="N25" i="3"/>
  <c r="O25" i="3" s="1"/>
  <c r="L25" i="3"/>
  <c r="J25" i="3"/>
  <c r="I25" i="3"/>
  <c r="H25" i="3"/>
  <c r="G25" i="3"/>
  <c r="F25" i="3"/>
  <c r="C25" i="3"/>
  <c r="AB25" i="3" s="1"/>
  <c r="AA24" i="3"/>
  <c r="Z24" i="3"/>
  <c r="Y24" i="3"/>
  <c r="W24" i="3"/>
  <c r="T24" i="3"/>
  <c r="S24" i="3"/>
  <c r="R24" i="3"/>
  <c r="Q24" i="3"/>
  <c r="N24" i="3"/>
  <c r="L24" i="3"/>
  <c r="J24" i="3"/>
  <c r="I24" i="3"/>
  <c r="H24" i="3"/>
  <c r="G24" i="3"/>
  <c r="F24" i="3"/>
  <c r="C24" i="3"/>
  <c r="AB24" i="3" s="1"/>
  <c r="AA23" i="3"/>
  <c r="Z23" i="3"/>
  <c r="Y23" i="3"/>
  <c r="W23" i="3"/>
  <c r="T23" i="3"/>
  <c r="S23" i="3"/>
  <c r="R23" i="3"/>
  <c r="Q23" i="3"/>
  <c r="N23" i="3"/>
  <c r="O23" i="3" s="1"/>
  <c r="L23" i="3"/>
  <c r="J23" i="3"/>
  <c r="I23" i="3"/>
  <c r="H23" i="3"/>
  <c r="G23" i="3"/>
  <c r="F23" i="3"/>
  <c r="C23" i="3"/>
  <c r="AB23" i="3" s="1"/>
  <c r="AA22" i="3"/>
  <c r="Z22" i="3"/>
  <c r="Y22" i="3"/>
  <c r="W22" i="3"/>
  <c r="T22" i="3"/>
  <c r="S22" i="3"/>
  <c r="R22" i="3"/>
  <c r="Q22" i="3"/>
  <c r="N22" i="3"/>
  <c r="L22" i="3"/>
  <c r="J22" i="3"/>
  <c r="I22" i="3"/>
  <c r="H22" i="3"/>
  <c r="G22" i="3"/>
  <c r="F22" i="3"/>
  <c r="C22" i="3"/>
  <c r="AB22" i="3" s="1"/>
  <c r="AA21" i="3"/>
  <c r="Z21" i="3"/>
  <c r="Y21" i="3"/>
  <c r="W21" i="3"/>
  <c r="U21" i="3"/>
  <c r="L21" i="3"/>
  <c r="J21" i="3"/>
  <c r="I21" i="3"/>
  <c r="H21" i="3"/>
  <c r="G21" i="3"/>
  <c r="F21" i="3"/>
  <c r="C21" i="3"/>
  <c r="AB21" i="3" s="1"/>
  <c r="AA20" i="3"/>
  <c r="Z20" i="3"/>
  <c r="Y20" i="3"/>
  <c r="W20" i="3"/>
  <c r="T20" i="3"/>
  <c r="S20" i="3"/>
  <c r="R20" i="3"/>
  <c r="Q20" i="3"/>
  <c r="O20" i="3"/>
  <c r="L20" i="3"/>
  <c r="J20" i="3"/>
  <c r="I20" i="3"/>
  <c r="H20" i="3"/>
  <c r="G20" i="3"/>
  <c r="F20" i="3"/>
  <c r="K20" i="3" s="1"/>
  <c r="C20" i="3"/>
  <c r="AB20" i="3" s="1"/>
  <c r="AA19" i="3"/>
  <c r="Z19" i="3"/>
  <c r="Y19" i="3"/>
  <c r="W19" i="3"/>
  <c r="T19" i="3"/>
  <c r="S19" i="3"/>
  <c r="R19" i="3"/>
  <c r="Q19" i="3"/>
  <c r="N19" i="3"/>
  <c r="L19" i="3"/>
  <c r="J19" i="3"/>
  <c r="I19" i="3"/>
  <c r="H19" i="3"/>
  <c r="G19" i="3"/>
  <c r="F19" i="3"/>
  <c r="C19" i="3"/>
  <c r="AB19" i="3" s="1"/>
  <c r="AA18" i="3"/>
  <c r="Z18" i="3"/>
  <c r="Y18" i="3"/>
  <c r="W18" i="3"/>
  <c r="T18" i="3"/>
  <c r="S18" i="3"/>
  <c r="R18" i="3"/>
  <c r="Q18" i="3"/>
  <c r="U18" i="3" s="1"/>
  <c r="O18" i="3"/>
  <c r="L18" i="3"/>
  <c r="J18" i="3"/>
  <c r="I18" i="3"/>
  <c r="H18" i="3"/>
  <c r="G18" i="3"/>
  <c r="F18" i="3"/>
  <c r="C18" i="3"/>
  <c r="AB18" i="3" s="1"/>
  <c r="AA17" i="3"/>
  <c r="Z17" i="3"/>
  <c r="Y17" i="3"/>
  <c r="W17" i="3"/>
  <c r="T17" i="3"/>
  <c r="S17" i="3"/>
  <c r="R17" i="3"/>
  <c r="Q17" i="3"/>
  <c r="N17" i="3"/>
  <c r="O17" i="3" s="1"/>
  <c r="L17" i="3"/>
  <c r="J17" i="3"/>
  <c r="I17" i="3"/>
  <c r="H17" i="3"/>
  <c r="G17" i="3"/>
  <c r="F17" i="3"/>
  <c r="C17" i="3"/>
  <c r="AB17" i="3" s="1"/>
  <c r="AA16" i="3"/>
  <c r="Z16" i="3"/>
  <c r="Y16" i="3"/>
  <c r="W16" i="3"/>
  <c r="T16" i="3"/>
  <c r="S16" i="3"/>
  <c r="R16" i="3"/>
  <c r="Q16" i="3"/>
  <c r="N16" i="3"/>
  <c r="L16" i="3"/>
  <c r="J16" i="3"/>
  <c r="I16" i="3"/>
  <c r="H16" i="3"/>
  <c r="G16" i="3"/>
  <c r="F16" i="3"/>
  <c r="C16" i="3"/>
  <c r="AB16" i="3" s="1"/>
  <c r="AA15" i="3"/>
  <c r="Z15" i="3"/>
  <c r="Y15" i="3"/>
  <c r="W15" i="3"/>
  <c r="T15" i="3"/>
  <c r="S15" i="3"/>
  <c r="R15" i="3"/>
  <c r="Q15" i="3"/>
  <c r="N15" i="3"/>
  <c r="O15" i="3" s="1"/>
  <c r="L15" i="3"/>
  <c r="J15" i="3"/>
  <c r="I15" i="3"/>
  <c r="H15" i="3"/>
  <c r="G15" i="3"/>
  <c r="F15" i="3"/>
  <c r="C15" i="3"/>
  <c r="AB15" i="3" s="1"/>
  <c r="AA14" i="3"/>
  <c r="Z14" i="3"/>
  <c r="Y14" i="3"/>
  <c r="W14" i="3"/>
  <c r="T14" i="3"/>
  <c r="S14" i="3"/>
  <c r="R14" i="3"/>
  <c r="Q14" i="3"/>
  <c r="N14" i="3"/>
  <c r="L14" i="3"/>
  <c r="J14" i="3"/>
  <c r="I14" i="3"/>
  <c r="H14" i="3"/>
  <c r="G14" i="3"/>
  <c r="F14" i="3"/>
  <c r="C14" i="3"/>
  <c r="AB14" i="3" s="1"/>
  <c r="AA13" i="3"/>
  <c r="Z13" i="3"/>
  <c r="Y13" i="3"/>
  <c r="W13" i="3"/>
  <c r="T13" i="3"/>
  <c r="S13" i="3"/>
  <c r="R13" i="3"/>
  <c r="Q13" i="3"/>
  <c r="U13" i="3" s="1"/>
  <c r="O13" i="3"/>
  <c r="L13" i="3"/>
  <c r="J13" i="3"/>
  <c r="I13" i="3"/>
  <c r="H13" i="3"/>
  <c r="G13" i="3"/>
  <c r="F13" i="3"/>
  <c r="C13" i="3"/>
  <c r="AB13" i="3" s="1"/>
  <c r="AA12" i="3"/>
  <c r="Z12" i="3"/>
  <c r="Y12" i="3"/>
  <c r="W12" i="3"/>
  <c r="T12" i="3"/>
  <c r="S12" i="3"/>
  <c r="R12" i="3"/>
  <c r="Q12" i="3"/>
  <c r="O12" i="3"/>
  <c r="L12" i="3"/>
  <c r="J12" i="3"/>
  <c r="I12" i="3"/>
  <c r="H12" i="3"/>
  <c r="G12" i="3"/>
  <c r="F12" i="3"/>
  <c r="C12" i="3"/>
  <c r="AB12" i="3" s="1"/>
  <c r="AA11" i="3"/>
  <c r="Z11" i="3"/>
  <c r="Y11" i="3"/>
  <c r="T11" i="3"/>
  <c r="S11" i="3"/>
  <c r="R11" i="3"/>
  <c r="Q11" i="3"/>
  <c r="O11" i="3"/>
  <c r="L11" i="3"/>
  <c r="J11" i="3"/>
  <c r="I11" i="3"/>
  <c r="H11" i="3"/>
  <c r="G11" i="3"/>
  <c r="F11" i="3"/>
  <c r="C11" i="3"/>
  <c r="AA10" i="3"/>
  <c r="Z10" i="3"/>
  <c r="Y10" i="3"/>
  <c r="W10" i="3"/>
  <c r="T10" i="3"/>
  <c r="S10" i="3"/>
  <c r="R10" i="3"/>
  <c r="Q10" i="3"/>
  <c r="O10" i="3"/>
  <c r="L10" i="3"/>
  <c r="J10" i="3"/>
  <c r="I10" i="3"/>
  <c r="H10" i="3"/>
  <c r="G10" i="3"/>
  <c r="F10" i="3"/>
  <c r="C10" i="3"/>
  <c r="AB10" i="3" s="1"/>
  <c r="AA9" i="3"/>
  <c r="Z9" i="3"/>
  <c r="Y9" i="3"/>
  <c r="W9" i="3"/>
  <c r="T9" i="3"/>
  <c r="S9" i="3"/>
  <c r="R9" i="3"/>
  <c r="Q9" i="3"/>
  <c r="N9" i="3"/>
  <c r="L9" i="3"/>
  <c r="J9" i="3"/>
  <c r="I9" i="3"/>
  <c r="H9" i="3"/>
  <c r="G9" i="3"/>
  <c r="F9" i="3"/>
  <c r="C9" i="3"/>
  <c r="AB9" i="3" s="1"/>
  <c r="AA8" i="3"/>
  <c r="Z8" i="3"/>
  <c r="Y8" i="3"/>
  <c r="W8" i="3"/>
  <c r="T8" i="3"/>
  <c r="S8" i="3"/>
  <c r="R8" i="3"/>
  <c r="Q8" i="3"/>
  <c r="N8" i="3"/>
  <c r="L8" i="3"/>
  <c r="J8" i="3"/>
  <c r="I8" i="3"/>
  <c r="H8" i="3"/>
  <c r="G8" i="3"/>
  <c r="F8" i="3"/>
  <c r="C8" i="3"/>
  <c r="AB8" i="3" s="1"/>
  <c r="AA7" i="3"/>
  <c r="Z7" i="3"/>
  <c r="Y7" i="3"/>
  <c r="W7" i="3"/>
  <c r="T7" i="3"/>
  <c r="S7" i="3"/>
  <c r="R7" i="3"/>
  <c r="Q7" i="3"/>
  <c r="U7" i="3" s="1"/>
  <c r="L7" i="3"/>
  <c r="J7" i="3"/>
  <c r="I7" i="3"/>
  <c r="H7" i="3"/>
  <c r="G7" i="3"/>
  <c r="F7" i="3"/>
  <c r="C7" i="3"/>
  <c r="AB7" i="3" s="1"/>
  <c r="AA6" i="3"/>
  <c r="Z6" i="3"/>
  <c r="Y6" i="3"/>
  <c r="W6" i="3"/>
  <c r="T6" i="3"/>
  <c r="S6" i="3"/>
  <c r="R6" i="3"/>
  <c r="Q6" i="3"/>
  <c r="U6" i="3" s="1"/>
  <c r="O6" i="3"/>
  <c r="L6" i="3"/>
  <c r="J6" i="3"/>
  <c r="I6" i="3"/>
  <c r="H6" i="3"/>
  <c r="G6" i="3"/>
  <c r="F6" i="3"/>
  <c r="C6" i="3"/>
  <c r="AB6" i="3" s="1"/>
  <c r="AA5" i="3"/>
  <c r="Z5" i="3"/>
  <c r="Y5" i="3"/>
  <c r="W5" i="3"/>
  <c r="T5" i="3"/>
  <c r="S5" i="3"/>
  <c r="R5" i="3"/>
  <c r="Q5" i="3"/>
  <c r="N5" i="3"/>
  <c r="L5" i="3"/>
  <c r="J5" i="3"/>
  <c r="I5" i="3"/>
  <c r="H5" i="3"/>
  <c r="G5" i="3"/>
  <c r="F5" i="3"/>
  <c r="C5" i="3"/>
  <c r="AB5" i="3" s="1"/>
  <c r="AA4" i="3"/>
  <c r="Z4" i="3"/>
  <c r="Y4" i="3"/>
  <c r="W4" i="3"/>
  <c r="T4" i="3"/>
  <c r="S4" i="3"/>
  <c r="R4" i="3"/>
  <c r="Q4" i="3"/>
  <c r="N4" i="3"/>
  <c r="L4" i="3"/>
  <c r="J4" i="3"/>
  <c r="I4" i="3"/>
  <c r="H4" i="3"/>
  <c r="G4" i="3"/>
  <c r="F4" i="3"/>
  <c r="C4" i="3"/>
  <c r="AB4" i="3" s="1"/>
  <c r="AA3" i="3"/>
  <c r="Z3" i="3"/>
  <c r="Y3" i="3"/>
  <c r="W3" i="3"/>
  <c r="T3" i="3"/>
  <c r="S3" i="3"/>
  <c r="R3" i="3"/>
  <c r="Q3" i="3"/>
  <c r="U3" i="3" s="1"/>
  <c r="O3" i="3"/>
  <c r="L3" i="3"/>
  <c r="J3" i="3"/>
  <c r="I3" i="3"/>
  <c r="H3" i="3"/>
  <c r="G3" i="3"/>
  <c r="F3" i="3"/>
  <c r="C3" i="3"/>
  <c r="AB3" i="3" s="1"/>
  <c r="G1" i="3"/>
  <c r="B1" i="3"/>
  <c r="E21" i="3" s="1"/>
  <c r="J41" i="2"/>
  <c r="F41" i="2"/>
  <c r="J40" i="2"/>
  <c r="E40" i="2"/>
  <c r="F40" i="2" s="1"/>
  <c r="J39" i="2"/>
  <c r="E39" i="2"/>
  <c r="F39" i="2" s="1"/>
  <c r="J38" i="2"/>
  <c r="F38" i="2"/>
  <c r="J37" i="2"/>
  <c r="E37" i="2"/>
  <c r="F37" i="2" s="1"/>
  <c r="J36" i="2"/>
  <c r="F36" i="2"/>
  <c r="J35" i="2"/>
  <c r="E35" i="2"/>
  <c r="F35" i="2" s="1"/>
  <c r="J34" i="2"/>
  <c r="F34" i="2"/>
  <c r="J33" i="2"/>
  <c r="F33" i="2"/>
  <c r="J32" i="2"/>
  <c r="E32" i="2"/>
  <c r="F32" i="2" s="1"/>
  <c r="J31" i="2"/>
  <c r="F31" i="2"/>
  <c r="J30" i="2"/>
  <c r="F30" i="2"/>
  <c r="J29" i="2"/>
  <c r="F29" i="2"/>
  <c r="J28" i="2"/>
  <c r="E28" i="2"/>
  <c r="F28" i="2" s="1"/>
  <c r="J27" i="2"/>
  <c r="F27" i="2"/>
  <c r="J26" i="2"/>
  <c r="F26" i="2"/>
  <c r="J25" i="2"/>
  <c r="E25" i="2"/>
  <c r="F25" i="2" s="1"/>
  <c r="J24" i="2"/>
  <c r="F24" i="2"/>
  <c r="J23" i="2"/>
  <c r="E23" i="2"/>
  <c r="F23" i="2" s="1"/>
  <c r="J22" i="2"/>
  <c r="F22" i="2"/>
  <c r="J21" i="2"/>
  <c r="F21" i="2"/>
  <c r="J20" i="2"/>
  <c r="F20" i="2"/>
  <c r="J19" i="2"/>
  <c r="F19" i="2"/>
  <c r="J18" i="2"/>
  <c r="F18" i="2"/>
  <c r="J17" i="2"/>
  <c r="E17" i="2"/>
  <c r="F17" i="2" s="1"/>
  <c r="J16" i="2"/>
  <c r="F16" i="2"/>
  <c r="J15" i="2"/>
  <c r="F15" i="2"/>
  <c r="J14" i="2"/>
  <c r="F14" i="2"/>
  <c r="J13" i="2"/>
  <c r="E13" i="2"/>
  <c r="F13" i="2" s="1"/>
  <c r="J12" i="2"/>
  <c r="F12" i="2"/>
  <c r="J11" i="2"/>
  <c r="F11" i="2"/>
  <c r="J10" i="2"/>
  <c r="J9" i="2"/>
  <c r="E9" i="2"/>
  <c r="F9" i="2" s="1"/>
  <c r="J8" i="2"/>
  <c r="F8" i="2"/>
  <c r="J7" i="2"/>
  <c r="F7" i="2"/>
  <c r="J6" i="2"/>
  <c r="E6" i="2"/>
  <c r="F6" i="2" s="1"/>
  <c r="J5" i="2"/>
  <c r="F5" i="2"/>
  <c r="J4" i="2"/>
  <c r="F4" i="2"/>
  <c r="K5" i="3" l="1"/>
  <c r="K6" i="3"/>
  <c r="V13" i="4"/>
  <c r="K13" i="4"/>
  <c r="U15" i="4"/>
  <c r="K36" i="4"/>
  <c r="U20" i="3"/>
  <c r="K34" i="4"/>
  <c r="U16" i="5"/>
  <c r="U24" i="5"/>
  <c r="U28" i="5"/>
  <c r="K14" i="4"/>
  <c r="N14" i="4" s="1"/>
  <c r="P14" i="4" s="1"/>
  <c r="U12" i="4"/>
  <c r="K8" i="4"/>
  <c r="U10" i="4"/>
  <c r="K10" i="5"/>
  <c r="V25" i="4"/>
  <c r="U31" i="4"/>
  <c r="K14" i="5"/>
  <c r="N14" i="5" s="1"/>
  <c r="P14" i="5" s="1"/>
  <c r="K16" i="5"/>
  <c r="U25" i="5"/>
  <c r="K24" i="4"/>
  <c r="U20" i="4"/>
  <c r="K18" i="5"/>
  <c r="U4" i="5"/>
  <c r="K7" i="5"/>
  <c r="N7" i="5" s="1"/>
  <c r="P7" i="5" s="1"/>
  <c r="U5" i="5"/>
  <c r="U7" i="5"/>
  <c r="K28" i="5"/>
  <c r="N28" i="5" s="1"/>
  <c r="P28" i="5" s="1"/>
  <c r="K24" i="3"/>
  <c r="K27" i="3"/>
  <c r="K12" i="4"/>
  <c r="N12" i="4" s="1"/>
  <c r="P12" i="4" s="1"/>
  <c r="V21" i="4"/>
  <c r="K32" i="4"/>
  <c r="K12" i="3"/>
  <c r="P12" i="3" s="1"/>
  <c r="K13" i="3"/>
  <c r="P13" i="3" s="1"/>
  <c r="K14" i="3"/>
  <c r="K21" i="4"/>
  <c r="N21" i="4" s="1"/>
  <c r="P21" i="4" s="1"/>
  <c r="K30" i="4"/>
  <c r="V17" i="4"/>
  <c r="U20" i="5"/>
  <c r="K3" i="3"/>
  <c r="P3" i="3" s="1"/>
  <c r="U23" i="4"/>
  <c r="K28" i="4"/>
  <c r="N28" i="4" s="1"/>
  <c r="P28" i="4" s="1"/>
  <c r="K6" i="5"/>
  <c r="N6" i="5" s="1"/>
  <c r="P6" i="5" s="1"/>
  <c r="U9" i="5"/>
  <c r="U11" i="5"/>
  <c r="K19" i="5"/>
  <c r="N19" i="5" s="1"/>
  <c r="P19" i="5" s="1"/>
  <c r="U26" i="5"/>
  <c r="U30" i="5"/>
  <c r="K26" i="4"/>
  <c r="U17" i="5"/>
  <c r="K21" i="5"/>
  <c r="N21" i="5" s="1"/>
  <c r="P21" i="5" s="1"/>
  <c r="K23" i="5"/>
  <c r="N23" i="5" s="1"/>
  <c r="P23" i="5" s="1"/>
  <c r="K12" i="5"/>
  <c r="N12" i="5" s="1"/>
  <c r="P12" i="5" s="1"/>
  <c r="U23" i="5"/>
  <c r="K9" i="3"/>
  <c r="K11" i="3"/>
  <c r="P11" i="3" s="1"/>
  <c r="K24" i="5"/>
  <c r="N24" i="5" s="1"/>
  <c r="P24" i="5" s="1"/>
  <c r="K31" i="5"/>
  <c r="N31" i="5" s="1"/>
  <c r="P31" i="5" s="1"/>
  <c r="K3" i="5"/>
  <c r="N3" i="5" s="1"/>
  <c r="P3" i="5" s="1"/>
  <c r="K7" i="3"/>
  <c r="P7" i="3" s="1"/>
  <c r="K10" i="3"/>
  <c r="P10" i="3" s="1"/>
  <c r="U27" i="4"/>
  <c r="K15" i="3"/>
  <c r="P15" i="3" s="1"/>
  <c r="K4" i="4"/>
  <c r="U6" i="4"/>
  <c r="U19" i="4"/>
  <c r="U32" i="4"/>
  <c r="U34" i="4"/>
  <c r="U3" i="5"/>
  <c r="K21" i="3"/>
  <c r="P21" i="3" s="1"/>
  <c r="K4" i="3"/>
  <c r="U22" i="5"/>
  <c r="K16" i="3"/>
  <c r="K17" i="3"/>
  <c r="P17" i="3" s="1"/>
  <c r="K22" i="3"/>
  <c r="K23" i="3"/>
  <c r="P23" i="3" s="1"/>
  <c r="V26" i="5"/>
  <c r="U10" i="3"/>
  <c r="U11" i="3"/>
  <c r="V11" i="5"/>
  <c r="K26" i="5"/>
  <c r="N26" i="5" s="1"/>
  <c r="P26" i="5" s="1"/>
  <c r="K11" i="5"/>
  <c r="N11" i="5" s="1"/>
  <c r="P11" i="5" s="1"/>
  <c r="K18" i="3"/>
  <c r="U11" i="4"/>
  <c r="K33" i="4"/>
  <c r="K4" i="5"/>
  <c r="N4" i="5" s="1"/>
  <c r="P4" i="5" s="1"/>
  <c r="U14" i="5"/>
  <c r="K30" i="5"/>
  <c r="N30" i="5" s="1"/>
  <c r="P30" i="5" s="1"/>
  <c r="K25" i="3"/>
  <c r="P25" i="3" s="1"/>
  <c r="K19" i="3"/>
  <c r="K26" i="3"/>
  <c r="U9" i="4"/>
  <c r="K8" i="5"/>
  <c r="K5" i="4"/>
  <c r="N5" i="4" s="1"/>
  <c r="P5" i="4" s="1"/>
  <c r="K16" i="4"/>
  <c r="N16" i="4" s="1"/>
  <c r="P16" i="4" s="1"/>
  <c r="K29" i="4"/>
  <c r="N29" i="4" s="1"/>
  <c r="P29" i="4" s="1"/>
  <c r="K13" i="5"/>
  <c r="N13" i="5" s="1"/>
  <c r="P13" i="5" s="1"/>
  <c r="U19" i="5"/>
  <c r="U23" i="3"/>
  <c r="K3" i="4"/>
  <c r="N3" i="4" s="1"/>
  <c r="P3" i="4" s="1"/>
  <c r="U16" i="4"/>
  <c r="E8" i="5"/>
  <c r="V8" i="5" s="1"/>
  <c r="U6" i="5"/>
  <c r="N18" i="5"/>
  <c r="P18" i="5" s="1"/>
  <c r="U21" i="5"/>
  <c r="K25" i="5"/>
  <c r="N25" i="5" s="1"/>
  <c r="P25" i="5" s="1"/>
  <c r="K15" i="5"/>
  <c r="N15" i="5" s="1"/>
  <c r="P15" i="5" s="1"/>
  <c r="K10" i="4"/>
  <c r="N10" i="4" s="1"/>
  <c r="P10" i="4" s="1"/>
  <c r="K25" i="4"/>
  <c r="N25" i="4" s="1"/>
  <c r="P25" i="4" s="1"/>
  <c r="N10" i="5"/>
  <c r="P10" i="5" s="1"/>
  <c r="K27" i="5"/>
  <c r="N27" i="5" s="1"/>
  <c r="P27" i="5" s="1"/>
  <c r="K29" i="5"/>
  <c r="N29" i="5" s="1"/>
  <c r="P29" i="5" s="1"/>
  <c r="K17" i="5"/>
  <c r="N17" i="5" s="1"/>
  <c r="P17" i="5" s="1"/>
  <c r="U18" i="5"/>
  <c r="U15" i="5"/>
  <c r="U27" i="5"/>
  <c r="K17" i="4"/>
  <c r="N17" i="4" s="1"/>
  <c r="P17" i="4" s="1"/>
  <c r="K5" i="5"/>
  <c r="N20" i="5"/>
  <c r="P20" i="5" s="1"/>
  <c r="K22" i="5"/>
  <c r="N22" i="5" s="1"/>
  <c r="P22" i="5" s="1"/>
  <c r="V29" i="4"/>
  <c r="V28" i="4"/>
  <c r="U28" i="4"/>
  <c r="O5" i="2"/>
  <c r="N8" i="4"/>
  <c r="P8" i="4" s="1"/>
  <c r="U18" i="4"/>
  <c r="U22" i="4"/>
  <c r="U26" i="4"/>
  <c r="U30" i="4"/>
  <c r="N4" i="4"/>
  <c r="P4" i="4" s="1"/>
  <c r="U14" i="4"/>
  <c r="V37" i="4"/>
  <c r="V33" i="4"/>
  <c r="K9" i="4"/>
  <c r="N9" i="4" s="1"/>
  <c r="P9" i="4" s="1"/>
  <c r="V11" i="4"/>
  <c r="V23" i="4"/>
  <c r="V27" i="4"/>
  <c r="V3" i="4"/>
  <c r="V5" i="4"/>
  <c r="U7" i="4"/>
  <c r="U3" i="4"/>
  <c r="U5" i="4"/>
  <c r="V36" i="4"/>
  <c r="V32" i="4"/>
  <c r="V8" i="4"/>
  <c r="V24" i="4"/>
  <c r="V16" i="4"/>
  <c r="V4" i="4"/>
  <c r="V26" i="4"/>
  <c r="U36" i="4"/>
  <c r="V35" i="4"/>
  <c r="V14" i="4"/>
  <c r="V18" i="4"/>
  <c r="V30" i="4"/>
  <c r="V34" i="4"/>
  <c r="V15" i="4"/>
  <c r="V19" i="4"/>
  <c r="E27" i="3"/>
  <c r="V27" i="3" s="1"/>
  <c r="V7" i="4"/>
  <c r="E26" i="3"/>
  <c r="V26" i="3" s="1"/>
  <c r="E8" i="3"/>
  <c r="V8" i="3" s="1"/>
  <c r="E11" i="3"/>
  <c r="V11" i="3" s="1"/>
  <c r="E13" i="3"/>
  <c r="V13" i="3" s="1"/>
  <c r="E14" i="3"/>
  <c r="V14" i="3" s="1"/>
  <c r="E16" i="3"/>
  <c r="V16" i="3" s="1"/>
  <c r="E3" i="3"/>
  <c r="V3" i="3" s="1"/>
  <c r="E17" i="3"/>
  <c r="V17" i="3" s="1"/>
  <c r="E22" i="3"/>
  <c r="V22" i="3" s="1"/>
  <c r="E18" i="3"/>
  <c r="V18" i="3" s="1"/>
  <c r="E6" i="3"/>
  <c r="V6" i="3" s="1"/>
  <c r="E24" i="3"/>
  <c r="V24" i="3" s="1"/>
  <c r="E7" i="3"/>
  <c r="V7" i="3" s="1"/>
  <c r="P18" i="3"/>
  <c r="V21" i="3"/>
  <c r="P6" i="3"/>
  <c r="N13" i="4"/>
  <c r="P13" i="4" s="1"/>
  <c r="U37" i="4"/>
  <c r="V6" i="4"/>
  <c r="M8" i="5"/>
  <c r="U8" i="5" s="1"/>
  <c r="K9" i="5"/>
  <c r="N9" i="5" s="1"/>
  <c r="P9" i="5" s="1"/>
  <c r="E4" i="3"/>
  <c r="V4" i="3" s="1"/>
  <c r="O5" i="3"/>
  <c r="U5" i="3" s="1"/>
  <c r="E9" i="3"/>
  <c r="V9" i="3" s="1"/>
  <c r="AB11" i="3"/>
  <c r="U12" i="3"/>
  <c r="E19" i="3"/>
  <c r="V19" i="3" s="1"/>
  <c r="P20" i="3"/>
  <c r="V9" i="4"/>
  <c r="U13" i="4"/>
  <c r="U17" i="4"/>
  <c r="U21" i="4"/>
  <c r="U25" i="4"/>
  <c r="U29" i="4"/>
  <c r="U33" i="4"/>
  <c r="E13" i="5"/>
  <c r="V13" i="5" s="1"/>
  <c r="N20" i="4"/>
  <c r="P20" i="4" s="1"/>
  <c r="N24" i="4"/>
  <c r="P24" i="4" s="1"/>
  <c r="N32" i="4"/>
  <c r="P32" i="4" s="1"/>
  <c r="N36" i="4"/>
  <c r="P36" i="4" s="1"/>
  <c r="N16" i="5"/>
  <c r="P16" i="5" s="1"/>
  <c r="K8" i="3"/>
  <c r="O8" i="3"/>
  <c r="U8" i="3" s="1"/>
  <c r="U17" i="3"/>
  <c r="U25" i="3"/>
  <c r="K6" i="4"/>
  <c r="N6" i="4" s="1"/>
  <c r="P6" i="4" s="1"/>
  <c r="U8" i="4"/>
  <c r="K11" i="4"/>
  <c r="N11" i="4" s="1"/>
  <c r="P11" i="4" s="1"/>
  <c r="K15" i="4"/>
  <c r="N15" i="4" s="1"/>
  <c r="P15" i="4" s="1"/>
  <c r="K19" i="4"/>
  <c r="N19" i="4" s="1"/>
  <c r="P19" i="4" s="1"/>
  <c r="K23" i="4"/>
  <c r="N23" i="4" s="1"/>
  <c r="P23" i="4" s="1"/>
  <c r="K27" i="4"/>
  <c r="N27" i="4" s="1"/>
  <c r="P27" i="4" s="1"/>
  <c r="K31" i="4"/>
  <c r="N31" i="4" s="1"/>
  <c r="P31" i="4" s="1"/>
  <c r="K35" i="4"/>
  <c r="N35" i="4" s="1"/>
  <c r="P35" i="4" s="1"/>
  <c r="E19" i="5"/>
  <c r="V19" i="5" s="1"/>
  <c r="E12" i="3"/>
  <c r="V12" i="3" s="1"/>
  <c r="E25" i="3"/>
  <c r="V25" i="3" s="1"/>
  <c r="O26" i="3"/>
  <c r="U15" i="3"/>
  <c r="E15" i="3"/>
  <c r="V15" i="3" s="1"/>
  <c r="O16" i="3"/>
  <c r="U16" i="3" s="1"/>
  <c r="E23" i="3"/>
  <c r="V23" i="3" s="1"/>
  <c r="O24" i="3"/>
  <c r="K7" i="4"/>
  <c r="N7" i="4" s="1"/>
  <c r="P7" i="4" s="1"/>
  <c r="E5" i="3"/>
  <c r="V5" i="3" s="1"/>
  <c r="E10" i="3"/>
  <c r="V10" i="3" s="1"/>
  <c r="O14" i="3"/>
  <c r="P14" i="3" s="1"/>
  <c r="E20" i="3"/>
  <c r="V20" i="3" s="1"/>
  <c r="O22" i="3"/>
  <c r="N5" i="5"/>
  <c r="P5" i="5" s="1"/>
  <c r="O4" i="3"/>
  <c r="U4" i="3" s="1"/>
  <c r="O9" i="3"/>
  <c r="U9" i="3" s="1"/>
  <c r="O19" i="3"/>
  <c r="U19" i="3" s="1"/>
  <c r="N18" i="4"/>
  <c r="P18" i="4" s="1"/>
  <c r="N22" i="4"/>
  <c r="P22" i="4" s="1"/>
  <c r="N30" i="4"/>
  <c r="P30" i="4" s="1"/>
  <c r="N34" i="4"/>
  <c r="P34" i="4" s="1"/>
  <c r="O27" i="3"/>
  <c r="U27" i="3" s="1"/>
  <c r="K37" i="4"/>
  <c r="N37" i="4" s="1"/>
  <c r="P37" i="4" s="1"/>
  <c r="N26" i="4" l="1"/>
  <c r="P26" i="4" s="1"/>
  <c r="N33" i="4"/>
  <c r="P33" i="4" s="1"/>
  <c r="P26" i="3"/>
  <c r="P4" i="3"/>
  <c r="P16" i="3"/>
  <c r="N8" i="5"/>
  <c r="P8" i="5" s="1"/>
  <c r="P24" i="3"/>
  <c r="P27" i="3"/>
  <c r="U26" i="3"/>
  <c r="U24" i="3"/>
  <c r="P19" i="3"/>
  <c r="P22" i="3"/>
  <c r="P5" i="3"/>
  <c r="P9" i="3"/>
  <c r="P8" i="3"/>
  <c r="U22" i="3"/>
  <c r="U14" i="3"/>
</calcChain>
</file>

<file path=xl/sharedStrings.xml><?xml version="1.0" encoding="utf-8"?>
<sst xmlns="http://schemas.openxmlformats.org/spreadsheetml/2006/main" count="873" uniqueCount="245">
  <si>
    <t>Kiavi Loans</t>
  </si>
  <si>
    <t>Address</t>
  </si>
  <si>
    <t>Loan Number</t>
  </si>
  <si>
    <t>Status</t>
  </si>
  <si>
    <t xml:space="preserve">Balance </t>
  </si>
  <si>
    <t>Undrawn</t>
  </si>
  <si>
    <t>Total</t>
  </si>
  <si>
    <t>Est ARV</t>
  </si>
  <si>
    <t>Rate</t>
  </si>
  <si>
    <t>Payment</t>
  </si>
  <si>
    <t>101 SIlver Lake Road</t>
  </si>
  <si>
    <t>Current</t>
  </si>
  <si>
    <t>103 Taylor St</t>
  </si>
  <si>
    <t>1055 Lalor St</t>
  </si>
  <si>
    <t>132 Keswick Dr</t>
  </si>
  <si>
    <t>154 Andrew Street</t>
  </si>
  <si>
    <t>154 Lenox Ave</t>
  </si>
  <si>
    <t xml:space="preserve">161 Joan Terrace </t>
  </si>
  <si>
    <t>174 E Highland Ave</t>
  </si>
  <si>
    <t>2 Nordacs St</t>
  </si>
  <si>
    <t>200 Willow Rd</t>
  </si>
  <si>
    <t>22 Cain Ave</t>
  </si>
  <si>
    <t>235 Ellis St</t>
  </si>
  <si>
    <t xml:space="preserve">24 Express </t>
  </si>
  <si>
    <t>24 Longboat</t>
  </si>
  <si>
    <t>24 Tynemouth Ct</t>
  </si>
  <si>
    <t>275 Green St 4 B6</t>
  </si>
  <si>
    <t>313 Delaware Ave</t>
  </si>
  <si>
    <t>316 W 3rd St Florence</t>
  </si>
  <si>
    <t>324 St Mary St</t>
  </si>
  <si>
    <t xml:space="preserve">343 Elm Ave </t>
  </si>
  <si>
    <t>35 Pensdale Lane</t>
  </si>
  <si>
    <t>4 Goat Hill</t>
  </si>
  <si>
    <t>4 Huron Way</t>
  </si>
  <si>
    <t>430 Kossuth St</t>
  </si>
  <si>
    <t>586 Chestnut Ave</t>
  </si>
  <si>
    <t>6 Pinehurst</t>
  </si>
  <si>
    <t>607 Benton Lane</t>
  </si>
  <si>
    <t>6124 Camden Ave</t>
  </si>
  <si>
    <t>72 New Cedar Ln</t>
  </si>
  <si>
    <t>912 Adeline St</t>
  </si>
  <si>
    <t>943 Columbus</t>
  </si>
  <si>
    <t>38 Marvin Ct</t>
  </si>
  <si>
    <t>Underwriting</t>
  </si>
  <si>
    <t>2200 Brunswick Ave</t>
  </si>
  <si>
    <t>115 Glendale Dr</t>
  </si>
  <si>
    <t>2862 N Congress Rd</t>
  </si>
  <si>
    <t>507 Lawrence St</t>
  </si>
  <si>
    <t>408 Cleveland Ave</t>
  </si>
  <si>
    <t>Processing</t>
  </si>
  <si>
    <t>1061 Lakeshore</t>
  </si>
  <si>
    <t>Current Interest payment total</t>
  </si>
  <si>
    <t>INVENTORY</t>
  </si>
  <si>
    <t>Current as of</t>
  </si>
  <si>
    <t>Current Status</t>
  </si>
  <si>
    <t>Purchase Date</t>
  </si>
  <si>
    <t>Projected Sale Date</t>
  </si>
  <si>
    <t># of Days Owned</t>
  </si>
  <si>
    <t>Purchase Price</t>
  </si>
  <si>
    <t>Purchase Closing Costs</t>
  </si>
  <si>
    <t>Holding Costs</t>
  </si>
  <si>
    <t>Projected Rehab</t>
  </si>
  <si>
    <t>Construction</t>
  </si>
  <si>
    <t>Total Invested</t>
  </si>
  <si>
    <t>BS CHeck</t>
  </si>
  <si>
    <t>Difference</t>
  </si>
  <si>
    <t>Projected Sale Price</t>
  </si>
  <si>
    <t>Projected Sale Costs</t>
  </si>
  <si>
    <t>Projected Gross Profit</t>
  </si>
  <si>
    <t>Debt Payback</t>
  </si>
  <si>
    <t>Undrawn Rehab Funds</t>
  </si>
  <si>
    <t>Lender</t>
  </si>
  <si>
    <t>Loan Account Number</t>
  </si>
  <si>
    <t xml:space="preserve">Projected cash flow </t>
  </si>
  <si>
    <t>Construction Cost Per Day</t>
  </si>
  <si>
    <t>Type of Purchase</t>
  </si>
  <si>
    <t>Notes</t>
  </si>
  <si>
    <t>Lead</t>
  </si>
  <si>
    <t xml:space="preserve">Contractor </t>
  </si>
  <si>
    <t>Twp</t>
  </si>
  <si>
    <t>Listed</t>
  </si>
  <si>
    <t>Active</t>
  </si>
  <si>
    <t>Flip</t>
  </si>
  <si>
    <t>43 Ellsworth</t>
  </si>
  <si>
    <t>Sold Date</t>
  </si>
  <si>
    <t>Purchase Costs</t>
  </si>
  <si>
    <t>Sale Price</t>
  </si>
  <si>
    <t>Sale Costs</t>
  </si>
  <si>
    <t>Profit</t>
  </si>
  <si>
    <t>P&amp;L Check</t>
  </si>
  <si>
    <t>612 Silver Ct</t>
  </si>
  <si>
    <t>Sold</t>
  </si>
  <si>
    <t>Flips</t>
  </si>
  <si>
    <t>28 Diverty</t>
  </si>
  <si>
    <t>10 Dennison</t>
  </si>
  <si>
    <t>113 Columbia</t>
  </si>
  <si>
    <t>117 Parklane</t>
  </si>
  <si>
    <t>4 Williams</t>
  </si>
  <si>
    <t>52 Annabelle</t>
  </si>
  <si>
    <t>19 Orne</t>
  </si>
  <si>
    <t>173 Main St</t>
  </si>
  <si>
    <t>112-114 Monmouth ST</t>
  </si>
  <si>
    <t>Sheriff Sale</t>
  </si>
  <si>
    <t>Immanuel Home Improvement</t>
  </si>
  <si>
    <t>Highstown</t>
  </si>
  <si>
    <t>2149 Liberty St</t>
  </si>
  <si>
    <t>Hamilton</t>
  </si>
  <si>
    <t>344 W Pearl</t>
  </si>
  <si>
    <t>MLS</t>
  </si>
  <si>
    <t>Mainline Construction</t>
  </si>
  <si>
    <t>Burlington</t>
  </si>
  <si>
    <t>37 Alden</t>
  </si>
  <si>
    <t>Direct Mail</t>
  </si>
  <si>
    <t>Trenton</t>
  </si>
  <si>
    <t>1014 Jardin Court</t>
  </si>
  <si>
    <t>Wholesale</t>
  </si>
  <si>
    <t>Building Construction Services</t>
  </si>
  <si>
    <t>155 Reeves</t>
  </si>
  <si>
    <t>No Lead</t>
  </si>
  <si>
    <t>Angel 5 Properties</t>
  </si>
  <si>
    <t>322 Churchill</t>
  </si>
  <si>
    <t>Will and Sons</t>
  </si>
  <si>
    <t>43 Chestnut St</t>
  </si>
  <si>
    <t xml:space="preserve">Politti &amp; Immanuel </t>
  </si>
  <si>
    <t>Web Lead</t>
  </si>
  <si>
    <t>Pollitti Contracting</t>
  </si>
  <si>
    <t>Lumberton</t>
  </si>
  <si>
    <t>307 Broad St</t>
  </si>
  <si>
    <t>Nick - Inbound Direct Mail</t>
  </si>
  <si>
    <t>Beverly</t>
  </si>
  <si>
    <t>494 Johnston Ave</t>
  </si>
  <si>
    <t>905 Carteret Ave</t>
  </si>
  <si>
    <t>Not Assigned</t>
  </si>
  <si>
    <t>710 Spruce St</t>
  </si>
  <si>
    <t>147 7th Ave</t>
  </si>
  <si>
    <t>Wholesale Lead</t>
  </si>
  <si>
    <t>Roebling</t>
  </si>
  <si>
    <t>17 Bristol Way</t>
  </si>
  <si>
    <t>NTS</t>
  </si>
  <si>
    <t>East Windsor</t>
  </si>
  <si>
    <t>23 Dixmont Ave</t>
  </si>
  <si>
    <t>Ewing</t>
  </si>
  <si>
    <t>1756 McGalliard</t>
  </si>
  <si>
    <t>15 North Westfield Ave</t>
  </si>
  <si>
    <t>Homelight</t>
  </si>
  <si>
    <t>1 Britton Place</t>
  </si>
  <si>
    <t>Voorhees Township</t>
  </si>
  <si>
    <t>8G Twin Rivers Dr</t>
  </si>
  <si>
    <t>Chambers Property Management</t>
  </si>
  <si>
    <t>792 Westfield Dr</t>
  </si>
  <si>
    <t>Cinnaminson</t>
  </si>
  <si>
    <t>75 Haddon</t>
  </si>
  <si>
    <t>Pennington</t>
  </si>
  <si>
    <t>759 Norway</t>
  </si>
  <si>
    <t>3756 King Ave</t>
  </si>
  <si>
    <t>Labs Real Estate</t>
  </si>
  <si>
    <t>Pennsauken</t>
  </si>
  <si>
    <t>I1 Shirley Lane</t>
  </si>
  <si>
    <t>Herrera Remodeling</t>
  </si>
  <si>
    <t>Lawrence</t>
  </si>
  <si>
    <t>2163 Harbour Dr</t>
  </si>
  <si>
    <t>Palmyra</t>
  </si>
  <si>
    <t>554 Bellevue Ave</t>
  </si>
  <si>
    <t>Sale Date</t>
  </si>
  <si>
    <t>Repairs</t>
  </si>
  <si>
    <t>Buyer</t>
  </si>
  <si>
    <t>134 Locust</t>
  </si>
  <si>
    <t>156 Greenland</t>
  </si>
  <si>
    <t xml:space="preserve">Ewing </t>
  </si>
  <si>
    <t>161 Albermarle Ave</t>
  </si>
  <si>
    <t>19 Dogwood Dr</t>
  </si>
  <si>
    <t>Little Egg</t>
  </si>
  <si>
    <t>19 Parkside</t>
  </si>
  <si>
    <t>22 Farrell Ave</t>
  </si>
  <si>
    <t>FHO</t>
  </si>
  <si>
    <t>Lixin</t>
  </si>
  <si>
    <t>249 Lynwood</t>
  </si>
  <si>
    <t>249 Mercer St</t>
  </si>
  <si>
    <t>Simon</t>
  </si>
  <si>
    <t>30 Vine St</t>
  </si>
  <si>
    <t>Durect Mail</t>
  </si>
  <si>
    <t>314 9th St</t>
  </si>
  <si>
    <t>43 Park Ave</t>
  </si>
  <si>
    <t>Riverside</t>
  </si>
  <si>
    <t>446 Garfield Ave</t>
  </si>
  <si>
    <t>453 Newkirk</t>
  </si>
  <si>
    <t>46 Sussex Dr</t>
  </si>
  <si>
    <t>Willingboro</t>
  </si>
  <si>
    <t>474 - 480 Riverside Ave</t>
  </si>
  <si>
    <t>5 Edwards Place</t>
  </si>
  <si>
    <t>5 Fell St</t>
  </si>
  <si>
    <t>5 Lisbon Ave</t>
  </si>
  <si>
    <t>633 W State</t>
  </si>
  <si>
    <t>8-3 Florence Tollgate Pl #3</t>
  </si>
  <si>
    <t>Wholesale Flip</t>
  </si>
  <si>
    <t>Florence</t>
  </si>
  <si>
    <t>25-23 Old Millstone Drive</t>
  </si>
  <si>
    <t>37 Garfield</t>
  </si>
  <si>
    <t>371 Cummings</t>
  </si>
  <si>
    <t>46 Laurel Ave</t>
  </si>
  <si>
    <t>717 Southhard St</t>
  </si>
  <si>
    <t>89 Hobart Ave</t>
  </si>
  <si>
    <t>95 Hillcrest</t>
  </si>
  <si>
    <t>Rehab Estimtate Kiavi</t>
  </si>
  <si>
    <t>Contractor</t>
  </si>
  <si>
    <t>Town</t>
  </si>
  <si>
    <t>Exit Strategy</t>
  </si>
  <si>
    <t>Kiavi</t>
  </si>
  <si>
    <t>Referral</t>
  </si>
  <si>
    <t>Politti</t>
  </si>
  <si>
    <t>Newtown</t>
  </si>
  <si>
    <t>Piscataway</t>
  </si>
  <si>
    <t>Cold Call</t>
  </si>
  <si>
    <t>may rent</t>
  </si>
  <si>
    <t>Blue Water</t>
  </si>
  <si>
    <t>Rental</t>
  </si>
  <si>
    <t>Middletown</t>
  </si>
  <si>
    <t>2 Nordacs</t>
  </si>
  <si>
    <t>Hillsborough</t>
  </si>
  <si>
    <t>wholesale</t>
  </si>
  <si>
    <t>Barnegat</t>
  </si>
  <si>
    <t>24 Longboat Ave</t>
  </si>
  <si>
    <t xml:space="preserve">Herrera </t>
  </si>
  <si>
    <t>Robbinsville</t>
  </si>
  <si>
    <t>Edgewater Park</t>
  </si>
  <si>
    <t>Code Rite</t>
  </si>
  <si>
    <t>Gloucester</t>
  </si>
  <si>
    <t>may temp rent it</t>
  </si>
  <si>
    <t>Herrera</t>
  </si>
  <si>
    <t>343 Elm Ave</t>
  </si>
  <si>
    <t>Sicklerville</t>
  </si>
  <si>
    <t xml:space="preserve">Politti </t>
  </si>
  <si>
    <t>Lindenwold</t>
  </si>
  <si>
    <t>Will &amp; Sons</t>
  </si>
  <si>
    <t>Morrisville</t>
  </si>
  <si>
    <t>Realtor Contract</t>
  </si>
  <si>
    <t>Shiny Diamond</t>
  </si>
  <si>
    <t>City</t>
  </si>
  <si>
    <t>Property Purchase Price</t>
  </si>
  <si>
    <t>Property Sale Price</t>
  </si>
  <si>
    <t>Property Address</t>
  </si>
  <si>
    <t>Net Profit or Loss Check</t>
  </si>
  <si>
    <t>Net Profit or Loss (Auto Calculated)</t>
  </si>
  <si>
    <t>Total Investment Cost (including Purchase, Holding, Rehab etc)</t>
  </si>
  <si>
    <t>Total Sale Related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</si>
</sst>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m/d/yy"/>
    <numFmt numFmtId="166" formatCode="mm/dd/yyyy"/>
  </numFmts>
  <fonts count="24" x14ac:knownFonts="1">
    <font>
      <sz val="11"/>
      <color theme="1"/>
      <name val="Calibri"/>
      <family val="2"/>
      <scheme val="minor"/>
    </font>
    <font>
      <sz val="16"/>
      <color theme="1"/>
      <name val="Calibri"/>
    </font>
    <font>
      <sz val="11"/>
      <color rgb="FF434343"/>
      <name val="Calibri"/>
    </font>
    <font>
      <b/>
      <sz val="11"/>
      <color rgb="FFFF0000"/>
      <name val="Calibri"/>
    </font>
    <font>
      <sz val="11"/>
      <color theme="1"/>
      <name val="Calibri"/>
    </font>
    <font>
      <sz val="10"/>
      <color theme="1"/>
      <name val="Calibri"/>
      <scheme val="minor"/>
    </font>
    <font>
      <b/>
      <sz val="14"/>
      <color theme="1"/>
      <name val="Calibri"/>
    </font>
    <font>
      <sz val="11"/>
      <color rgb="FFFF0000"/>
      <name val="Calibri"/>
    </font>
    <font>
      <sz val="10"/>
      <color rgb="FF000000"/>
      <name val="Calibri"/>
      <scheme val="minor"/>
    </font>
    <font>
      <b/>
      <sz val="13"/>
      <color theme="1"/>
      <name val="Calibri"/>
      <scheme val="minor"/>
    </font>
    <font>
      <b/>
      <sz val="10"/>
      <color rgb="FFFFFFFF"/>
      <name val="Calibri"/>
    </font>
    <font>
      <sz val="10"/>
      <color theme="1"/>
      <name val="Arial"/>
    </font>
    <font>
      <sz val="10"/>
      <color rgb="FFFF0000"/>
      <name val="Arial"/>
    </font>
    <font>
      <sz val="12"/>
      <color theme="1"/>
      <name val="Calibri"/>
    </font>
    <font>
      <b/>
      <sz val="10"/>
      <color rgb="FFFF0000"/>
      <name val="Arial"/>
    </font>
    <font>
      <b/>
      <sz val="10"/>
      <color theme="1"/>
      <name val="Arial"/>
    </font>
    <font>
      <sz val="10"/>
      <color rgb="FF434343"/>
      <name val="Arial"/>
    </font>
    <font>
      <sz val="10"/>
      <color rgb="FF000000"/>
      <name val="Arial"/>
    </font>
    <font>
      <b/>
      <sz val="10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0"/>
      <color rgb="FFFF0000"/>
      <name val="Calibri"/>
      <scheme val="minor"/>
    </font>
    <font>
      <b/>
      <sz val="11"/>
      <color rgb="FF434343"/>
      <name val="Calibri"/>
    </font>
    <font>
      <b/>
      <sz val="10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/>
  </cellStyleXfs>
  <cellXfs count="147">
    <xf numFmtId="0" fontId="0" fillId="0" borderId="0" xfId="0"/>
    <xf numFmtId="0" fontId="8" fillId="0" borderId="0" xfId="1"/>
    <xf numFmtId="44" fontId="2" fillId="2" borderId="0" xfId="1" applyNumberFormat="1" applyFont="1" applyFill="1" applyAlignment="1">
      <alignment horizontal="right"/>
    </xf>
    <xf numFmtId="14" fontId="3" fillId="3" borderId="0" xfId="1" applyNumberFormat="1" applyFont="1" applyFill="1" applyAlignment="1">
      <alignment horizontal="right"/>
    </xf>
    <xf numFmtId="9" fontId="4" fillId="3" borderId="0" xfId="1" applyNumberFormat="1" applyFont="1" applyFill="1"/>
    <xf numFmtId="164" fontId="5" fillId="0" borderId="0" xfId="1" applyNumberFormat="1" applyFont="1"/>
    <xf numFmtId="0" fontId="4" fillId="0" borderId="0" xfId="1" applyFont="1"/>
    <xf numFmtId="44" fontId="4" fillId="0" borderId="0" xfId="1" applyNumberFormat="1" applyFont="1"/>
    <xf numFmtId="9" fontId="4" fillId="0" borderId="0" xfId="1" applyNumberFormat="1" applyFont="1"/>
    <xf numFmtId="0" fontId="6" fillId="0" borderId="0" xfId="1" applyFont="1"/>
    <xf numFmtId="44" fontId="6" fillId="0" borderId="0" xfId="1" applyNumberFormat="1" applyFont="1"/>
    <xf numFmtId="0" fontId="4" fillId="2" borderId="0" xfId="1" applyFont="1" applyFill="1"/>
    <xf numFmtId="0" fontId="2" fillId="2" borderId="0" xfId="1" applyFont="1" applyFill="1" applyAlignment="1">
      <alignment horizontal="right"/>
    </xf>
    <xf numFmtId="0" fontId="2" fillId="2" borderId="0" xfId="1" applyFont="1" applyFill="1"/>
    <xf numFmtId="10" fontId="2" fillId="2" borderId="0" xfId="1" applyNumberFormat="1" applyFont="1" applyFill="1" applyAlignment="1">
      <alignment horizontal="right"/>
    </xf>
    <xf numFmtId="0" fontId="5" fillId="2" borderId="0" xfId="1" applyFont="1" applyFill="1"/>
    <xf numFmtId="0" fontId="7" fillId="4" borderId="0" xfId="1" applyFont="1" applyFill="1"/>
    <xf numFmtId="0" fontId="4" fillId="4" borderId="0" xfId="1" applyFont="1" applyFill="1" applyAlignment="1">
      <alignment horizontal="right"/>
    </xf>
    <xf numFmtId="0" fontId="4" fillId="4" borderId="0" xfId="1" applyFont="1" applyFill="1"/>
    <xf numFmtId="44" fontId="4" fillId="4" borderId="0" xfId="1" applyNumberFormat="1" applyFont="1" applyFill="1" applyAlignment="1">
      <alignment horizontal="right"/>
    </xf>
    <xf numFmtId="44" fontId="2" fillId="4" borderId="0" xfId="1" applyNumberFormat="1" applyFont="1" applyFill="1" applyAlignment="1">
      <alignment horizontal="right"/>
    </xf>
    <xf numFmtId="10" fontId="4" fillId="4" borderId="0" xfId="1" applyNumberFormat="1" applyFont="1" applyFill="1" applyAlignment="1">
      <alignment horizontal="right"/>
    </xf>
    <xf numFmtId="0" fontId="7" fillId="5" borderId="0" xfId="1" applyFont="1" applyFill="1"/>
    <xf numFmtId="0" fontId="4" fillId="5" borderId="0" xfId="1" applyFont="1" applyFill="1" applyAlignment="1">
      <alignment horizontal="right"/>
    </xf>
    <xf numFmtId="0" fontId="4" fillId="5" borderId="0" xfId="1" applyFont="1" applyFill="1"/>
    <xf numFmtId="44" fontId="4" fillId="5" borderId="0" xfId="1" applyNumberFormat="1" applyFont="1" applyFill="1" applyAlignment="1">
      <alignment horizontal="right"/>
    </xf>
    <xf numFmtId="44" fontId="2" fillId="5" borderId="0" xfId="1" applyNumberFormat="1" applyFont="1" applyFill="1" applyAlignment="1">
      <alignment horizontal="right"/>
    </xf>
    <xf numFmtId="10" fontId="4" fillId="5" borderId="0" xfId="1" applyNumberFormat="1" applyFont="1" applyFill="1" applyAlignment="1">
      <alignment horizontal="right"/>
    </xf>
    <xf numFmtId="0" fontId="10" fillId="6" borderId="0" xfId="1" applyFont="1" applyFill="1"/>
    <xf numFmtId="14" fontId="11" fillId="7" borderId="0" xfId="1" applyNumberFormat="1" applyFont="1" applyFill="1"/>
    <xf numFmtId="14" fontId="11" fillId="7" borderId="1" xfId="1" applyNumberFormat="1" applyFont="1" applyFill="1" applyBorder="1"/>
    <xf numFmtId="0" fontId="11" fillId="7" borderId="1" xfId="1" applyFont="1" applyFill="1" applyBorder="1"/>
    <xf numFmtId="164" fontId="12" fillId="3" borderId="0" xfId="1" applyNumberFormat="1" applyFont="1" applyFill="1" applyAlignment="1">
      <alignment horizontal="right"/>
    </xf>
    <xf numFmtId="165" fontId="12" fillId="3" borderId="0" xfId="1" applyNumberFormat="1" applyFont="1" applyFill="1" applyAlignment="1">
      <alignment horizontal="right"/>
    </xf>
    <xf numFmtId="164" fontId="11" fillId="7" borderId="1" xfId="1" applyNumberFormat="1" applyFont="1" applyFill="1" applyBorder="1"/>
    <xf numFmtId="164" fontId="11" fillId="7" borderId="0" xfId="1" applyNumberFormat="1" applyFont="1" applyFill="1"/>
    <xf numFmtId="164" fontId="11" fillId="7" borderId="2" xfId="1" applyNumberFormat="1" applyFont="1" applyFill="1" applyBorder="1"/>
    <xf numFmtId="0" fontId="11" fillId="0" borderId="2" xfId="1" applyFont="1" applyBorder="1"/>
    <xf numFmtId="49" fontId="11" fillId="0" borderId="2" xfId="1" applyNumberFormat="1" applyFont="1" applyBorder="1"/>
    <xf numFmtId="0" fontId="11" fillId="0" borderId="0" xfId="1" applyFont="1"/>
    <xf numFmtId="14" fontId="11" fillId="0" borderId="0" xfId="1" applyNumberFormat="1" applyFont="1"/>
    <xf numFmtId="0" fontId="10" fillId="6" borderId="0" xfId="1" applyFont="1" applyFill="1" applyAlignment="1">
      <alignment wrapText="1"/>
    </xf>
    <xf numFmtId="0" fontId="10" fillId="6" borderId="3" xfId="1" applyFont="1" applyFill="1" applyBorder="1" applyAlignment="1">
      <alignment wrapText="1"/>
    </xf>
    <xf numFmtId="14" fontId="10" fillId="6" borderId="3" xfId="1" applyNumberFormat="1" applyFont="1" applyFill="1" applyBorder="1" applyAlignment="1">
      <alignment horizontal="center" wrapText="1"/>
    </xf>
    <xf numFmtId="0" fontId="10" fillId="6" borderId="3" xfId="1" applyFont="1" applyFill="1" applyBorder="1" applyAlignment="1">
      <alignment horizontal="center" wrapText="1"/>
    </xf>
    <xf numFmtId="164" fontId="10" fillId="6" borderId="3" xfId="1" applyNumberFormat="1" applyFont="1" applyFill="1" applyBorder="1" applyAlignment="1">
      <alignment horizontal="center" wrapText="1"/>
    </xf>
    <xf numFmtId="49" fontId="10" fillId="6" borderId="3" xfId="1" applyNumberFormat="1" applyFont="1" applyFill="1" applyBorder="1" applyAlignment="1">
      <alignment horizontal="center" wrapText="1"/>
    </xf>
    <xf numFmtId="0" fontId="2" fillId="0" borderId="0" xfId="1" applyFont="1"/>
    <xf numFmtId="0" fontId="13" fillId="7" borderId="4" xfId="1" applyFont="1" applyFill="1" applyBorder="1" applyAlignment="1">
      <alignment horizontal="center"/>
    </xf>
    <xf numFmtId="14" fontId="11" fillId="4" borderId="3" xfId="1" applyNumberFormat="1" applyFont="1" applyFill="1" applyBorder="1"/>
    <xf numFmtId="0" fontId="13" fillId="8" borderId="4" xfId="1" applyFont="1" applyFill="1" applyBorder="1" applyAlignment="1">
      <alignment horizontal="right"/>
    </xf>
    <xf numFmtId="164" fontId="11" fillId="4" borderId="3" xfId="1" applyNumberFormat="1" applyFont="1" applyFill="1" applyBorder="1"/>
    <xf numFmtId="164" fontId="14" fillId="8" borderId="3" xfId="1" applyNumberFormat="1" applyFont="1" applyFill="1" applyBorder="1"/>
    <xf numFmtId="164" fontId="12" fillId="2" borderId="3" xfId="1" applyNumberFormat="1" applyFont="1" applyFill="1" applyBorder="1"/>
    <xf numFmtId="164" fontId="11" fillId="8" borderId="3" xfId="1" applyNumberFormat="1" applyFont="1" applyFill="1" applyBorder="1"/>
    <xf numFmtId="164" fontId="15" fillId="8" borderId="3" xfId="1" applyNumberFormat="1" applyFont="1" applyFill="1" applyBorder="1"/>
    <xf numFmtId="49" fontId="11" fillId="4" borderId="3" xfId="1" applyNumberFormat="1" applyFont="1" applyFill="1" applyBorder="1"/>
    <xf numFmtId="164" fontId="11" fillId="2" borderId="3" xfId="1" applyNumberFormat="1" applyFont="1" applyFill="1" applyBorder="1"/>
    <xf numFmtId="0" fontId="16" fillId="0" borderId="0" xfId="1" applyFont="1" applyAlignment="1">
      <alignment horizontal="left" wrapText="1"/>
    </xf>
    <xf numFmtId="0" fontId="11" fillId="0" borderId="0" xfId="1" applyFont="1" applyAlignment="1">
      <alignment horizontal="left" wrapText="1"/>
    </xf>
    <xf numFmtId="0" fontId="2" fillId="9" borderId="0" xfId="1" applyFont="1" applyFill="1"/>
    <xf numFmtId="0" fontId="5" fillId="0" borderId="0" xfId="1" applyFont="1"/>
    <xf numFmtId="49" fontId="11" fillId="0" borderId="0" xfId="1" applyNumberFormat="1" applyFont="1"/>
    <xf numFmtId="0" fontId="10" fillId="0" borderId="0" xfId="1" applyFont="1" applyAlignment="1">
      <alignment wrapText="1"/>
    </xf>
    <xf numFmtId="0" fontId="10" fillId="0" borderId="3" xfId="1" applyFont="1" applyBorder="1" applyAlignment="1">
      <alignment wrapText="1"/>
    </xf>
    <xf numFmtId="14" fontId="10" fillId="0" borderId="3" xfId="1" applyNumberFormat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  <xf numFmtId="164" fontId="10" fillId="0" borderId="3" xfId="1" applyNumberFormat="1" applyFont="1" applyBorder="1" applyAlignment="1">
      <alignment horizontal="center" wrapText="1"/>
    </xf>
    <xf numFmtId="49" fontId="10" fillId="0" borderId="3" xfId="1" applyNumberFormat="1" applyFont="1" applyBorder="1" applyAlignment="1">
      <alignment horizontal="center" wrapText="1"/>
    </xf>
    <xf numFmtId="14" fontId="10" fillId="0" borderId="0" xfId="1" applyNumberFormat="1" applyFont="1" applyAlignment="1">
      <alignment wrapText="1"/>
    </xf>
    <xf numFmtId="0" fontId="17" fillId="0" borderId="0" xfId="1" applyFont="1" applyAlignment="1">
      <alignment horizontal="left" wrapText="1"/>
    </xf>
    <xf numFmtId="0" fontId="13" fillId="0" borderId="4" xfId="1" applyFont="1" applyBorder="1" applyAlignment="1">
      <alignment horizontal="center"/>
    </xf>
    <xf numFmtId="14" fontId="11" fillId="0" borderId="3" xfId="1" applyNumberFormat="1" applyFont="1" applyBorder="1"/>
    <xf numFmtId="0" fontId="13" fillId="0" borderId="4" xfId="1" applyFont="1" applyBorder="1" applyAlignment="1">
      <alignment horizontal="right"/>
    </xf>
    <xf numFmtId="164" fontId="11" fillId="0" borderId="3" xfId="1" applyNumberFormat="1" applyFont="1" applyBorder="1"/>
    <xf numFmtId="164" fontId="14" fillId="0" borderId="3" xfId="1" applyNumberFormat="1" applyFont="1" applyBorder="1"/>
    <xf numFmtId="164" fontId="15" fillId="0" borderId="3" xfId="1" applyNumberFormat="1" applyFont="1" applyBorder="1"/>
    <xf numFmtId="49" fontId="11" fillId="0" borderId="3" xfId="1" applyNumberFormat="1" applyFont="1" applyBorder="1"/>
    <xf numFmtId="49" fontId="5" fillId="0" borderId="0" xfId="1" applyNumberFormat="1" applyFont="1"/>
    <xf numFmtId="14" fontId="5" fillId="0" borderId="0" xfId="1" applyNumberFormat="1" applyFont="1"/>
    <xf numFmtId="0" fontId="11" fillId="0" borderId="3" xfId="1" applyFont="1" applyBorder="1"/>
    <xf numFmtId="164" fontId="11" fillId="10" borderId="3" xfId="1" applyNumberFormat="1" applyFont="1" applyFill="1" applyBorder="1"/>
    <xf numFmtId="14" fontId="18" fillId="3" borderId="0" xfId="1" applyNumberFormat="1" applyFont="1" applyFill="1" applyAlignment="1">
      <alignment wrapText="1"/>
    </xf>
    <xf numFmtId="14" fontId="10" fillId="6" borderId="0" xfId="1" applyNumberFormat="1" applyFont="1" applyFill="1" applyAlignment="1">
      <alignment horizontal="center" wrapText="1"/>
    </xf>
    <xf numFmtId="0" fontId="10" fillId="6" borderId="0" xfId="1" applyFont="1" applyFill="1" applyAlignment="1">
      <alignment horizontal="center" wrapText="1"/>
    </xf>
    <xf numFmtId="164" fontId="10" fillId="6" borderId="0" xfId="1" applyNumberFormat="1" applyFont="1" applyFill="1" applyAlignment="1">
      <alignment horizontal="center" wrapText="1"/>
    </xf>
    <xf numFmtId="44" fontId="10" fillId="6" borderId="0" xfId="1" applyNumberFormat="1" applyFont="1" applyFill="1" applyAlignment="1">
      <alignment horizontal="center" wrapText="1"/>
    </xf>
    <xf numFmtId="0" fontId="11" fillId="0" borderId="0" xfId="1" applyFont="1" applyAlignment="1">
      <alignment wrapText="1"/>
    </xf>
    <xf numFmtId="44" fontId="10" fillId="6" borderId="3" xfId="1" applyNumberFormat="1" applyFont="1" applyFill="1" applyBorder="1" applyAlignment="1">
      <alignment horizontal="center" wrapText="1"/>
    </xf>
    <xf numFmtId="0" fontId="19" fillId="0" borderId="5" xfId="1" applyFont="1" applyBorder="1" applyAlignment="1">
      <alignment horizontal="left"/>
    </xf>
    <xf numFmtId="0" fontId="20" fillId="7" borderId="3" xfId="1" applyFont="1" applyFill="1" applyBorder="1" applyAlignment="1">
      <alignment horizontal="center"/>
    </xf>
    <xf numFmtId="14" fontId="17" fillId="4" borderId="3" xfId="1" applyNumberFormat="1" applyFont="1" applyFill="1" applyBorder="1"/>
    <xf numFmtId="0" fontId="20" fillId="8" borderId="3" xfId="1" applyFont="1" applyFill="1" applyBorder="1" applyAlignment="1">
      <alignment horizontal="right"/>
    </xf>
    <xf numFmtId="164" fontId="17" fillId="4" borderId="3" xfId="1" applyNumberFormat="1" applyFont="1" applyFill="1" applyBorder="1"/>
    <xf numFmtId="4" fontId="17" fillId="4" borderId="3" xfId="1" applyNumberFormat="1" applyFont="1" applyFill="1" applyBorder="1"/>
    <xf numFmtId="164" fontId="17" fillId="4" borderId="0" xfId="1" applyNumberFormat="1" applyFont="1" applyFill="1"/>
    <xf numFmtId="164" fontId="17" fillId="8" borderId="3" xfId="1" applyNumberFormat="1" applyFont="1" applyFill="1" applyBorder="1"/>
    <xf numFmtId="164" fontId="17" fillId="2" borderId="3" xfId="1" applyNumberFormat="1" applyFont="1" applyFill="1" applyBorder="1"/>
    <xf numFmtId="44" fontId="17" fillId="8" borderId="3" xfId="1" applyNumberFormat="1" applyFont="1" applyFill="1" applyBorder="1"/>
    <xf numFmtId="10" fontId="17" fillId="4" borderId="3" xfId="1" applyNumberFormat="1" applyFont="1" applyFill="1" applyBorder="1"/>
    <xf numFmtId="0" fontId="8" fillId="4" borderId="5" xfId="1" applyFill="1" applyBorder="1"/>
    <xf numFmtId="164" fontId="17" fillId="8" borderId="5" xfId="1" applyNumberFormat="1" applyFont="1" applyFill="1" applyBorder="1"/>
    <xf numFmtId="164" fontId="17" fillId="2" borderId="5" xfId="1" applyNumberFormat="1" applyFont="1" applyFill="1" applyBorder="1"/>
    <xf numFmtId="0" fontId="17" fillId="8" borderId="5" xfId="1" applyFont="1" applyFill="1" applyBorder="1"/>
    <xf numFmtId="0" fontId="17" fillId="0" borderId="0" xfId="1" applyFont="1"/>
    <xf numFmtId="0" fontId="19" fillId="0" borderId="0" xfId="1" applyFont="1" applyAlignment="1">
      <alignment horizontal="left"/>
    </xf>
    <xf numFmtId="0" fontId="20" fillId="7" borderId="4" xfId="1" applyFont="1" applyFill="1" applyBorder="1" applyAlignment="1">
      <alignment horizontal="center"/>
    </xf>
    <xf numFmtId="0" fontId="20" fillId="8" borderId="4" xfId="1" applyFont="1" applyFill="1" applyBorder="1" applyAlignment="1">
      <alignment horizontal="right"/>
    </xf>
    <xf numFmtId="0" fontId="12" fillId="0" borderId="0" xfId="1" applyFont="1"/>
    <xf numFmtId="0" fontId="20" fillId="0" borderId="4" xfId="1" applyFont="1" applyBorder="1" applyAlignment="1">
      <alignment horizontal="center"/>
    </xf>
    <xf numFmtId="0" fontId="5" fillId="4" borderId="3" xfId="1" applyFont="1" applyFill="1" applyBorder="1"/>
    <xf numFmtId="44" fontId="5" fillId="0" borderId="0" xfId="1" applyNumberFormat="1" applyFont="1"/>
    <xf numFmtId="0" fontId="21" fillId="0" borderId="0" xfId="1" applyFont="1"/>
    <xf numFmtId="14" fontId="10" fillId="6" borderId="0" xfId="1" applyNumberFormat="1" applyFont="1" applyFill="1" applyAlignment="1">
      <alignment wrapText="1"/>
    </xf>
    <xf numFmtId="14" fontId="18" fillId="3" borderId="0" xfId="1" applyNumberFormat="1" applyFont="1" applyFill="1" applyAlignment="1">
      <alignment horizontal="center" wrapText="1"/>
    </xf>
    <xf numFmtId="164" fontId="11" fillId="0" borderId="0" xfId="1" applyNumberFormat="1" applyFont="1" applyAlignment="1">
      <alignment wrapText="1"/>
    </xf>
    <xf numFmtId="0" fontId="10" fillId="6" borderId="5" xfId="1" applyFont="1" applyFill="1" applyBorder="1" applyAlignment="1">
      <alignment wrapText="1"/>
    </xf>
    <xf numFmtId="0" fontId="11" fillId="11" borderId="0" xfId="1" applyFont="1" applyFill="1" applyAlignment="1">
      <alignment wrapText="1"/>
    </xf>
    <xf numFmtId="0" fontId="19" fillId="0" borderId="5" xfId="1" applyFont="1" applyBorder="1"/>
    <xf numFmtId="3" fontId="13" fillId="8" borderId="4" xfId="1" applyNumberFormat="1" applyFont="1" applyFill="1" applyBorder="1" applyAlignment="1">
      <alignment horizontal="right"/>
    </xf>
    <xf numFmtId="0" fontId="5" fillId="11" borderId="0" xfId="1" applyFont="1" applyFill="1"/>
    <xf numFmtId="3" fontId="20" fillId="8" borderId="4" xfId="1" applyNumberFormat="1" applyFont="1" applyFill="1" applyBorder="1" applyAlignment="1">
      <alignment horizontal="right"/>
    </xf>
    <xf numFmtId="49" fontId="17" fillId="4" borderId="3" xfId="1" applyNumberFormat="1" applyFont="1" applyFill="1" applyBorder="1"/>
    <xf numFmtId="164" fontId="17" fillId="0" borderId="3" xfId="1" applyNumberFormat="1" applyFont="1" applyBorder="1"/>
    <xf numFmtId="0" fontId="8" fillId="11" borderId="0" xfId="1" applyFill="1"/>
    <xf numFmtId="0" fontId="13" fillId="7" borderId="5" xfId="1" applyFont="1" applyFill="1" applyBorder="1" applyAlignment="1">
      <alignment horizontal="center"/>
    </xf>
    <xf numFmtId="0" fontId="22" fillId="0" borderId="0" xfId="1" applyFont="1"/>
    <xf numFmtId="0" fontId="23" fillId="4" borderId="0" xfId="1" applyFont="1" applyFill="1"/>
    <xf numFmtId="164" fontId="23" fillId="4" borderId="0" xfId="1" applyNumberFormat="1" applyFont="1" applyFill="1"/>
    <xf numFmtId="14" fontId="5" fillId="4" borderId="0" xfId="1" applyNumberFormat="1" applyFont="1" applyFill="1"/>
    <xf numFmtId="164" fontId="5" fillId="4" borderId="0" xfId="1" applyNumberFormat="1" applyFont="1" applyFill="1"/>
    <xf numFmtId="0" fontId="5" fillId="4" borderId="0" xfId="1" applyFont="1" applyFill="1"/>
    <xf numFmtId="164" fontId="11" fillId="4" borderId="0" xfId="1" applyNumberFormat="1" applyFont="1" applyFill="1"/>
    <xf numFmtId="14" fontId="11" fillId="4" borderId="0" xfId="1" applyNumberFormat="1" applyFont="1" applyFill="1"/>
    <xf numFmtId="166" fontId="5" fillId="4" borderId="0" xfId="1" applyNumberFormat="1" applyFont="1" applyFill="1"/>
    <xf numFmtId="0" fontId="2" fillId="0" borderId="6" xfId="1" applyFont="1" applyBorder="1"/>
    <xf numFmtId="0" fontId="4" fillId="0" borderId="7" xfId="1" applyFont="1" applyBorder="1"/>
    <xf numFmtId="0" fontId="2" fillId="0" borderId="7" xfId="1" applyFont="1" applyBorder="1"/>
    <xf numFmtId="0" fontId="5" fillId="3" borderId="0" xfId="1" applyFont="1" applyFill="1"/>
    <xf numFmtId="166" fontId="11" fillId="4" borderId="0" xfId="1" applyNumberFormat="1" applyFont="1" applyFill="1"/>
    <xf numFmtId="14" fontId="10" fillId="6" borderId="0" xfId="0" applyNumberFormat="1" applyFont="1" applyFill="1" applyAlignment="1">
      <alignment horizontal="center" wrapText="1"/>
    </xf>
    <xf numFmtId="14" fontId="10" fillId="6" borderId="3" xfId="0" applyNumberFormat="1" applyFont="1" applyFill="1" applyBorder="1" applyAlignment="1">
      <alignment horizontal="center" wrapText="1"/>
    </xf>
    <xf numFmtId="14" fontId="17" fillId="4" borderId="3" xfId="0" applyNumberFormat="1" applyFont="1" applyFill="1" applyBorder="1"/>
    <xf numFmtId="0" fontId="1" fillId="0" borderId="0" xfId="1" applyFont="1" applyAlignment="1">
      <alignment horizontal="center"/>
    </xf>
    <xf numFmtId="0" fontId="8" fillId="0" borderId="0" xfId="1"/>
    <xf numFmtId="0" fontId="9" fillId="2" borderId="0" xfId="1" applyFont="1" applyFill="1" applyAlignment="1">
      <alignment vertical="top"/>
    </xf>
    <xf numFmtId="164" fontId="9" fillId="2" borderId="0" xfId="1" applyNumberFormat="1" applyFont="1" applyFill="1" applyAlignment="1">
      <alignment vertical="top"/>
    </xf>
  </cellXfs>
  <cellStyles count="2">
    <cellStyle name="Normal" xfId="0" builtinId="0"/>
    <cellStyle name="Normal 2" xfId="1" xr:uid="{201C89DE-C1AE-4ABD-9545-B9C5E8AA3F5A}"/>
  </cellStyles>
  <dxfs count="8">
    <dxf>
      <font>
        <color rgb="FFFF0000"/>
      </font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FAD9D6"/>
          <bgColor rgb="FFFAD9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Looqupai\Project\Data\Copy%20of%20CURRENT%20Flip%20Inventory%20Holly%20Nance%20Group.xlsx" TargetMode="External"/><Relationship Id="rId1" Type="http://schemas.openxmlformats.org/officeDocument/2006/relationships/externalLinkPath" Target="Copy%20of%20CURRENT%20Flip%20Inventory%20Holly%20Nance%20Gro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s"/>
      <sheetName val="Sheet16"/>
      <sheetName val="Kiavi Loans"/>
      <sheetName val="Flip Inventory Sheet"/>
      <sheetName val="Sold Flips"/>
      <sheetName val="Wholesale"/>
      <sheetName val="Novation"/>
      <sheetName val="LotLand"/>
      <sheetName val="Rentals"/>
      <sheetName val="Property List"/>
      <sheetName val="Balance Sheet"/>
      <sheetName val="P&amp;L"/>
      <sheetName val="Open POs"/>
      <sheetName val="Account number"/>
    </sheetNames>
    <sheetDataSet>
      <sheetData sheetId="0"/>
      <sheetData sheetId="1"/>
      <sheetData sheetId="2">
        <row r="1">
          <cell r="A1" t="str">
            <v>Kiavi Loans</v>
          </cell>
          <cell r="F1"/>
          <cell r="G1">
            <v>45545</v>
          </cell>
          <cell r="H1"/>
        </row>
        <row r="2">
          <cell r="A2"/>
          <cell r="B2"/>
          <cell r="C2"/>
          <cell r="D2"/>
          <cell r="E2"/>
          <cell r="F2"/>
          <cell r="G2"/>
          <cell r="H2"/>
        </row>
        <row r="3">
          <cell r="A3" t="str">
            <v>Address</v>
          </cell>
          <cell r="B3" t="str">
            <v>Loan Number</v>
          </cell>
          <cell r="C3" t="str">
            <v>Status</v>
          </cell>
          <cell r="D3" t="str">
            <v xml:space="preserve">Balance </v>
          </cell>
          <cell r="E3" t="str">
            <v>Undrawn</v>
          </cell>
          <cell r="F3" t="str">
            <v>Total</v>
          </cell>
          <cell r="G3" t="str">
            <v>Est ARV</v>
          </cell>
          <cell r="H3" t="str">
            <v>Rate</v>
          </cell>
        </row>
        <row r="4">
          <cell r="A4" t="str">
            <v>101 SIlver Lake Road</v>
          </cell>
          <cell r="B4">
            <v>34667255</v>
          </cell>
          <cell r="C4" t="str">
            <v>Current</v>
          </cell>
          <cell r="D4">
            <v>465700</v>
          </cell>
          <cell r="E4">
            <v>0</v>
          </cell>
          <cell r="F4">
            <v>465700</v>
          </cell>
          <cell r="G4">
            <v>621000</v>
          </cell>
          <cell r="H4">
            <v>0.1045</v>
          </cell>
        </row>
        <row r="5">
          <cell r="A5" t="str">
            <v>103 Taylor St</v>
          </cell>
          <cell r="B5">
            <v>34734100</v>
          </cell>
          <cell r="C5" t="str">
            <v>Current</v>
          </cell>
          <cell r="D5">
            <v>143000</v>
          </cell>
          <cell r="E5">
            <v>0</v>
          </cell>
          <cell r="F5">
            <v>143000</v>
          </cell>
          <cell r="G5">
            <v>200000</v>
          </cell>
          <cell r="H5">
            <v>0.1045</v>
          </cell>
        </row>
        <row r="6">
          <cell r="A6" t="str">
            <v>1055 Lalor St</v>
          </cell>
          <cell r="B6">
            <v>34795445</v>
          </cell>
          <cell r="C6" t="str">
            <v>Current</v>
          </cell>
          <cell r="D6">
            <v>158000</v>
          </cell>
          <cell r="E6">
            <v>65100</v>
          </cell>
          <cell r="F6">
            <v>223100</v>
          </cell>
          <cell r="G6">
            <v>325000</v>
          </cell>
          <cell r="H6">
            <v>0.1045</v>
          </cell>
        </row>
        <row r="7">
          <cell r="A7" t="str">
            <v>132 Keswick Dr</v>
          </cell>
          <cell r="B7">
            <v>34766800</v>
          </cell>
          <cell r="C7" t="str">
            <v>Current</v>
          </cell>
          <cell r="D7">
            <v>312740</v>
          </cell>
          <cell r="E7">
            <v>33260</v>
          </cell>
          <cell r="F7">
            <v>346000</v>
          </cell>
          <cell r="G7">
            <v>465000</v>
          </cell>
          <cell r="H7">
            <v>0.1045</v>
          </cell>
        </row>
        <row r="8">
          <cell r="A8" t="str">
            <v>154 Andrew Street</v>
          </cell>
          <cell r="B8">
            <v>34679302</v>
          </cell>
          <cell r="C8" t="str">
            <v>Current</v>
          </cell>
          <cell r="D8">
            <v>275000</v>
          </cell>
          <cell r="E8">
            <v>0</v>
          </cell>
          <cell r="F8">
            <v>275000</v>
          </cell>
          <cell r="G8">
            <v>385000</v>
          </cell>
          <cell r="H8">
            <v>0.1045</v>
          </cell>
        </row>
        <row r="9">
          <cell r="A9" t="str">
            <v>154 Lenox Ave</v>
          </cell>
          <cell r="B9">
            <v>34754776</v>
          </cell>
          <cell r="C9" t="str">
            <v>Current</v>
          </cell>
          <cell r="D9">
            <v>275000</v>
          </cell>
          <cell r="E9">
            <v>131000</v>
          </cell>
          <cell r="F9">
            <v>406000</v>
          </cell>
          <cell r="G9">
            <v>558000</v>
          </cell>
          <cell r="H9">
            <v>0.1045</v>
          </cell>
        </row>
        <row r="10">
          <cell r="A10" t="str">
            <v xml:space="preserve">161 Joan Terrace </v>
          </cell>
          <cell r="B10">
            <v>34768400</v>
          </cell>
          <cell r="C10" t="str">
            <v>Current</v>
          </cell>
          <cell r="D10">
            <v>198700</v>
          </cell>
          <cell r="E10">
            <v>0</v>
          </cell>
          <cell r="F10">
            <v>0</v>
          </cell>
          <cell r="G10">
            <v>255000</v>
          </cell>
          <cell r="H10">
            <v>9.5000000000000001E-2</v>
          </cell>
        </row>
        <row r="11">
          <cell r="A11" t="str">
            <v>174 E Highland Ave</v>
          </cell>
          <cell r="B11">
            <v>34751267</v>
          </cell>
          <cell r="C11" t="str">
            <v>Current</v>
          </cell>
          <cell r="D11">
            <v>350000</v>
          </cell>
          <cell r="E11">
            <v>63100</v>
          </cell>
          <cell r="F11">
            <v>413100</v>
          </cell>
          <cell r="G11">
            <v>551000</v>
          </cell>
          <cell r="H11">
            <v>0.1045</v>
          </cell>
        </row>
        <row r="12">
          <cell r="A12" t="str">
            <v>2 Nordacs St</v>
          </cell>
          <cell r="B12">
            <v>34750254</v>
          </cell>
          <cell r="C12" t="str">
            <v>Current</v>
          </cell>
          <cell r="D12">
            <v>120000</v>
          </cell>
          <cell r="E12">
            <v>30000</v>
          </cell>
          <cell r="F12">
            <v>150000</v>
          </cell>
          <cell r="G12">
            <v>200000</v>
          </cell>
          <cell r="H12">
            <v>0.1045</v>
          </cell>
        </row>
        <row r="13">
          <cell r="A13" t="str">
            <v>200 Willow Rd</v>
          </cell>
          <cell r="B13">
            <v>34774401</v>
          </cell>
          <cell r="C13" t="str">
            <v>Current</v>
          </cell>
          <cell r="D13">
            <v>430000</v>
          </cell>
          <cell r="E13">
            <v>130000</v>
          </cell>
          <cell r="F13">
            <v>560000</v>
          </cell>
          <cell r="G13">
            <v>758000</v>
          </cell>
          <cell r="H13">
            <v>0.1045</v>
          </cell>
        </row>
        <row r="14">
          <cell r="A14" t="str">
            <v>22 Cain Ave</v>
          </cell>
          <cell r="B14">
            <v>34729218</v>
          </cell>
          <cell r="C14" t="str">
            <v>Current</v>
          </cell>
          <cell r="D14">
            <v>190000</v>
          </cell>
          <cell r="E14">
            <v>0</v>
          </cell>
          <cell r="F14">
            <v>190000</v>
          </cell>
          <cell r="G14">
            <v>255000</v>
          </cell>
          <cell r="H14">
            <v>0.1045</v>
          </cell>
        </row>
        <row r="15">
          <cell r="A15" t="str">
            <v>235 Ellis St</v>
          </cell>
          <cell r="B15">
            <v>34734077</v>
          </cell>
          <cell r="C15" t="str">
            <v>Current</v>
          </cell>
          <cell r="D15">
            <v>178850</v>
          </cell>
          <cell r="E15">
            <v>27250</v>
          </cell>
          <cell r="F15">
            <v>206100</v>
          </cell>
          <cell r="G15">
            <v>275000</v>
          </cell>
          <cell r="H15">
            <v>0.1045</v>
          </cell>
        </row>
        <row r="16">
          <cell r="A16" t="str">
            <v xml:space="preserve">24 Express </v>
          </cell>
          <cell r="B16">
            <v>34729238</v>
          </cell>
          <cell r="C16" t="str">
            <v>Current</v>
          </cell>
          <cell r="D16">
            <v>288600</v>
          </cell>
          <cell r="E16">
            <v>0</v>
          </cell>
          <cell r="F16">
            <v>288600</v>
          </cell>
          <cell r="G16">
            <v>385000</v>
          </cell>
          <cell r="H16">
            <v>0.1045</v>
          </cell>
        </row>
        <row r="17">
          <cell r="A17" t="str">
            <v>24 Longboat</v>
          </cell>
          <cell r="B17">
            <v>34788591</v>
          </cell>
          <cell r="C17" t="str">
            <v>Current</v>
          </cell>
          <cell r="D17">
            <v>180000</v>
          </cell>
          <cell r="E17">
            <v>36360</v>
          </cell>
          <cell r="F17">
            <v>216360</v>
          </cell>
          <cell r="G17">
            <v>325000</v>
          </cell>
          <cell r="H17">
            <v>0.1045</v>
          </cell>
        </row>
        <row r="18">
          <cell r="A18" t="str">
            <v>24 Tynemouth Ct</v>
          </cell>
          <cell r="B18">
            <v>34736017</v>
          </cell>
          <cell r="C18" t="str">
            <v>Current</v>
          </cell>
          <cell r="D18">
            <v>360000</v>
          </cell>
          <cell r="E18">
            <v>0</v>
          </cell>
          <cell r="F18">
            <v>360000</v>
          </cell>
          <cell r="G18">
            <v>480000</v>
          </cell>
          <cell r="H18">
            <v>0.1045</v>
          </cell>
        </row>
        <row r="19">
          <cell r="A19" t="str">
            <v>275 Green St 4 B6</v>
          </cell>
          <cell r="B19">
            <v>34717619</v>
          </cell>
          <cell r="C19" t="str">
            <v>Current</v>
          </cell>
          <cell r="D19">
            <v>136700</v>
          </cell>
          <cell r="E19">
            <v>1300</v>
          </cell>
          <cell r="F19">
            <v>138000</v>
          </cell>
          <cell r="G19">
            <v>184000</v>
          </cell>
          <cell r="H19">
            <v>0.1045</v>
          </cell>
        </row>
        <row r="20">
          <cell r="A20" t="str">
            <v>313 Delaware Ave</v>
          </cell>
          <cell r="B20">
            <v>34607961</v>
          </cell>
          <cell r="C20" t="str">
            <v>Current</v>
          </cell>
          <cell r="D20">
            <v>228170</v>
          </cell>
          <cell r="E20">
            <v>36830</v>
          </cell>
          <cell r="F20">
            <v>265000</v>
          </cell>
          <cell r="G20">
            <v>380000</v>
          </cell>
          <cell r="H20">
            <v>0.1045</v>
          </cell>
        </row>
        <row r="21">
          <cell r="A21" t="str">
            <v>316 W 3rd St Florence</v>
          </cell>
          <cell r="B21">
            <v>34636788</v>
          </cell>
          <cell r="C21" t="str">
            <v>Current</v>
          </cell>
          <cell r="D21">
            <v>314900</v>
          </cell>
          <cell r="E21">
            <v>0</v>
          </cell>
          <cell r="F21">
            <v>314900</v>
          </cell>
          <cell r="G21">
            <v>425000</v>
          </cell>
          <cell r="H21">
            <v>0.1045</v>
          </cell>
        </row>
        <row r="22">
          <cell r="A22" t="str">
            <v>324 St Mary St</v>
          </cell>
          <cell r="B22">
            <v>34745529</v>
          </cell>
          <cell r="C22" t="str">
            <v>Current</v>
          </cell>
          <cell r="D22">
            <v>113000</v>
          </cell>
          <cell r="E22">
            <v>60000</v>
          </cell>
          <cell r="F22">
            <v>173000</v>
          </cell>
          <cell r="G22">
            <v>235000</v>
          </cell>
          <cell r="H22">
            <v>0.1045</v>
          </cell>
        </row>
        <row r="23">
          <cell r="A23" t="str">
            <v xml:space="preserve">343 Elm Ave </v>
          </cell>
          <cell r="B23">
            <v>34765811</v>
          </cell>
          <cell r="C23" t="str">
            <v>Current</v>
          </cell>
          <cell r="D23">
            <v>190000</v>
          </cell>
          <cell r="E23">
            <v>44100</v>
          </cell>
          <cell r="F23">
            <v>234100</v>
          </cell>
          <cell r="G23">
            <v>323000</v>
          </cell>
          <cell r="H23">
            <v>0.1045</v>
          </cell>
        </row>
        <row r="24">
          <cell r="A24" t="str">
            <v>35 Pensdale Lane</v>
          </cell>
          <cell r="B24">
            <v>34601083</v>
          </cell>
          <cell r="C24" t="str">
            <v>Current</v>
          </cell>
          <cell r="D24">
            <v>307000</v>
          </cell>
          <cell r="E24">
            <v>0</v>
          </cell>
          <cell r="F24">
            <v>307000</v>
          </cell>
          <cell r="G24">
            <v>410000</v>
          </cell>
          <cell r="H24">
            <v>0.1045</v>
          </cell>
        </row>
        <row r="25">
          <cell r="A25" t="str">
            <v>4 Goat Hill</v>
          </cell>
          <cell r="B25">
            <v>34738354</v>
          </cell>
          <cell r="C25" t="str">
            <v>Current</v>
          </cell>
          <cell r="D25">
            <v>399000</v>
          </cell>
          <cell r="E25">
            <v>47200</v>
          </cell>
          <cell r="F25">
            <v>446200</v>
          </cell>
          <cell r="G25">
            <v>595000</v>
          </cell>
          <cell r="H25">
            <v>0.1045</v>
          </cell>
        </row>
        <row r="26">
          <cell r="A26" t="str">
            <v>4 Huron Way</v>
          </cell>
          <cell r="B26">
            <v>34721043</v>
          </cell>
          <cell r="C26" t="str">
            <v>Current</v>
          </cell>
          <cell r="D26">
            <v>450000</v>
          </cell>
          <cell r="E26">
            <v>0</v>
          </cell>
          <cell r="F26">
            <v>450000</v>
          </cell>
          <cell r="G26">
            <v>625000</v>
          </cell>
          <cell r="H26">
            <v>0.1045</v>
          </cell>
        </row>
        <row r="27">
          <cell r="A27" t="str">
            <v>430 Kossuth St</v>
          </cell>
          <cell r="B27">
            <v>34733002</v>
          </cell>
          <cell r="C27" t="str">
            <v>Current</v>
          </cell>
          <cell r="D27">
            <v>117000</v>
          </cell>
          <cell r="E27">
            <v>70000</v>
          </cell>
          <cell r="F27">
            <v>187000</v>
          </cell>
          <cell r="G27">
            <v>250000</v>
          </cell>
          <cell r="H27">
            <v>0.1045</v>
          </cell>
        </row>
        <row r="28">
          <cell r="A28" t="str">
            <v>586 Chestnut Ave</v>
          </cell>
          <cell r="B28">
            <v>34788595</v>
          </cell>
          <cell r="C28" t="str">
            <v>Current</v>
          </cell>
          <cell r="D28">
            <v>130000</v>
          </cell>
          <cell r="E28">
            <v>75000</v>
          </cell>
          <cell r="F28">
            <v>205000</v>
          </cell>
          <cell r="G28">
            <v>295000</v>
          </cell>
          <cell r="H28">
            <v>0.1045</v>
          </cell>
        </row>
        <row r="29">
          <cell r="A29" t="str">
            <v>6 Pinehurst</v>
          </cell>
          <cell r="B29">
            <v>34756080</v>
          </cell>
          <cell r="C29" t="str">
            <v>Current</v>
          </cell>
          <cell r="D29">
            <v>222650</v>
          </cell>
          <cell r="E29">
            <v>19350</v>
          </cell>
          <cell r="F29">
            <v>242000</v>
          </cell>
          <cell r="G29">
            <v>325000</v>
          </cell>
          <cell r="H29">
            <v>0.1045</v>
          </cell>
        </row>
        <row r="30">
          <cell r="A30" t="str">
            <v>607 Benton Lane</v>
          </cell>
          <cell r="B30">
            <v>34754315</v>
          </cell>
          <cell r="C30" t="str">
            <v>Current</v>
          </cell>
          <cell r="D30">
            <v>256125</v>
          </cell>
          <cell r="E30">
            <v>38475</v>
          </cell>
          <cell r="F30">
            <v>294600</v>
          </cell>
          <cell r="G30">
            <v>393000</v>
          </cell>
          <cell r="H30">
            <v>0.1045</v>
          </cell>
        </row>
        <row r="31">
          <cell r="A31" t="str">
            <v>6124 Camden Ave</v>
          </cell>
          <cell r="B31">
            <v>34765568</v>
          </cell>
          <cell r="C31" t="str">
            <v>Current</v>
          </cell>
          <cell r="D31">
            <v>222000</v>
          </cell>
          <cell r="E31">
            <v>63000</v>
          </cell>
          <cell r="F31">
            <v>285000</v>
          </cell>
          <cell r="G31">
            <v>380000</v>
          </cell>
          <cell r="H31">
            <v>0.1045</v>
          </cell>
        </row>
        <row r="32">
          <cell r="A32" t="str">
            <v>72 New Cedar Ln</v>
          </cell>
          <cell r="B32">
            <v>34768381</v>
          </cell>
          <cell r="C32" t="str">
            <v>Current</v>
          </cell>
          <cell r="D32">
            <v>210000</v>
          </cell>
          <cell r="E32">
            <v>33700</v>
          </cell>
          <cell r="F32">
            <v>243700</v>
          </cell>
          <cell r="G32">
            <v>325000</v>
          </cell>
          <cell r="H32">
            <v>0.1045</v>
          </cell>
        </row>
        <row r="33">
          <cell r="A33" t="str">
            <v>912 Adeline St</v>
          </cell>
          <cell r="B33">
            <v>34741300</v>
          </cell>
          <cell r="C33" t="str">
            <v>Current</v>
          </cell>
          <cell r="D33">
            <v>199725</v>
          </cell>
          <cell r="E33">
            <v>6475</v>
          </cell>
          <cell r="F33">
            <v>206200</v>
          </cell>
          <cell r="G33">
            <v>275000</v>
          </cell>
          <cell r="H33">
            <v>0.1045</v>
          </cell>
        </row>
        <row r="34">
          <cell r="A34" t="str">
            <v>943 Columbus</v>
          </cell>
          <cell r="B34">
            <v>34763590</v>
          </cell>
          <cell r="C34" t="str">
            <v>Current</v>
          </cell>
          <cell r="D34">
            <v>200000</v>
          </cell>
          <cell r="E34">
            <v>65000</v>
          </cell>
          <cell r="F34">
            <v>265000</v>
          </cell>
          <cell r="G34">
            <v>360000</v>
          </cell>
          <cell r="H34">
            <v>0.1045</v>
          </cell>
        </row>
        <row r="35">
          <cell r="A35" t="str">
            <v>38 Marvin Ct</v>
          </cell>
          <cell r="B35">
            <v>34774365</v>
          </cell>
          <cell r="C35" t="str">
            <v>Underwriting</v>
          </cell>
          <cell r="D35">
            <v>362500</v>
          </cell>
          <cell r="E35">
            <v>146000</v>
          </cell>
          <cell r="F35">
            <v>508500</v>
          </cell>
          <cell r="G35">
            <v>678000</v>
          </cell>
          <cell r="H35">
            <v>0.1045</v>
          </cell>
        </row>
        <row r="36">
          <cell r="A36" t="str">
            <v>2200 Brunswick Ave</v>
          </cell>
          <cell r="B36">
            <v>34795492</v>
          </cell>
          <cell r="C36" t="str">
            <v>Underwriting</v>
          </cell>
          <cell r="D36">
            <v>269000</v>
          </cell>
          <cell r="E36">
            <v>45000</v>
          </cell>
          <cell r="F36">
            <v>314000</v>
          </cell>
          <cell r="G36">
            <v>425000</v>
          </cell>
          <cell r="H36">
            <v>0.1045</v>
          </cell>
        </row>
        <row r="37">
          <cell r="A37" t="str">
            <v>115 Glendale Dr</v>
          </cell>
          <cell r="B37">
            <v>34803404</v>
          </cell>
          <cell r="C37" t="str">
            <v>Underwriting</v>
          </cell>
          <cell r="D37">
            <v>150000</v>
          </cell>
          <cell r="E37">
            <v>125000</v>
          </cell>
          <cell r="F37">
            <v>275000</v>
          </cell>
          <cell r="G37">
            <v>391000</v>
          </cell>
          <cell r="H37">
            <v>0.1045</v>
          </cell>
        </row>
        <row r="38">
          <cell r="A38" t="str">
            <v>2862 N Congress Rd</v>
          </cell>
          <cell r="B38">
            <v>34799698</v>
          </cell>
          <cell r="C38" t="str">
            <v>Underwriting</v>
          </cell>
          <cell r="D38">
            <v>97400</v>
          </cell>
          <cell r="E38">
            <v>50000</v>
          </cell>
          <cell r="F38">
            <v>147400</v>
          </cell>
          <cell r="G38">
            <v>205000</v>
          </cell>
          <cell r="H38">
            <v>0.1045</v>
          </cell>
        </row>
        <row r="39">
          <cell r="A39" t="str">
            <v>507 Lawrence St</v>
          </cell>
          <cell r="B39">
            <v>34807424</v>
          </cell>
          <cell r="C39" t="str">
            <v>Underwriting</v>
          </cell>
          <cell r="D39">
            <v>70000</v>
          </cell>
          <cell r="E39">
            <v>57400</v>
          </cell>
          <cell r="F39">
            <v>127400</v>
          </cell>
          <cell r="G39">
            <v>196000</v>
          </cell>
          <cell r="H39">
            <v>0.1045</v>
          </cell>
        </row>
        <row r="40">
          <cell r="A40" t="str">
            <v>408 Cleveland Ave</v>
          </cell>
          <cell r="B40">
            <v>34807457</v>
          </cell>
          <cell r="C40" t="str">
            <v>Processing</v>
          </cell>
          <cell r="D40">
            <v>120000</v>
          </cell>
          <cell r="E40">
            <v>50700</v>
          </cell>
          <cell r="F40">
            <v>170700</v>
          </cell>
          <cell r="G40">
            <v>230000</v>
          </cell>
          <cell r="H40">
            <v>0.1045</v>
          </cell>
        </row>
        <row r="41">
          <cell r="A41" t="str">
            <v>1061 Lakeshore</v>
          </cell>
          <cell r="B41">
            <v>34807392</v>
          </cell>
          <cell r="C41" t="str">
            <v>Underwriting</v>
          </cell>
          <cell r="D41">
            <v>310000</v>
          </cell>
          <cell r="E41">
            <v>50000</v>
          </cell>
          <cell r="F41">
            <v>360000</v>
          </cell>
          <cell r="G41">
            <v>450000</v>
          </cell>
          <cell r="H41">
            <v>0.1045</v>
          </cell>
        </row>
        <row r="42">
          <cell r="A42"/>
          <cell r="B42"/>
          <cell r="C42"/>
          <cell r="D42"/>
          <cell r="E42"/>
          <cell r="F42"/>
          <cell r="G42"/>
          <cell r="H42"/>
        </row>
        <row r="43">
          <cell r="A43"/>
          <cell r="B43"/>
          <cell r="C43"/>
          <cell r="D43"/>
          <cell r="E43"/>
          <cell r="F43"/>
          <cell r="G43"/>
          <cell r="H43"/>
        </row>
        <row r="44">
          <cell r="A44"/>
          <cell r="B44"/>
          <cell r="C44"/>
          <cell r="D44"/>
          <cell r="E44"/>
          <cell r="F44"/>
          <cell r="G44"/>
          <cell r="H44"/>
        </row>
        <row r="45">
          <cell r="A45"/>
          <cell r="B45"/>
          <cell r="C45"/>
          <cell r="D45"/>
          <cell r="E45"/>
          <cell r="F45"/>
          <cell r="G45"/>
          <cell r="H45"/>
        </row>
        <row r="46">
          <cell r="A46"/>
          <cell r="B46"/>
          <cell r="C46"/>
          <cell r="D46"/>
          <cell r="E46"/>
          <cell r="F46"/>
          <cell r="G46"/>
          <cell r="H46"/>
        </row>
        <row r="47">
          <cell r="A47"/>
          <cell r="B47"/>
          <cell r="C47"/>
          <cell r="D47"/>
          <cell r="E47"/>
          <cell r="F47"/>
          <cell r="G47"/>
          <cell r="H47"/>
        </row>
        <row r="48">
          <cell r="A48"/>
          <cell r="B48"/>
          <cell r="C48"/>
          <cell r="D48"/>
          <cell r="E48"/>
          <cell r="F48"/>
          <cell r="G48"/>
          <cell r="H48"/>
        </row>
        <row r="49">
          <cell r="A49"/>
          <cell r="B49"/>
          <cell r="C49"/>
          <cell r="D49"/>
          <cell r="E49"/>
          <cell r="F49"/>
          <cell r="G49"/>
          <cell r="H49"/>
        </row>
        <row r="50">
          <cell r="A50"/>
          <cell r="B50"/>
          <cell r="C50"/>
          <cell r="D50"/>
          <cell r="E50"/>
          <cell r="F50"/>
          <cell r="G50"/>
          <cell r="H50"/>
        </row>
        <row r="51">
          <cell r="A51"/>
          <cell r="B51"/>
          <cell r="C51"/>
          <cell r="D51"/>
          <cell r="E51"/>
          <cell r="F51"/>
          <cell r="G51"/>
          <cell r="H51"/>
        </row>
        <row r="52">
          <cell r="A52"/>
          <cell r="B52"/>
          <cell r="C52"/>
          <cell r="D52"/>
          <cell r="E52"/>
          <cell r="F52"/>
          <cell r="G52"/>
          <cell r="H52"/>
        </row>
        <row r="53">
          <cell r="A53"/>
          <cell r="B53"/>
          <cell r="C53"/>
          <cell r="D53"/>
          <cell r="E53"/>
          <cell r="F53"/>
          <cell r="G53"/>
          <cell r="H53"/>
        </row>
        <row r="54">
          <cell r="A54"/>
          <cell r="B54"/>
          <cell r="C54"/>
          <cell r="D54"/>
          <cell r="E54"/>
          <cell r="F54"/>
          <cell r="G54"/>
          <cell r="H54"/>
        </row>
        <row r="55">
          <cell r="A55"/>
          <cell r="B55"/>
          <cell r="C55"/>
          <cell r="D55"/>
          <cell r="E55"/>
          <cell r="F55"/>
          <cell r="G55"/>
          <cell r="H55"/>
        </row>
        <row r="56">
          <cell r="A56"/>
          <cell r="B56"/>
          <cell r="C56"/>
          <cell r="D56"/>
          <cell r="E56"/>
          <cell r="F56"/>
          <cell r="G56"/>
          <cell r="H56"/>
        </row>
        <row r="57">
          <cell r="A57"/>
          <cell r="B57"/>
          <cell r="C57"/>
          <cell r="D57"/>
          <cell r="E57"/>
          <cell r="F57"/>
          <cell r="G57"/>
          <cell r="H57"/>
        </row>
        <row r="58">
          <cell r="A58"/>
          <cell r="B58"/>
          <cell r="C58"/>
          <cell r="D58"/>
          <cell r="E58"/>
          <cell r="F58"/>
          <cell r="G58"/>
          <cell r="H58"/>
        </row>
        <row r="59">
          <cell r="A59"/>
          <cell r="B59"/>
          <cell r="C59"/>
          <cell r="D59"/>
          <cell r="E59"/>
          <cell r="F59"/>
          <cell r="G59"/>
          <cell r="H59"/>
        </row>
        <row r="60">
          <cell r="A60"/>
          <cell r="B60"/>
          <cell r="C60"/>
          <cell r="D60"/>
          <cell r="E60"/>
          <cell r="F60"/>
          <cell r="G60"/>
          <cell r="H60"/>
        </row>
        <row r="61">
          <cell r="A61"/>
          <cell r="B61"/>
          <cell r="C61"/>
          <cell r="D61"/>
          <cell r="E61"/>
          <cell r="F61"/>
          <cell r="G61"/>
          <cell r="H61"/>
        </row>
        <row r="62">
          <cell r="A62"/>
          <cell r="B62"/>
          <cell r="C62"/>
          <cell r="D62"/>
          <cell r="E62"/>
          <cell r="F62"/>
          <cell r="G62"/>
          <cell r="H62"/>
        </row>
        <row r="63">
          <cell r="A63"/>
          <cell r="B63"/>
          <cell r="C63"/>
          <cell r="D63"/>
          <cell r="E63"/>
          <cell r="F63"/>
          <cell r="G63"/>
          <cell r="H63"/>
        </row>
        <row r="64">
          <cell r="A64"/>
          <cell r="B64"/>
          <cell r="C64"/>
          <cell r="D64"/>
          <cell r="E64"/>
          <cell r="F64"/>
          <cell r="G64"/>
          <cell r="H64"/>
        </row>
        <row r="65">
          <cell r="A65"/>
          <cell r="B65"/>
          <cell r="C65"/>
          <cell r="D65"/>
          <cell r="E65"/>
          <cell r="F65"/>
          <cell r="G65"/>
          <cell r="H65"/>
        </row>
        <row r="66">
          <cell r="A66"/>
          <cell r="B66"/>
          <cell r="C66"/>
          <cell r="D66"/>
          <cell r="E66"/>
          <cell r="F66"/>
          <cell r="G66"/>
          <cell r="H66"/>
        </row>
        <row r="67">
          <cell r="A67"/>
          <cell r="B67"/>
          <cell r="C67"/>
          <cell r="D67"/>
          <cell r="E67"/>
          <cell r="F67"/>
          <cell r="G67"/>
          <cell r="H67"/>
        </row>
        <row r="68">
          <cell r="A68"/>
          <cell r="B68"/>
          <cell r="C68"/>
          <cell r="D68"/>
          <cell r="E68"/>
          <cell r="F68"/>
          <cell r="G68"/>
          <cell r="H68"/>
        </row>
        <row r="69">
          <cell r="A69"/>
          <cell r="B69"/>
          <cell r="C69"/>
          <cell r="D69"/>
          <cell r="E69"/>
          <cell r="F69"/>
          <cell r="G69"/>
          <cell r="H69"/>
        </row>
        <row r="70">
          <cell r="A70"/>
          <cell r="B70"/>
          <cell r="C70"/>
          <cell r="D70"/>
          <cell r="E70"/>
          <cell r="F70"/>
          <cell r="G70"/>
          <cell r="H70"/>
        </row>
        <row r="71">
          <cell r="A71"/>
          <cell r="B71"/>
          <cell r="C71"/>
          <cell r="D71"/>
          <cell r="E71"/>
          <cell r="F71"/>
          <cell r="G71"/>
          <cell r="H71"/>
        </row>
        <row r="72">
          <cell r="A72"/>
          <cell r="B72"/>
          <cell r="C72"/>
          <cell r="D72"/>
          <cell r="E72"/>
          <cell r="F72"/>
          <cell r="G72"/>
          <cell r="H72"/>
        </row>
        <row r="73">
          <cell r="A73"/>
          <cell r="B73"/>
          <cell r="C73"/>
          <cell r="D73"/>
          <cell r="E73"/>
          <cell r="F73"/>
          <cell r="G73"/>
          <cell r="H73"/>
        </row>
        <row r="74">
          <cell r="A74"/>
          <cell r="B74"/>
          <cell r="C74"/>
          <cell r="D74"/>
          <cell r="E74"/>
          <cell r="F74"/>
          <cell r="G74"/>
          <cell r="H74"/>
        </row>
        <row r="75">
          <cell r="A75"/>
          <cell r="B75"/>
          <cell r="C75"/>
          <cell r="D75"/>
          <cell r="E75"/>
          <cell r="F75"/>
          <cell r="G75"/>
          <cell r="H75"/>
        </row>
        <row r="76">
          <cell r="A76"/>
          <cell r="B76"/>
          <cell r="C76"/>
          <cell r="D76"/>
          <cell r="E76"/>
          <cell r="F76"/>
          <cell r="G76"/>
          <cell r="H76"/>
        </row>
        <row r="77">
          <cell r="A77"/>
          <cell r="B77"/>
          <cell r="C77"/>
          <cell r="D77"/>
          <cell r="E77"/>
          <cell r="F77"/>
          <cell r="G77"/>
          <cell r="H77"/>
        </row>
        <row r="78">
          <cell r="A78"/>
          <cell r="B78"/>
          <cell r="C78"/>
          <cell r="D78"/>
          <cell r="E78"/>
          <cell r="F78"/>
          <cell r="G78"/>
          <cell r="H78"/>
        </row>
        <row r="79">
          <cell r="A79"/>
          <cell r="B79"/>
          <cell r="C79"/>
          <cell r="D79"/>
          <cell r="E79"/>
          <cell r="F79"/>
          <cell r="G79"/>
          <cell r="H79"/>
        </row>
        <row r="80">
          <cell r="A80"/>
          <cell r="B80"/>
          <cell r="C80"/>
          <cell r="D80"/>
          <cell r="E80"/>
          <cell r="F80"/>
          <cell r="G80"/>
          <cell r="H80"/>
        </row>
        <row r="81">
          <cell r="A81"/>
          <cell r="B81"/>
          <cell r="C81"/>
          <cell r="D81"/>
          <cell r="E81"/>
          <cell r="F81"/>
          <cell r="G81"/>
          <cell r="H81"/>
        </row>
        <row r="82">
          <cell r="A82"/>
          <cell r="B82"/>
          <cell r="C82"/>
          <cell r="D82"/>
          <cell r="E82"/>
          <cell r="F82"/>
          <cell r="G82"/>
          <cell r="H82"/>
        </row>
        <row r="83">
          <cell r="A83"/>
          <cell r="B83"/>
          <cell r="C83"/>
          <cell r="D83"/>
          <cell r="E83"/>
          <cell r="F83"/>
          <cell r="G83"/>
          <cell r="H83"/>
        </row>
        <row r="84">
          <cell r="A84"/>
          <cell r="B84"/>
          <cell r="C84"/>
          <cell r="D84"/>
          <cell r="E84"/>
          <cell r="F84"/>
          <cell r="G84"/>
          <cell r="H84"/>
        </row>
        <row r="85">
          <cell r="A85"/>
          <cell r="B85"/>
          <cell r="C85"/>
          <cell r="D85"/>
          <cell r="E85"/>
          <cell r="F85"/>
          <cell r="G85"/>
          <cell r="H85"/>
        </row>
        <row r="86">
          <cell r="A86"/>
          <cell r="B86"/>
          <cell r="C86"/>
          <cell r="D86"/>
          <cell r="E86"/>
          <cell r="F86"/>
          <cell r="G86"/>
          <cell r="H86"/>
        </row>
        <row r="87">
          <cell r="A87"/>
          <cell r="B87"/>
          <cell r="C87"/>
          <cell r="D87"/>
          <cell r="E87"/>
          <cell r="F87"/>
          <cell r="G87"/>
          <cell r="H87"/>
        </row>
        <row r="88">
          <cell r="A88"/>
          <cell r="B88"/>
          <cell r="C88"/>
          <cell r="D88"/>
          <cell r="E88"/>
          <cell r="F88"/>
          <cell r="G88"/>
          <cell r="H88"/>
        </row>
        <row r="89">
          <cell r="A89"/>
          <cell r="B89"/>
          <cell r="C89"/>
          <cell r="D89"/>
          <cell r="E89"/>
          <cell r="F89"/>
          <cell r="G89"/>
          <cell r="H89"/>
        </row>
        <row r="90">
          <cell r="A90"/>
          <cell r="B90"/>
          <cell r="C90"/>
          <cell r="D90"/>
          <cell r="E90"/>
          <cell r="F90"/>
          <cell r="G90"/>
          <cell r="H90"/>
        </row>
        <row r="91">
          <cell r="A91"/>
          <cell r="B91"/>
          <cell r="C91"/>
          <cell r="D91"/>
          <cell r="E91"/>
          <cell r="F91"/>
          <cell r="G91"/>
          <cell r="H91"/>
        </row>
        <row r="92">
          <cell r="A92"/>
          <cell r="B92"/>
          <cell r="C92"/>
          <cell r="D92"/>
          <cell r="E92"/>
          <cell r="F92"/>
          <cell r="G92"/>
          <cell r="H92"/>
        </row>
        <row r="93">
          <cell r="A93"/>
          <cell r="B93"/>
          <cell r="C93"/>
          <cell r="D93"/>
          <cell r="E93"/>
          <cell r="F93"/>
          <cell r="G93"/>
          <cell r="H93"/>
        </row>
        <row r="94">
          <cell r="A94"/>
          <cell r="B94"/>
          <cell r="C94"/>
          <cell r="D94"/>
          <cell r="E94"/>
          <cell r="F94"/>
          <cell r="G94"/>
          <cell r="H94"/>
        </row>
        <row r="95">
          <cell r="A95"/>
          <cell r="B95"/>
          <cell r="C95"/>
          <cell r="D95"/>
          <cell r="E95"/>
          <cell r="F95"/>
          <cell r="G95"/>
          <cell r="H95"/>
        </row>
        <row r="96">
          <cell r="A96"/>
          <cell r="B96"/>
          <cell r="C96"/>
          <cell r="D96"/>
          <cell r="E96"/>
          <cell r="F96"/>
          <cell r="G96"/>
          <cell r="H96"/>
        </row>
        <row r="97">
          <cell r="A97"/>
          <cell r="B97"/>
          <cell r="C97"/>
          <cell r="D97"/>
          <cell r="E97"/>
          <cell r="F97"/>
          <cell r="G97"/>
          <cell r="H97"/>
        </row>
        <row r="98">
          <cell r="A98"/>
          <cell r="B98"/>
          <cell r="C98"/>
          <cell r="D98"/>
          <cell r="E98"/>
          <cell r="F98"/>
          <cell r="G98"/>
          <cell r="H98"/>
        </row>
        <row r="99">
          <cell r="A99"/>
          <cell r="B99"/>
          <cell r="C99"/>
          <cell r="D99"/>
          <cell r="E99"/>
          <cell r="F99"/>
          <cell r="G99"/>
          <cell r="H99"/>
        </row>
        <row r="100">
          <cell r="A100"/>
          <cell r="B100"/>
          <cell r="C100"/>
          <cell r="D100"/>
          <cell r="E100"/>
          <cell r="F100"/>
          <cell r="G100"/>
          <cell r="H100"/>
        </row>
        <row r="101">
          <cell r="A101"/>
          <cell r="B101"/>
          <cell r="C101"/>
          <cell r="D101"/>
          <cell r="E101"/>
          <cell r="F101"/>
          <cell r="G101"/>
          <cell r="H101"/>
        </row>
        <row r="102">
          <cell r="A102"/>
          <cell r="B102"/>
          <cell r="C102"/>
          <cell r="D102"/>
          <cell r="E102"/>
          <cell r="F102"/>
          <cell r="G102"/>
          <cell r="H102"/>
        </row>
        <row r="103">
          <cell r="A103"/>
          <cell r="B103"/>
          <cell r="C103"/>
          <cell r="D103"/>
          <cell r="E103"/>
          <cell r="F103"/>
          <cell r="G103"/>
          <cell r="H103"/>
        </row>
        <row r="104">
          <cell r="A104"/>
          <cell r="B104"/>
          <cell r="C104"/>
          <cell r="D104"/>
          <cell r="E104"/>
          <cell r="F104"/>
          <cell r="G104"/>
          <cell r="H104"/>
        </row>
        <row r="105">
          <cell r="A105"/>
          <cell r="B105"/>
          <cell r="C105"/>
          <cell r="D105"/>
          <cell r="E105"/>
          <cell r="F105"/>
          <cell r="G105"/>
          <cell r="H105"/>
        </row>
        <row r="106">
          <cell r="A106"/>
          <cell r="B106"/>
          <cell r="C106"/>
          <cell r="D106"/>
          <cell r="E106"/>
          <cell r="F106"/>
          <cell r="G106"/>
          <cell r="H106"/>
        </row>
        <row r="107">
          <cell r="A107"/>
          <cell r="B107"/>
          <cell r="C107"/>
          <cell r="D107"/>
          <cell r="E107"/>
          <cell r="F107"/>
          <cell r="G107"/>
          <cell r="H107"/>
        </row>
        <row r="108">
          <cell r="A108"/>
          <cell r="B108"/>
          <cell r="C108"/>
          <cell r="D108"/>
          <cell r="E108"/>
          <cell r="F108"/>
          <cell r="G108"/>
          <cell r="H108"/>
        </row>
        <row r="109">
          <cell r="A109"/>
          <cell r="B109"/>
          <cell r="C109"/>
          <cell r="D109"/>
          <cell r="E109"/>
          <cell r="F109"/>
          <cell r="G109"/>
          <cell r="H109"/>
        </row>
        <row r="110">
          <cell r="A110"/>
          <cell r="B110"/>
          <cell r="C110"/>
          <cell r="D110"/>
          <cell r="E110"/>
          <cell r="F110"/>
          <cell r="G110"/>
          <cell r="H110"/>
        </row>
        <row r="111">
          <cell r="A111"/>
          <cell r="B111"/>
          <cell r="C111"/>
          <cell r="D111"/>
          <cell r="E111"/>
          <cell r="F111"/>
          <cell r="G111"/>
          <cell r="H111"/>
        </row>
        <row r="112">
          <cell r="A112"/>
          <cell r="B112"/>
          <cell r="C112"/>
          <cell r="D112"/>
          <cell r="E112"/>
          <cell r="F112"/>
          <cell r="G112"/>
          <cell r="H112"/>
        </row>
        <row r="113">
          <cell r="A113"/>
          <cell r="B113"/>
          <cell r="C113"/>
          <cell r="D113"/>
          <cell r="E113"/>
          <cell r="F113"/>
          <cell r="G113"/>
          <cell r="H113"/>
        </row>
        <row r="114">
          <cell r="A114"/>
          <cell r="B114"/>
          <cell r="C114"/>
          <cell r="D114"/>
          <cell r="E114"/>
          <cell r="F114"/>
          <cell r="G114"/>
          <cell r="H114"/>
        </row>
        <row r="115">
          <cell r="A115"/>
          <cell r="B115"/>
          <cell r="C115"/>
          <cell r="D115"/>
          <cell r="E115"/>
          <cell r="F115"/>
          <cell r="G115"/>
          <cell r="H115"/>
        </row>
        <row r="116">
          <cell r="A116"/>
          <cell r="B116"/>
          <cell r="C116"/>
          <cell r="D116"/>
          <cell r="E116"/>
          <cell r="F116"/>
          <cell r="G116"/>
          <cell r="H116"/>
        </row>
        <row r="117">
          <cell r="A117"/>
          <cell r="B117"/>
          <cell r="C117"/>
          <cell r="D117"/>
          <cell r="E117"/>
          <cell r="F117"/>
          <cell r="G117"/>
          <cell r="H117"/>
        </row>
        <row r="118">
          <cell r="A118"/>
          <cell r="B118"/>
          <cell r="C118"/>
          <cell r="D118"/>
          <cell r="E118"/>
          <cell r="F118"/>
          <cell r="G118"/>
          <cell r="H118"/>
        </row>
        <row r="119">
          <cell r="A119"/>
          <cell r="B119"/>
          <cell r="C119"/>
          <cell r="D119"/>
          <cell r="E119"/>
          <cell r="F119"/>
          <cell r="G119"/>
          <cell r="H119"/>
        </row>
        <row r="120">
          <cell r="A120"/>
          <cell r="B120"/>
          <cell r="C120"/>
          <cell r="D120"/>
          <cell r="E120"/>
          <cell r="F120"/>
          <cell r="G120"/>
          <cell r="H120"/>
        </row>
        <row r="121">
          <cell r="A121"/>
          <cell r="B121"/>
          <cell r="C121"/>
          <cell r="D121"/>
          <cell r="E121"/>
          <cell r="F121"/>
          <cell r="G121"/>
          <cell r="H121"/>
        </row>
        <row r="122">
          <cell r="A122"/>
          <cell r="B122"/>
          <cell r="C122"/>
          <cell r="D122"/>
          <cell r="E122"/>
          <cell r="F122"/>
          <cell r="G122"/>
          <cell r="H122"/>
        </row>
        <row r="123">
          <cell r="A123"/>
          <cell r="B123"/>
          <cell r="C123"/>
          <cell r="D123"/>
          <cell r="E123"/>
          <cell r="F123"/>
          <cell r="G123"/>
          <cell r="H123"/>
        </row>
        <row r="124">
          <cell r="A124"/>
          <cell r="B124"/>
          <cell r="C124"/>
          <cell r="D124"/>
          <cell r="E124"/>
          <cell r="F124"/>
          <cell r="G124"/>
          <cell r="H124"/>
        </row>
        <row r="125">
          <cell r="A125"/>
          <cell r="B125"/>
          <cell r="C125"/>
          <cell r="D125"/>
          <cell r="E125"/>
          <cell r="F125"/>
          <cell r="G125"/>
          <cell r="H125"/>
        </row>
        <row r="126">
          <cell r="A126"/>
          <cell r="B126"/>
          <cell r="C126"/>
          <cell r="D126"/>
          <cell r="E126"/>
          <cell r="F126"/>
          <cell r="G126"/>
          <cell r="H126"/>
        </row>
        <row r="127">
          <cell r="A127"/>
          <cell r="B127"/>
          <cell r="C127"/>
          <cell r="D127"/>
          <cell r="E127"/>
          <cell r="F127"/>
          <cell r="G127"/>
          <cell r="H127"/>
        </row>
        <row r="128">
          <cell r="A128"/>
          <cell r="B128"/>
          <cell r="C128"/>
          <cell r="D128"/>
          <cell r="E128"/>
          <cell r="F128"/>
          <cell r="G128"/>
          <cell r="H128"/>
        </row>
        <row r="129">
          <cell r="A129"/>
          <cell r="B129"/>
          <cell r="C129"/>
          <cell r="D129"/>
          <cell r="E129"/>
          <cell r="F129"/>
          <cell r="G129"/>
          <cell r="H129"/>
        </row>
        <row r="130">
          <cell r="A130"/>
          <cell r="B130"/>
          <cell r="C130"/>
          <cell r="D130"/>
          <cell r="E130"/>
          <cell r="F130"/>
          <cell r="G130"/>
          <cell r="H130"/>
        </row>
        <row r="131">
          <cell r="A131"/>
          <cell r="B131"/>
          <cell r="C131"/>
          <cell r="D131"/>
          <cell r="E131"/>
          <cell r="F131"/>
          <cell r="G131"/>
          <cell r="H131"/>
        </row>
        <row r="132">
          <cell r="A132"/>
          <cell r="B132"/>
          <cell r="C132"/>
          <cell r="D132"/>
          <cell r="E132"/>
          <cell r="F132"/>
          <cell r="G132"/>
          <cell r="H132"/>
        </row>
        <row r="133">
          <cell r="A133"/>
          <cell r="B133"/>
          <cell r="C133"/>
          <cell r="D133"/>
          <cell r="E133"/>
          <cell r="F133"/>
          <cell r="G133"/>
          <cell r="H133"/>
        </row>
        <row r="134">
          <cell r="A134"/>
          <cell r="B134"/>
          <cell r="C134"/>
          <cell r="D134"/>
          <cell r="E134"/>
          <cell r="F134"/>
          <cell r="G134"/>
          <cell r="H134"/>
        </row>
        <row r="135">
          <cell r="A135"/>
          <cell r="B135"/>
          <cell r="C135"/>
          <cell r="D135"/>
          <cell r="E135"/>
          <cell r="F135"/>
          <cell r="G135"/>
          <cell r="H135"/>
        </row>
        <row r="136">
          <cell r="A136"/>
          <cell r="B136"/>
          <cell r="C136"/>
          <cell r="D136"/>
          <cell r="E136"/>
          <cell r="F136"/>
          <cell r="G136"/>
          <cell r="H136"/>
        </row>
        <row r="137">
          <cell r="A137"/>
          <cell r="B137"/>
          <cell r="C137"/>
          <cell r="D137"/>
          <cell r="E137"/>
          <cell r="F137"/>
          <cell r="G137"/>
          <cell r="H137"/>
        </row>
        <row r="138">
          <cell r="A138"/>
          <cell r="B138"/>
          <cell r="C138"/>
          <cell r="D138"/>
          <cell r="E138"/>
          <cell r="F138"/>
          <cell r="G138"/>
          <cell r="H138"/>
        </row>
        <row r="139">
          <cell r="A139"/>
          <cell r="B139"/>
          <cell r="C139"/>
          <cell r="D139"/>
          <cell r="E139"/>
          <cell r="F139"/>
          <cell r="G139"/>
          <cell r="H139"/>
        </row>
        <row r="140">
          <cell r="A140"/>
          <cell r="B140"/>
          <cell r="C140"/>
          <cell r="D140"/>
          <cell r="E140"/>
          <cell r="F140"/>
          <cell r="G140"/>
          <cell r="H140"/>
        </row>
        <row r="141">
          <cell r="A141"/>
          <cell r="B141"/>
          <cell r="C141"/>
          <cell r="D141"/>
          <cell r="E141"/>
          <cell r="F141"/>
          <cell r="G141"/>
          <cell r="H141"/>
        </row>
        <row r="142">
          <cell r="A142"/>
          <cell r="B142"/>
          <cell r="C142"/>
          <cell r="D142"/>
          <cell r="E142"/>
          <cell r="F142"/>
          <cell r="G142"/>
          <cell r="H142"/>
        </row>
        <row r="143">
          <cell r="A143"/>
          <cell r="B143"/>
          <cell r="C143"/>
          <cell r="D143"/>
          <cell r="E143"/>
          <cell r="F143"/>
          <cell r="G143"/>
          <cell r="H143"/>
        </row>
        <row r="144">
          <cell r="A144"/>
          <cell r="B144"/>
          <cell r="C144"/>
          <cell r="D144"/>
          <cell r="E144"/>
          <cell r="F144"/>
          <cell r="G144"/>
          <cell r="H144"/>
        </row>
        <row r="145">
          <cell r="A145"/>
          <cell r="B145"/>
          <cell r="C145"/>
          <cell r="D145"/>
          <cell r="E145"/>
          <cell r="F145"/>
          <cell r="G145"/>
          <cell r="H145"/>
        </row>
        <row r="146">
          <cell r="A146"/>
          <cell r="B146"/>
          <cell r="C146"/>
          <cell r="D146"/>
          <cell r="E146"/>
          <cell r="F146"/>
          <cell r="G146"/>
          <cell r="H146"/>
        </row>
        <row r="147">
          <cell r="A147"/>
          <cell r="B147"/>
          <cell r="C147"/>
          <cell r="D147"/>
          <cell r="E147"/>
          <cell r="F147"/>
          <cell r="G147"/>
          <cell r="H147"/>
        </row>
        <row r="148">
          <cell r="A148"/>
          <cell r="B148"/>
          <cell r="C148"/>
          <cell r="D148"/>
          <cell r="E148"/>
          <cell r="F148"/>
          <cell r="G148"/>
          <cell r="H148"/>
        </row>
        <row r="149">
          <cell r="A149"/>
          <cell r="B149"/>
          <cell r="C149"/>
          <cell r="D149"/>
          <cell r="E149"/>
          <cell r="F149"/>
          <cell r="G149"/>
          <cell r="H149"/>
        </row>
        <row r="150">
          <cell r="A150"/>
          <cell r="B150"/>
          <cell r="C150"/>
          <cell r="D150"/>
          <cell r="E150"/>
          <cell r="F150"/>
          <cell r="G150"/>
          <cell r="H150"/>
        </row>
        <row r="151">
          <cell r="A151"/>
          <cell r="B151"/>
          <cell r="C151"/>
          <cell r="D151"/>
          <cell r="E151"/>
          <cell r="F151"/>
          <cell r="G151"/>
          <cell r="H151"/>
        </row>
        <row r="152">
          <cell r="A152"/>
          <cell r="B152"/>
          <cell r="C152"/>
          <cell r="D152"/>
          <cell r="E152"/>
          <cell r="F152"/>
          <cell r="G152"/>
          <cell r="H152"/>
        </row>
        <row r="153">
          <cell r="A153"/>
          <cell r="B153"/>
          <cell r="C153"/>
          <cell r="D153"/>
          <cell r="E153"/>
          <cell r="F153"/>
          <cell r="G153"/>
          <cell r="H153"/>
        </row>
        <row r="154">
          <cell r="A154"/>
          <cell r="B154"/>
          <cell r="C154"/>
          <cell r="D154"/>
          <cell r="E154"/>
          <cell r="F154"/>
          <cell r="G154"/>
          <cell r="H154"/>
        </row>
        <row r="155">
          <cell r="A155"/>
          <cell r="B155"/>
          <cell r="C155"/>
          <cell r="D155"/>
          <cell r="E155"/>
          <cell r="F155"/>
          <cell r="G155"/>
          <cell r="H155"/>
        </row>
        <row r="156">
          <cell r="A156"/>
          <cell r="B156"/>
          <cell r="C156"/>
          <cell r="D156"/>
          <cell r="E156"/>
          <cell r="F156"/>
          <cell r="G156"/>
          <cell r="H156"/>
        </row>
        <row r="157">
          <cell r="A157"/>
          <cell r="B157"/>
          <cell r="C157"/>
          <cell r="D157"/>
          <cell r="E157"/>
          <cell r="F157"/>
          <cell r="G157"/>
          <cell r="H157"/>
        </row>
        <row r="158">
          <cell r="A158"/>
          <cell r="B158"/>
          <cell r="C158"/>
          <cell r="D158"/>
          <cell r="E158"/>
          <cell r="F158"/>
          <cell r="G158"/>
          <cell r="H158"/>
        </row>
        <row r="159">
          <cell r="A159"/>
          <cell r="B159"/>
          <cell r="C159"/>
          <cell r="D159"/>
          <cell r="E159"/>
          <cell r="F159"/>
          <cell r="G159"/>
          <cell r="H159"/>
        </row>
        <row r="160">
          <cell r="A160"/>
          <cell r="B160"/>
          <cell r="C160"/>
          <cell r="D160"/>
          <cell r="E160"/>
          <cell r="F160"/>
          <cell r="G160"/>
          <cell r="H160"/>
        </row>
        <row r="161">
          <cell r="A161"/>
          <cell r="B161"/>
          <cell r="C161"/>
          <cell r="D161"/>
          <cell r="E161"/>
          <cell r="F161"/>
          <cell r="G161"/>
          <cell r="H161"/>
        </row>
        <row r="162">
          <cell r="A162"/>
          <cell r="B162"/>
          <cell r="C162"/>
          <cell r="D162"/>
          <cell r="E162"/>
          <cell r="F162"/>
          <cell r="G162"/>
          <cell r="H162"/>
        </row>
        <row r="163">
          <cell r="A163"/>
          <cell r="B163"/>
          <cell r="C163"/>
          <cell r="D163"/>
          <cell r="E163"/>
          <cell r="F163"/>
          <cell r="G163"/>
          <cell r="H163"/>
        </row>
        <row r="164">
          <cell r="A164"/>
          <cell r="B164"/>
          <cell r="C164"/>
          <cell r="D164"/>
          <cell r="E164"/>
          <cell r="F164"/>
          <cell r="G164"/>
          <cell r="H164"/>
        </row>
        <row r="165">
          <cell r="A165"/>
          <cell r="B165"/>
          <cell r="C165"/>
          <cell r="D165"/>
          <cell r="E165"/>
          <cell r="F165"/>
          <cell r="G165"/>
          <cell r="H165"/>
        </row>
        <row r="166">
          <cell r="A166"/>
          <cell r="B166"/>
          <cell r="C166"/>
          <cell r="D166"/>
          <cell r="E166"/>
          <cell r="F166"/>
          <cell r="G166"/>
          <cell r="H166"/>
        </row>
        <row r="167">
          <cell r="A167"/>
          <cell r="B167"/>
          <cell r="C167"/>
          <cell r="D167"/>
          <cell r="E167"/>
          <cell r="F167"/>
          <cell r="G167"/>
          <cell r="H167"/>
        </row>
        <row r="168">
          <cell r="A168"/>
          <cell r="B168"/>
          <cell r="C168"/>
          <cell r="D168"/>
          <cell r="E168"/>
          <cell r="F168"/>
          <cell r="G168"/>
          <cell r="H168"/>
        </row>
        <row r="169">
          <cell r="A169"/>
          <cell r="B169"/>
          <cell r="C169"/>
          <cell r="D169"/>
          <cell r="E169"/>
          <cell r="F169"/>
          <cell r="G169"/>
          <cell r="H169"/>
        </row>
        <row r="170">
          <cell r="A170"/>
          <cell r="B170"/>
          <cell r="C170"/>
          <cell r="D170"/>
          <cell r="E170"/>
          <cell r="F170"/>
          <cell r="G170"/>
          <cell r="H170"/>
        </row>
        <row r="171">
          <cell r="A171"/>
          <cell r="B171"/>
          <cell r="C171"/>
          <cell r="D171"/>
          <cell r="E171"/>
          <cell r="F171"/>
          <cell r="G171"/>
          <cell r="H171"/>
        </row>
        <row r="172">
          <cell r="A172"/>
          <cell r="B172"/>
          <cell r="C172"/>
          <cell r="D172"/>
          <cell r="E172"/>
          <cell r="F172"/>
          <cell r="G172"/>
          <cell r="H172"/>
        </row>
        <row r="173">
          <cell r="A173"/>
          <cell r="B173"/>
          <cell r="C173"/>
          <cell r="D173"/>
          <cell r="E173"/>
          <cell r="F173"/>
          <cell r="G173"/>
          <cell r="H173"/>
        </row>
        <row r="174">
          <cell r="A174"/>
          <cell r="B174"/>
          <cell r="C174"/>
          <cell r="D174"/>
          <cell r="E174"/>
          <cell r="F174"/>
          <cell r="G174"/>
          <cell r="H174"/>
        </row>
        <row r="175">
          <cell r="A175"/>
          <cell r="B175"/>
          <cell r="C175"/>
          <cell r="D175"/>
          <cell r="E175"/>
          <cell r="F175"/>
          <cell r="G175"/>
          <cell r="H175"/>
        </row>
        <row r="176">
          <cell r="A176"/>
          <cell r="B176"/>
          <cell r="C176"/>
          <cell r="D176"/>
          <cell r="E176"/>
          <cell r="F176"/>
          <cell r="G176"/>
          <cell r="H176"/>
        </row>
        <row r="177">
          <cell r="A177"/>
          <cell r="B177"/>
          <cell r="C177"/>
          <cell r="D177"/>
          <cell r="E177"/>
          <cell r="F177"/>
          <cell r="G177"/>
          <cell r="H177"/>
        </row>
        <row r="178">
          <cell r="A178"/>
          <cell r="B178"/>
          <cell r="C178"/>
          <cell r="D178"/>
          <cell r="E178"/>
          <cell r="F178"/>
          <cell r="G178"/>
          <cell r="H178"/>
        </row>
        <row r="179">
          <cell r="A179"/>
          <cell r="B179"/>
          <cell r="C179"/>
          <cell r="D179"/>
          <cell r="E179"/>
          <cell r="F179"/>
          <cell r="G179"/>
          <cell r="H179"/>
        </row>
        <row r="180">
          <cell r="A180"/>
          <cell r="B180"/>
          <cell r="C180"/>
          <cell r="D180"/>
          <cell r="E180"/>
          <cell r="F180"/>
          <cell r="G180"/>
          <cell r="H180"/>
        </row>
        <row r="181">
          <cell r="A181"/>
          <cell r="B181"/>
          <cell r="C181"/>
          <cell r="D181"/>
          <cell r="E181"/>
          <cell r="F181"/>
          <cell r="G181"/>
          <cell r="H181"/>
        </row>
        <row r="182">
          <cell r="A182"/>
          <cell r="B182"/>
          <cell r="C182"/>
          <cell r="D182"/>
          <cell r="E182"/>
          <cell r="F182"/>
          <cell r="G182"/>
          <cell r="H182"/>
        </row>
        <row r="183">
          <cell r="A183"/>
          <cell r="B183"/>
          <cell r="C183"/>
          <cell r="D183"/>
          <cell r="E183"/>
          <cell r="F183"/>
          <cell r="G183"/>
          <cell r="H183"/>
        </row>
        <row r="184">
          <cell r="A184"/>
          <cell r="B184"/>
          <cell r="C184"/>
          <cell r="D184"/>
          <cell r="E184"/>
          <cell r="F184"/>
          <cell r="G184"/>
          <cell r="H184"/>
        </row>
        <row r="185">
          <cell r="A185"/>
          <cell r="B185"/>
          <cell r="C185"/>
          <cell r="D185"/>
          <cell r="E185"/>
          <cell r="F185"/>
          <cell r="G185"/>
          <cell r="H185"/>
        </row>
        <row r="186">
          <cell r="A186"/>
          <cell r="B186"/>
          <cell r="C186"/>
          <cell r="D186"/>
          <cell r="E186"/>
          <cell r="F186"/>
          <cell r="G186"/>
          <cell r="H186"/>
        </row>
        <row r="187">
          <cell r="A187"/>
          <cell r="B187"/>
          <cell r="C187"/>
          <cell r="D187"/>
          <cell r="E187"/>
          <cell r="F187"/>
          <cell r="G187"/>
          <cell r="H187"/>
        </row>
        <row r="188">
          <cell r="A188"/>
          <cell r="B188"/>
          <cell r="C188"/>
          <cell r="D188"/>
          <cell r="E188"/>
          <cell r="F188"/>
          <cell r="G188"/>
          <cell r="H188"/>
        </row>
        <row r="189">
          <cell r="A189"/>
          <cell r="B189"/>
          <cell r="C189"/>
          <cell r="D189"/>
          <cell r="E189"/>
          <cell r="F189"/>
          <cell r="G189"/>
          <cell r="H189"/>
        </row>
        <row r="190">
          <cell r="A190"/>
          <cell r="B190"/>
          <cell r="C190"/>
          <cell r="D190"/>
          <cell r="E190"/>
          <cell r="F190"/>
          <cell r="G190"/>
          <cell r="H190"/>
        </row>
        <row r="191">
          <cell r="A191"/>
          <cell r="B191"/>
          <cell r="C191"/>
          <cell r="D191"/>
          <cell r="E191"/>
          <cell r="F191"/>
          <cell r="G191"/>
          <cell r="H191"/>
        </row>
        <row r="192">
          <cell r="A192"/>
          <cell r="B192"/>
          <cell r="C192"/>
          <cell r="D192"/>
          <cell r="E192"/>
          <cell r="F192"/>
          <cell r="G192"/>
          <cell r="H192"/>
        </row>
        <row r="193">
          <cell r="A193"/>
          <cell r="B193"/>
          <cell r="C193"/>
          <cell r="D193"/>
          <cell r="E193"/>
          <cell r="F193"/>
          <cell r="G193"/>
          <cell r="H193"/>
        </row>
        <row r="194">
          <cell r="A194"/>
          <cell r="B194"/>
          <cell r="C194"/>
          <cell r="D194"/>
          <cell r="E194"/>
          <cell r="F194"/>
          <cell r="G194"/>
          <cell r="H194"/>
        </row>
        <row r="195">
          <cell r="A195"/>
          <cell r="B195"/>
          <cell r="C195"/>
          <cell r="D195"/>
          <cell r="E195"/>
          <cell r="F195"/>
          <cell r="G195"/>
          <cell r="H195"/>
        </row>
        <row r="196">
          <cell r="A196"/>
          <cell r="B196"/>
          <cell r="C196"/>
          <cell r="D196"/>
          <cell r="E196"/>
          <cell r="F196"/>
          <cell r="G196"/>
          <cell r="H196"/>
        </row>
        <row r="197">
          <cell r="A197"/>
          <cell r="B197"/>
          <cell r="C197"/>
          <cell r="D197"/>
          <cell r="E197"/>
          <cell r="F197"/>
          <cell r="G197"/>
          <cell r="H197"/>
        </row>
        <row r="198">
          <cell r="A198"/>
          <cell r="B198"/>
          <cell r="C198"/>
          <cell r="D198"/>
          <cell r="E198"/>
          <cell r="F198"/>
          <cell r="G198"/>
          <cell r="H198"/>
        </row>
        <row r="199">
          <cell r="A199"/>
          <cell r="B199"/>
          <cell r="C199"/>
          <cell r="D199"/>
          <cell r="E199"/>
          <cell r="F199"/>
          <cell r="G199"/>
          <cell r="H199"/>
        </row>
        <row r="200">
          <cell r="A200"/>
          <cell r="B200"/>
          <cell r="C200"/>
          <cell r="D200"/>
          <cell r="E200"/>
          <cell r="F200"/>
          <cell r="G200"/>
          <cell r="H200"/>
        </row>
        <row r="201">
          <cell r="A201"/>
          <cell r="B201"/>
          <cell r="C201"/>
          <cell r="D201"/>
          <cell r="E201"/>
          <cell r="F201"/>
          <cell r="G201"/>
          <cell r="H201"/>
        </row>
        <row r="202">
          <cell r="A202"/>
          <cell r="B202"/>
          <cell r="C202"/>
          <cell r="D202"/>
          <cell r="E202"/>
          <cell r="F202"/>
          <cell r="G202"/>
          <cell r="H202"/>
        </row>
        <row r="203">
          <cell r="A203"/>
          <cell r="B203"/>
          <cell r="C203"/>
          <cell r="D203"/>
          <cell r="E203"/>
          <cell r="F203"/>
          <cell r="G203"/>
          <cell r="H203"/>
        </row>
        <row r="204">
          <cell r="A204"/>
          <cell r="B204"/>
          <cell r="C204"/>
          <cell r="D204"/>
          <cell r="E204"/>
          <cell r="F204"/>
          <cell r="G204"/>
          <cell r="H204"/>
        </row>
        <row r="205">
          <cell r="A205"/>
          <cell r="B205"/>
          <cell r="C205"/>
          <cell r="D205"/>
          <cell r="E205"/>
          <cell r="F205"/>
          <cell r="G205"/>
          <cell r="H205"/>
        </row>
        <row r="206">
          <cell r="A206"/>
          <cell r="B206"/>
          <cell r="C206"/>
          <cell r="D206"/>
          <cell r="E206"/>
          <cell r="F206"/>
          <cell r="G206"/>
          <cell r="H206"/>
        </row>
        <row r="207">
          <cell r="A207"/>
          <cell r="B207"/>
          <cell r="C207"/>
          <cell r="D207"/>
          <cell r="E207"/>
          <cell r="F207"/>
          <cell r="G207"/>
          <cell r="H207"/>
        </row>
        <row r="208">
          <cell r="A208"/>
          <cell r="B208"/>
          <cell r="C208"/>
          <cell r="D208"/>
          <cell r="E208"/>
          <cell r="F208"/>
          <cell r="G208"/>
          <cell r="H208"/>
        </row>
        <row r="209">
          <cell r="A209"/>
          <cell r="B209"/>
          <cell r="C209"/>
          <cell r="D209"/>
          <cell r="E209"/>
          <cell r="F209"/>
          <cell r="G209"/>
          <cell r="H209"/>
        </row>
        <row r="210">
          <cell r="A210"/>
          <cell r="B210"/>
          <cell r="C210"/>
          <cell r="D210"/>
          <cell r="E210"/>
          <cell r="F210"/>
          <cell r="G210"/>
          <cell r="H210"/>
        </row>
        <row r="211">
          <cell r="A211"/>
          <cell r="B211"/>
          <cell r="C211"/>
          <cell r="D211"/>
          <cell r="E211"/>
          <cell r="F211"/>
          <cell r="G211"/>
          <cell r="H211"/>
        </row>
        <row r="212">
          <cell r="A212"/>
          <cell r="B212"/>
          <cell r="C212"/>
          <cell r="D212"/>
          <cell r="E212"/>
          <cell r="F212"/>
          <cell r="G212"/>
          <cell r="H212"/>
        </row>
        <row r="213">
          <cell r="A213"/>
          <cell r="B213"/>
          <cell r="C213"/>
          <cell r="D213"/>
          <cell r="E213"/>
          <cell r="F213"/>
          <cell r="G213"/>
          <cell r="H213"/>
        </row>
        <row r="214">
          <cell r="A214"/>
          <cell r="B214"/>
          <cell r="C214"/>
          <cell r="D214"/>
          <cell r="E214"/>
          <cell r="F214"/>
          <cell r="G214"/>
          <cell r="H214"/>
        </row>
        <row r="215">
          <cell r="A215"/>
          <cell r="B215"/>
          <cell r="C215"/>
          <cell r="D215"/>
          <cell r="E215"/>
          <cell r="F215"/>
          <cell r="G215"/>
          <cell r="H215"/>
        </row>
        <row r="216">
          <cell r="A216"/>
          <cell r="B216"/>
          <cell r="C216"/>
          <cell r="D216"/>
          <cell r="E216"/>
          <cell r="F216"/>
          <cell r="G216"/>
          <cell r="H216"/>
        </row>
        <row r="217">
          <cell r="A217"/>
          <cell r="B217"/>
          <cell r="C217"/>
          <cell r="D217"/>
          <cell r="E217"/>
          <cell r="F217"/>
          <cell r="G217"/>
          <cell r="H217"/>
        </row>
        <row r="218">
          <cell r="A218"/>
          <cell r="B218"/>
          <cell r="C218"/>
          <cell r="D218"/>
          <cell r="E218"/>
          <cell r="F218"/>
          <cell r="G218"/>
          <cell r="H218"/>
        </row>
        <row r="219">
          <cell r="A219"/>
          <cell r="B219"/>
          <cell r="C219"/>
          <cell r="D219"/>
          <cell r="E219"/>
          <cell r="F219"/>
          <cell r="G219"/>
          <cell r="H219"/>
        </row>
        <row r="220">
          <cell r="A220"/>
          <cell r="B220"/>
          <cell r="C220"/>
          <cell r="D220"/>
          <cell r="E220"/>
          <cell r="F220"/>
          <cell r="G220"/>
          <cell r="H220"/>
        </row>
        <row r="221">
          <cell r="A221"/>
          <cell r="B221"/>
          <cell r="C221"/>
          <cell r="D221"/>
          <cell r="E221"/>
          <cell r="F221"/>
          <cell r="G221"/>
          <cell r="H221"/>
        </row>
        <row r="222">
          <cell r="A222"/>
          <cell r="B222"/>
          <cell r="C222"/>
          <cell r="D222"/>
          <cell r="E222"/>
          <cell r="F222"/>
          <cell r="G222"/>
          <cell r="H222"/>
        </row>
        <row r="223">
          <cell r="A223"/>
          <cell r="B223"/>
          <cell r="C223"/>
          <cell r="D223"/>
          <cell r="E223"/>
          <cell r="F223"/>
          <cell r="G223"/>
          <cell r="H223"/>
        </row>
        <row r="224">
          <cell r="A224"/>
          <cell r="B224"/>
          <cell r="C224"/>
          <cell r="D224"/>
          <cell r="E224"/>
          <cell r="F224"/>
          <cell r="G224"/>
          <cell r="H224"/>
        </row>
        <row r="225">
          <cell r="A225"/>
          <cell r="B225"/>
          <cell r="C225"/>
          <cell r="D225"/>
          <cell r="E225"/>
          <cell r="F225"/>
          <cell r="G225"/>
          <cell r="H225"/>
        </row>
        <row r="226">
          <cell r="A226"/>
          <cell r="B226"/>
          <cell r="C226"/>
          <cell r="D226"/>
          <cell r="E226"/>
          <cell r="F226"/>
          <cell r="G226"/>
          <cell r="H226"/>
        </row>
        <row r="227">
          <cell r="A227"/>
          <cell r="B227"/>
          <cell r="C227"/>
          <cell r="D227"/>
          <cell r="E227"/>
          <cell r="F227"/>
          <cell r="G227"/>
          <cell r="H227"/>
        </row>
        <row r="228">
          <cell r="A228"/>
          <cell r="B228"/>
          <cell r="C228"/>
          <cell r="D228"/>
          <cell r="E228"/>
          <cell r="F228"/>
          <cell r="G228"/>
          <cell r="H228"/>
        </row>
        <row r="229">
          <cell r="A229"/>
          <cell r="B229"/>
          <cell r="C229"/>
          <cell r="D229"/>
          <cell r="E229"/>
          <cell r="F229"/>
          <cell r="G229"/>
          <cell r="H229"/>
        </row>
        <row r="230">
          <cell r="A230"/>
          <cell r="B230"/>
          <cell r="C230"/>
          <cell r="D230"/>
          <cell r="E230"/>
          <cell r="F230"/>
          <cell r="G230"/>
          <cell r="H230"/>
        </row>
        <row r="231">
          <cell r="A231"/>
          <cell r="B231"/>
          <cell r="C231"/>
          <cell r="D231"/>
          <cell r="E231"/>
          <cell r="F231"/>
          <cell r="G231"/>
          <cell r="H231"/>
        </row>
        <row r="232">
          <cell r="A232"/>
          <cell r="B232"/>
          <cell r="C232"/>
          <cell r="D232"/>
          <cell r="E232"/>
          <cell r="F232"/>
          <cell r="G232"/>
          <cell r="H232"/>
        </row>
        <row r="233">
          <cell r="A233"/>
          <cell r="B233"/>
          <cell r="C233"/>
          <cell r="D233"/>
          <cell r="E233"/>
          <cell r="F233"/>
          <cell r="G233"/>
          <cell r="H233"/>
        </row>
        <row r="234">
          <cell r="A234"/>
          <cell r="B234"/>
          <cell r="C234"/>
          <cell r="D234"/>
          <cell r="E234"/>
          <cell r="F234"/>
          <cell r="G234"/>
          <cell r="H234"/>
        </row>
        <row r="235">
          <cell r="A235"/>
          <cell r="B235"/>
          <cell r="C235"/>
          <cell r="D235"/>
          <cell r="E235"/>
          <cell r="F235"/>
          <cell r="G235"/>
          <cell r="H235"/>
        </row>
        <row r="236">
          <cell r="A236"/>
          <cell r="B236"/>
          <cell r="C236"/>
          <cell r="D236"/>
          <cell r="E236"/>
          <cell r="F236"/>
          <cell r="G236"/>
          <cell r="H236"/>
        </row>
        <row r="237">
          <cell r="A237"/>
          <cell r="B237"/>
          <cell r="C237"/>
          <cell r="D237"/>
          <cell r="E237"/>
          <cell r="F237"/>
          <cell r="G237"/>
          <cell r="H237"/>
        </row>
        <row r="238">
          <cell r="A238"/>
          <cell r="B238"/>
          <cell r="C238"/>
          <cell r="D238"/>
          <cell r="E238"/>
          <cell r="F238"/>
          <cell r="G238"/>
          <cell r="H238"/>
        </row>
        <row r="239">
          <cell r="A239"/>
          <cell r="B239"/>
          <cell r="C239"/>
          <cell r="D239"/>
          <cell r="E239"/>
          <cell r="F239"/>
          <cell r="G239"/>
          <cell r="H239"/>
        </row>
        <row r="240">
          <cell r="A240"/>
          <cell r="B240"/>
          <cell r="C240"/>
          <cell r="D240"/>
          <cell r="E240"/>
          <cell r="F240"/>
          <cell r="G240"/>
          <cell r="H240"/>
        </row>
        <row r="241">
          <cell r="A241"/>
          <cell r="B241"/>
          <cell r="C241"/>
          <cell r="D241"/>
          <cell r="E241"/>
          <cell r="F241"/>
          <cell r="G241"/>
          <cell r="H241"/>
        </row>
        <row r="242">
          <cell r="A242"/>
          <cell r="B242"/>
          <cell r="C242"/>
          <cell r="D242"/>
          <cell r="E242"/>
          <cell r="F242"/>
          <cell r="G242"/>
          <cell r="H242"/>
        </row>
        <row r="243">
          <cell r="A243"/>
          <cell r="B243"/>
          <cell r="C243"/>
          <cell r="D243"/>
          <cell r="E243"/>
          <cell r="F243"/>
          <cell r="G243"/>
          <cell r="H243"/>
        </row>
        <row r="244">
          <cell r="A244"/>
          <cell r="B244"/>
          <cell r="C244"/>
          <cell r="D244"/>
          <cell r="E244"/>
          <cell r="F244"/>
          <cell r="G244"/>
          <cell r="H244"/>
        </row>
        <row r="245">
          <cell r="A245"/>
          <cell r="B245"/>
          <cell r="C245"/>
          <cell r="D245"/>
          <cell r="E245"/>
          <cell r="F245"/>
          <cell r="G245"/>
          <cell r="H245"/>
        </row>
        <row r="246">
          <cell r="A246"/>
          <cell r="B246"/>
          <cell r="C246"/>
          <cell r="D246"/>
          <cell r="E246"/>
          <cell r="F246"/>
          <cell r="G246"/>
          <cell r="H246"/>
        </row>
        <row r="247">
          <cell r="A247"/>
          <cell r="B247"/>
          <cell r="C247"/>
          <cell r="D247"/>
          <cell r="E247"/>
          <cell r="F247"/>
          <cell r="G247"/>
          <cell r="H247"/>
        </row>
        <row r="248">
          <cell r="A248"/>
          <cell r="B248"/>
          <cell r="C248"/>
          <cell r="D248"/>
          <cell r="E248"/>
          <cell r="F248"/>
          <cell r="G248"/>
          <cell r="H248"/>
        </row>
        <row r="249">
          <cell r="A249"/>
          <cell r="B249"/>
          <cell r="C249"/>
          <cell r="D249"/>
          <cell r="E249"/>
          <cell r="F249"/>
          <cell r="G249"/>
          <cell r="H249"/>
        </row>
        <row r="250">
          <cell r="A250"/>
          <cell r="B250"/>
          <cell r="C250"/>
          <cell r="D250"/>
          <cell r="E250"/>
          <cell r="F250"/>
          <cell r="G250"/>
          <cell r="H250"/>
        </row>
        <row r="251">
          <cell r="A251"/>
          <cell r="B251"/>
          <cell r="C251"/>
          <cell r="D251"/>
          <cell r="E251"/>
          <cell r="F251"/>
          <cell r="G251"/>
          <cell r="H251"/>
        </row>
        <row r="252">
          <cell r="A252"/>
          <cell r="B252"/>
          <cell r="C252"/>
          <cell r="D252"/>
          <cell r="E252"/>
          <cell r="F252"/>
          <cell r="G252"/>
          <cell r="H252"/>
        </row>
        <row r="253">
          <cell r="A253"/>
          <cell r="B253"/>
          <cell r="C253"/>
          <cell r="D253"/>
          <cell r="E253"/>
          <cell r="F253"/>
          <cell r="G253"/>
          <cell r="H253"/>
        </row>
        <row r="254">
          <cell r="A254"/>
          <cell r="B254"/>
          <cell r="C254"/>
          <cell r="D254"/>
          <cell r="E254"/>
          <cell r="F254"/>
          <cell r="G254"/>
          <cell r="H254"/>
        </row>
        <row r="255">
          <cell r="A255"/>
          <cell r="B255"/>
          <cell r="C255"/>
          <cell r="D255"/>
          <cell r="E255"/>
          <cell r="F255"/>
          <cell r="G255"/>
          <cell r="H255"/>
        </row>
        <row r="256">
          <cell r="A256"/>
          <cell r="B256"/>
          <cell r="C256"/>
          <cell r="D256"/>
          <cell r="E256"/>
          <cell r="F256"/>
          <cell r="G256"/>
          <cell r="H256"/>
        </row>
        <row r="257">
          <cell r="A257"/>
          <cell r="B257"/>
          <cell r="C257"/>
          <cell r="D257"/>
          <cell r="E257"/>
          <cell r="F257"/>
          <cell r="G257"/>
          <cell r="H257"/>
        </row>
        <row r="258">
          <cell r="A258"/>
          <cell r="B258"/>
          <cell r="C258"/>
          <cell r="D258"/>
          <cell r="E258"/>
          <cell r="F258"/>
          <cell r="G258"/>
          <cell r="H258"/>
        </row>
        <row r="259">
          <cell r="A259"/>
          <cell r="B259"/>
          <cell r="C259"/>
          <cell r="D259"/>
          <cell r="E259"/>
          <cell r="F259"/>
          <cell r="G259"/>
          <cell r="H259"/>
        </row>
        <row r="260">
          <cell r="A260"/>
          <cell r="B260"/>
          <cell r="C260"/>
          <cell r="D260"/>
          <cell r="E260"/>
          <cell r="F260"/>
          <cell r="G260"/>
          <cell r="H260"/>
        </row>
        <row r="261">
          <cell r="A261"/>
          <cell r="B261"/>
          <cell r="C261"/>
          <cell r="D261"/>
          <cell r="E261"/>
          <cell r="F261"/>
          <cell r="G261"/>
          <cell r="H261"/>
        </row>
        <row r="262">
          <cell r="A262"/>
          <cell r="B262"/>
          <cell r="C262"/>
          <cell r="D262"/>
          <cell r="E262"/>
          <cell r="F262"/>
          <cell r="G262"/>
          <cell r="H262"/>
        </row>
        <row r="263">
          <cell r="A263"/>
          <cell r="B263"/>
          <cell r="C263"/>
          <cell r="D263"/>
          <cell r="E263"/>
          <cell r="F263"/>
          <cell r="G263"/>
          <cell r="H263"/>
        </row>
        <row r="264">
          <cell r="A264"/>
          <cell r="B264"/>
          <cell r="C264"/>
          <cell r="D264"/>
          <cell r="E264"/>
          <cell r="F264"/>
          <cell r="G264"/>
          <cell r="H264"/>
        </row>
        <row r="265">
          <cell r="A265"/>
          <cell r="B265"/>
          <cell r="C265"/>
          <cell r="D265"/>
          <cell r="E265"/>
          <cell r="F265"/>
          <cell r="G265"/>
          <cell r="H265"/>
        </row>
        <row r="266">
          <cell r="A266"/>
          <cell r="B266"/>
          <cell r="C266"/>
          <cell r="D266"/>
          <cell r="E266"/>
          <cell r="F266"/>
          <cell r="G266"/>
          <cell r="H266"/>
        </row>
        <row r="267">
          <cell r="A267"/>
          <cell r="B267"/>
          <cell r="C267"/>
          <cell r="D267"/>
          <cell r="E267"/>
          <cell r="F267"/>
          <cell r="G267"/>
          <cell r="H267"/>
        </row>
        <row r="268">
          <cell r="A268"/>
          <cell r="B268"/>
          <cell r="C268"/>
          <cell r="D268"/>
          <cell r="E268"/>
          <cell r="F268"/>
          <cell r="G268"/>
          <cell r="H268"/>
        </row>
        <row r="269">
          <cell r="A269"/>
          <cell r="B269"/>
          <cell r="C269"/>
          <cell r="D269"/>
          <cell r="E269"/>
          <cell r="F269"/>
          <cell r="G269"/>
          <cell r="H269"/>
        </row>
        <row r="270">
          <cell r="A270"/>
          <cell r="B270"/>
          <cell r="C270"/>
          <cell r="D270"/>
          <cell r="E270"/>
          <cell r="F270"/>
          <cell r="G270"/>
          <cell r="H270"/>
        </row>
        <row r="271">
          <cell r="A271"/>
          <cell r="B271"/>
          <cell r="C271"/>
          <cell r="D271"/>
          <cell r="E271"/>
          <cell r="F271"/>
          <cell r="G271"/>
          <cell r="H271"/>
        </row>
        <row r="272">
          <cell r="A272"/>
          <cell r="B272"/>
          <cell r="C272"/>
          <cell r="D272"/>
          <cell r="E272"/>
          <cell r="F272"/>
          <cell r="G272"/>
          <cell r="H272"/>
        </row>
        <row r="273">
          <cell r="A273"/>
          <cell r="B273"/>
          <cell r="C273"/>
          <cell r="D273"/>
          <cell r="E273"/>
          <cell r="F273"/>
          <cell r="G273"/>
          <cell r="H273"/>
        </row>
        <row r="274">
          <cell r="A274"/>
          <cell r="B274"/>
          <cell r="C274"/>
          <cell r="D274"/>
          <cell r="E274"/>
          <cell r="F274"/>
          <cell r="G274"/>
          <cell r="H274"/>
        </row>
        <row r="275">
          <cell r="A275"/>
          <cell r="B275"/>
          <cell r="C275"/>
          <cell r="D275"/>
          <cell r="E275"/>
          <cell r="F275"/>
          <cell r="G275"/>
          <cell r="H275"/>
        </row>
        <row r="276">
          <cell r="A276"/>
          <cell r="B276"/>
          <cell r="C276"/>
          <cell r="D276"/>
          <cell r="E276"/>
          <cell r="F276"/>
          <cell r="G276"/>
          <cell r="H276"/>
        </row>
        <row r="277">
          <cell r="A277"/>
          <cell r="B277"/>
          <cell r="C277"/>
          <cell r="D277"/>
          <cell r="E277"/>
          <cell r="F277"/>
          <cell r="G277"/>
          <cell r="H277"/>
        </row>
        <row r="278">
          <cell r="A278"/>
          <cell r="B278"/>
          <cell r="C278"/>
          <cell r="D278"/>
          <cell r="E278"/>
          <cell r="F278"/>
          <cell r="G278"/>
          <cell r="H278"/>
        </row>
        <row r="279">
          <cell r="A279"/>
          <cell r="B279"/>
          <cell r="C279"/>
          <cell r="D279"/>
          <cell r="E279"/>
          <cell r="F279"/>
          <cell r="G279"/>
          <cell r="H279"/>
        </row>
        <row r="280">
          <cell r="A280"/>
          <cell r="B280"/>
          <cell r="C280"/>
          <cell r="D280"/>
          <cell r="E280"/>
          <cell r="F280"/>
          <cell r="G280"/>
          <cell r="H280"/>
        </row>
        <row r="281">
          <cell r="A281"/>
          <cell r="B281"/>
          <cell r="C281"/>
          <cell r="D281"/>
          <cell r="E281"/>
          <cell r="F281"/>
          <cell r="G281"/>
          <cell r="H281"/>
        </row>
        <row r="282">
          <cell r="A282"/>
          <cell r="B282"/>
          <cell r="C282"/>
          <cell r="D282"/>
          <cell r="E282"/>
          <cell r="F282"/>
          <cell r="G282"/>
          <cell r="H282"/>
        </row>
        <row r="283">
          <cell r="A283"/>
          <cell r="B283"/>
          <cell r="C283"/>
          <cell r="D283"/>
          <cell r="E283"/>
          <cell r="F283"/>
          <cell r="G283"/>
          <cell r="H283"/>
        </row>
        <row r="284">
          <cell r="A284"/>
          <cell r="B284"/>
          <cell r="C284"/>
          <cell r="D284"/>
          <cell r="E284"/>
          <cell r="F284"/>
          <cell r="G284"/>
          <cell r="H284"/>
        </row>
        <row r="285">
          <cell r="A285"/>
          <cell r="B285"/>
          <cell r="C285"/>
          <cell r="D285"/>
          <cell r="E285"/>
          <cell r="F285"/>
          <cell r="G285"/>
          <cell r="H285"/>
        </row>
        <row r="286">
          <cell r="A286"/>
          <cell r="B286"/>
          <cell r="C286"/>
          <cell r="D286"/>
          <cell r="E286"/>
          <cell r="F286"/>
          <cell r="G286"/>
          <cell r="H286"/>
        </row>
        <row r="287">
          <cell r="A287"/>
          <cell r="B287"/>
          <cell r="C287"/>
          <cell r="D287"/>
          <cell r="E287"/>
          <cell r="F287"/>
          <cell r="G287"/>
          <cell r="H287"/>
        </row>
        <row r="288">
          <cell r="A288"/>
          <cell r="B288"/>
          <cell r="C288"/>
          <cell r="D288"/>
          <cell r="E288"/>
          <cell r="F288"/>
          <cell r="G288"/>
          <cell r="H288"/>
        </row>
        <row r="289">
          <cell r="A289"/>
          <cell r="B289"/>
          <cell r="C289"/>
          <cell r="D289"/>
          <cell r="E289"/>
          <cell r="F289"/>
          <cell r="G289"/>
          <cell r="H289"/>
        </row>
        <row r="290">
          <cell r="A290"/>
          <cell r="B290"/>
          <cell r="C290"/>
          <cell r="D290"/>
          <cell r="E290"/>
          <cell r="F290"/>
          <cell r="G290"/>
          <cell r="H290"/>
        </row>
        <row r="291">
          <cell r="A291"/>
          <cell r="B291"/>
          <cell r="C291"/>
          <cell r="D291"/>
          <cell r="E291"/>
          <cell r="F291"/>
          <cell r="G291"/>
          <cell r="H291"/>
        </row>
        <row r="292">
          <cell r="A292"/>
          <cell r="B292"/>
          <cell r="C292"/>
          <cell r="D292"/>
          <cell r="E292"/>
          <cell r="F292"/>
          <cell r="G292"/>
          <cell r="H292"/>
        </row>
        <row r="293">
          <cell r="A293"/>
          <cell r="B293"/>
          <cell r="C293"/>
          <cell r="D293"/>
          <cell r="E293"/>
          <cell r="F293"/>
          <cell r="G293"/>
          <cell r="H293"/>
        </row>
        <row r="294">
          <cell r="A294"/>
          <cell r="B294"/>
          <cell r="C294"/>
          <cell r="D294"/>
          <cell r="E294"/>
          <cell r="F294"/>
          <cell r="G294"/>
          <cell r="H294"/>
        </row>
        <row r="295">
          <cell r="A295"/>
          <cell r="B295"/>
          <cell r="C295"/>
          <cell r="D295"/>
          <cell r="E295"/>
          <cell r="F295"/>
          <cell r="G295"/>
          <cell r="H295"/>
        </row>
        <row r="296">
          <cell r="A296"/>
          <cell r="B296"/>
          <cell r="C296"/>
          <cell r="D296"/>
          <cell r="E296"/>
          <cell r="F296"/>
          <cell r="G296"/>
          <cell r="H296"/>
        </row>
        <row r="297">
          <cell r="A297"/>
          <cell r="B297"/>
          <cell r="C297"/>
          <cell r="D297"/>
          <cell r="E297"/>
          <cell r="F297"/>
          <cell r="G297"/>
          <cell r="H297"/>
        </row>
        <row r="298">
          <cell r="A298"/>
          <cell r="B298"/>
          <cell r="C298"/>
          <cell r="D298"/>
          <cell r="E298"/>
          <cell r="F298"/>
          <cell r="G298"/>
          <cell r="H298"/>
        </row>
        <row r="299">
          <cell r="A299"/>
          <cell r="B299"/>
          <cell r="C299"/>
          <cell r="D299"/>
          <cell r="E299"/>
          <cell r="F299"/>
          <cell r="G299"/>
          <cell r="H299"/>
        </row>
        <row r="300">
          <cell r="A300"/>
          <cell r="B300"/>
          <cell r="C300"/>
          <cell r="D300"/>
          <cell r="E300"/>
          <cell r="F300"/>
          <cell r="G300"/>
          <cell r="H300"/>
        </row>
        <row r="301">
          <cell r="A301"/>
          <cell r="B301"/>
          <cell r="C301"/>
          <cell r="D301"/>
          <cell r="E301"/>
          <cell r="F301"/>
          <cell r="G301"/>
          <cell r="H301"/>
        </row>
        <row r="302">
          <cell r="A302"/>
          <cell r="B302"/>
          <cell r="C302"/>
          <cell r="D302"/>
          <cell r="E302"/>
          <cell r="F302"/>
          <cell r="G302"/>
          <cell r="H302"/>
        </row>
        <row r="303">
          <cell r="A303"/>
          <cell r="B303"/>
          <cell r="C303"/>
          <cell r="D303"/>
          <cell r="E303"/>
          <cell r="F303"/>
          <cell r="G303"/>
          <cell r="H303"/>
        </row>
        <row r="304">
          <cell r="A304"/>
          <cell r="B304"/>
          <cell r="C304"/>
          <cell r="D304"/>
          <cell r="E304"/>
          <cell r="F304"/>
          <cell r="G304"/>
          <cell r="H304"/>
        </row>
        <row r="305">
          <cell r="A305"/>
          <cell r="B305"/>
          <cell r="C305"/>
          <cell r="D305"/>
          <cell r="E305"/>
          <cell r="F305"/>
          <cell r="G305"/>
          <cell r="H305"/>
        </row>
        <row r="306">
          <cell r="A306"/>
          <cell r="B306"/>
          <cell r="C306"/>
          <cell r="D306"/>
          <cell r="E306"/>
          <cell r="F306"/>
          <cell r="G306"/>
          <cell r="H306"/>
        </row>
        <row r="307">
          <cell r="A307"/>
          <cell r="B307"/>
          <cell r="C307"/>
          <cell r="D307"/>
          <cell r="E307"/>
          <cell r="F307"/>
          <cell r="G307"/>
          <cell r="H307"/>
        </row>
        <row r="308">
          <cell r="A308"/>
          <cell r="B308"/>
          <cell r="C308"/>
          <cell r="D308"/>
          <cell r="E308"/>
          <cell r="F308"/>
          <cell r="G308"/>
          <cell r="H308"/>
        </row>
        <row r="309">
          <cell r="A309"/>
          <cell r="B309"/>
          <cell r="C309"/>
          <cell r="D309"/>
          <cell r="E309"/>
          <cell r="F309"/>
          <cell r="G309"/>
          <cell r="H309"/>
        </row>
        <row r="310">
          <cell r="A310"/>
          <cell r="B310"/>
          <cell r="C310"/>
          <cell r="D310"/>
          <cell r="E310"/>
          <cell r="F310"/>
          <cell r="G310"/>
          <cell r="H310"/>
        </row>
        <row r="311">
          <cell r="A311"/>
          <cell r="B311"/>
          <cell r="C311"/>
          <cell r="D311"/>
          <cell r="E311"/>
          <cell r="F311"/>
          <cell r="G311"/>
          <cell r="H311"/>
        </row>
        <row r="312">
          <cell r="A312"/>
          <cell r="B312"/>
          <cell r="C312"/>
          <cell r="D312"/>
          <cell r="E312"/>
          <cell r="F312"/>
          <cell r="G312"/>
          <cell r="H312"/>
        </row>
        <row r="313">
          <cell r="A313"/>
          <cell r="B313"/>
          <cell r="C313"/>
          <cell r="D313"/>
          <cell r="E313"/>
          <cell r="F313"/>
          <cell r="G313"/>
          <cell r="H313"/>
        </row>
        <row r="314">
          <cell r="A314"/>
          <cell r="B314"/>
          <cell r="C314"/>
          <cell r="D314"/>
          <cell r="E314"/>
          <cell r="F314"/>
          <cell r="G314"/>
          <cell r="H314"/>
        </row>
        <row r="315">
          <cell r="A315"/>
          <cell r="B315"/>
          <cell r="C315"/>
          <cell r="D315"/>
          <cell r="E315"/>
          <cell r="F315"/>
          <cell r="G315"/>
          <cell r="H315"/>
        </row>
        <row r="316">
          <cell r="A316"/>
          <cell r="B316"/>
          <cell r="C316"/>
          <cell r="D316"/>
          <cell r="E316"/>
          <cell r="F316"/>
          <cell r="G316"/>
          <cell r="H316"/>
        </row>
        <row r="317">
          <cell r="A317"/>
          <cell r="B317"/>
          <cell r="C317"/>
          <cell r="D317"/>
          <cell r="E317"/>
          <cell r="F317"/>
          <cell r="G317"/>
          <cell r="H317"/>
        </row>
        <row r="318">
          <cell r="A318"/>
          <cell r="B318"/>
          <cell r="C318"/>
          <cell r="D318"/>
          <cell r="E318"/>
          <cell r="F318"/>
          <cell r="G318"/>
          <cell r="H318"/>
        </row>
        <row r="319">
          <cell r="A319"/>
          <cell r="B319"/>
          <cell r="C319"/>
          <cell r="D319"/>
          <cell r="E319"/>
          <cell r="F319"/>
          <cell r="G319"/>
          <cell r="H319"/>
        </row>
        <row r="320">
          <cell r="A320"/>
          <cell r="B320"/>
          <cell r="C320"/>
          <cell r="D320"/>
          <cell r="E320"/>
          <cell r="F320"/>
          <cell r="G320"/>
          <cell r="H320"/>
        </row>
        <row r="321">
          <cell r="A321"/>
          <cell r="B321"/>
          <cell r="C321"/>
          <cell r="D321"/>
          <cell r="E321"/>
          <cell r="F321"/>
          <cell r="G321"/>
          <cell r="H321"/>
        </row>
        <row r="322">
          <cell r="A322"/>
          <cell r="B322"/>
          <cell r="C322"/>
          <cell r="D322"/>
          <cell r="E322"/>
          <cell r="F322"/>
          <cell r="G322"/>
          <cell r="H322"/>
        </row>
        <row r="323">
          <cell r="A323"/>
          <cell r="B323"/>
          <cell r="C323"/>
          <cell r="D323"/>
          <cell r="E323"/>
          <cell r="F323"/>
          <cell r="G323"/>
          <cell r="H323"/>
        </row>
        <row r="324">
          <cell r="A324"/>
          <cell r="B324"/>
          <cell r="C324"/>
          <cell r="D324"/>
          <cell r="E324"/>
          <cell r="F324"/>
          <cell r="G324"/>
          <cell r="H324"/>
        </row>
        <row r="325">
          <cell r="A325"/>
          <cell r="B325"/>
          <cell r="C325"/>
          <cell r="D325"/>
          <cell r="E325"/>
          <cell r="F325"/>
          <cell r="G325"/>
          <cell r="H325"/>
        </row>
        <row r="326">
          <cell r="A326"/>
          <cell r="B326"/>
          <cell r="C326"/>
          <cell r="D326"/>
          <cell r="E326"/>
          <cell r="F326"/>
          <cell r="G326"/>
          <cell r="H326"/>
        </row>
        <row r="327">
          <cell r="A327"/>
          <cell r="B327"/>
          <cell r="C327"/>
          <cell r="D327"/>
          <cell r="E327"/>
          <cell r="F327"/>
          <cell r="G327"/>
          <cell r="H327"/>
        </row>
        <row r="328">
          <cell r="A328"/>
          <cell r="B328"/>
          <cell r="C328"/>
          <cell r="D328"/>
          <cell r="E328"/>
          <cell r="F328"/>
          <cell r="G328"/>
          <cell r="H328"/>
        </row>
        <row r="329">
          <cell r="A329"/>
          <cell r="B329"/>
          <cell r="C329"/>
          <cell r="D329"/>
          <cell r="E329"/>
          <cell r="F329"/>
          <cell r="G329"/>
          <cell r="H329"/>
        </row>
        <row r="330">
          <cell r="A330"/>
          <cell r="B330"/>
          <cell r="C330"/>
          <cell r="D330"/>
          <cell r="E330"/>
          <cell r="F330"/>
          <cell r="G330"/>
          <cell r="H330"/>
        </row>
        <row r="331">
          <cell r="A331"/>
          <cell r="B331"/>
          <cell r="C331"/>
          <cell r="D331"/>
          <cell r="E331"/>
          <cell r="F331"/>
          <cell r="G331"/>
          <cell r="H331"/>
        </row>
        <row r="332">
          <cell r="A332"/>
          <cell r="B332"/>
          <cell r="C332"/>
          <cell r="D332"/>
          <cell r="E332"/>
          <cell r="F332"/>
          <cell r="G332"/>
          <cell r="H332"/>
        </row>
        <row r="333">
          <cell r="A333"/>
          <cell r="B333"/>
          <cell r="C333"/>
          <cell r="D333"/>
          <cell r="E333"/>
          <cell r="F333"/>
          <cell r="G333"/>
          <cell r="H333"/>
        </row>
        <row r="334">
          <cell r="A334"/>
          <cell r="B334"/>
          <cell r="C334"/>
          <cell r="D334"/>
          <cell r="E334"/>
          <cell r="F334"/>
          <cell r="G334"/>
          <cell r="H334"/>
        </row>
        <row r="335">
          <cell r="A335"/>
          <cell r="B335"/>
          <cell r="C335"/>
          <cell r="D335"/>
          <cell r="E335"/>
          <cell r="F335"/>
          <cell r="G335"/>
          <cell r="H335"/>
        </row>
        <row r="336">
          <cell r="A336"/>
          <cell r="B336"/>
          <cell r="C336"/>
          <cell r="D336"/>
          <cell r="E336"/>
          <cell r="F336"/>
          <cell r="G336"/>
          <cell r="H336"/>
        </row>
        <row r="337">
          <cell r="A337"/>
          <cell r="B337"/>
          <cell r="C337"/>
          <cell r="D337"/>
          <cell r="E337"/>
          <cell r="F337"/>
          <cell r="G337"/>
          <cell r="H337"/>
        </row>
        <row r="338">
          <cell r="A338"/>
          <cell r="B338"/>
          <cell r="C338"/>
          <cell r="D338"/>
          <cell r="E338"/>
          <cell r="F338"/>
          <cell r="G338"/>
          <cell r="H338"/>
        </row>
        <row r="339">
          <cell r="A339"/>
          <cell r="B339"/>
          <cell r="C339"/>
          <cell r="D339"/>
          <cell r="E339"/>
          <cell r="F339"/>
          <cell r="G339"/>
          <cell r="H339"/>
        </row>
        <row r="340">
          <cell r="A340"/>
          <cell r="B340"/>
          <cell r="C340"/>
          <cell r="D340"/>
          <cell r="E340"/>
          <cell r="F340"/>
          <cell r="G340"/>
          <cell r="H340"/>
        </row>
        <row r="341">
          <cell r="A341"/>
          <cell r="B341"/>
          <cell r="C341"/>
          <cell r="D341"/>
          <cell r="E341"/>
          <cell r="F341"/>
          <cell r="G341"/>
          <cell r="H341"/>
        </row>
        <row r="342">
          <cell r="A342"/>
          <cell r="B342"/>
          <cell r="C342"/>
          <cell r="D342"/>
          <cell r="E342"/>
          <cell r="F342"/>
          <cell r="G342"/>
          <cell r="H342"/>
        </row>
        <row r="343">
          <cell r="A343"/>
          <cell r="B343"/>
          <cell r="C343"/>
          <cell r="D343"/>
          <cell r="E343"/>
          <cell r="F343"/>
          <cell r="G343"/>
          <cell r="H343"/>
        </row>
        <row r="344">
          <cell r="A344"/>
          <cell r="B344"/>
          <cell r="C344"/>
          <cell r="D344"/>
          <cell r="E344"/>
          <cell r="F344"/>
          <cell r="G344"/>
          <cell r="H344"/>
        </row>
        <row r="345">
          <cell r="A345"/>
          <cell r="B345"/>
          <cell r="C345"/>
          <cell r="D345"/>
          <cell r="E345"/>
          <cell r="F345"/>
          <cell r="G345"/>
          <cell r="H345"/>
        </row>
        <row r="346">
          <cell r="A346"/>
          <cell r="B346"/>
          <cell r="C346"/>
          <cell r="D346"/>
          <cell r="E346"/>
          <cell r="F346"/>
          <cell r="G346"/>
          <cell r="H346"/>
        </row>
        <row r="347">
          <cell r="A347"/>
          <cell r="B347"/>
          <cell r="C347"/>
          <cell r="D347"/>
          <cell r="E347"/>
          <cell r="F347"/>
          <cell r="G347"/>
          <cell r="H347"/>
        </row>
        <row r="348">
          <cell r="A348"/>
          <cell r="B348"/>
          <cell r="C348"/>
          <cell r="D348"/>
          <cell r="E348"/>
          <cell r="F348"/>
          <cell r="G348"/>
          <cell r="H348"/>
        </row>
        <row r="349">
          <cell r="A349"/>
          <cell r="B349"/>
          <cell r="C349"/>
          <cell r="D349"/>
          <cell r="E349"/>
          <cell r="F349"/>
          <cell r="G349"/>
          <cell r="H349"/>
        </row>
        <row r="350">
          <cell r="A350"/>
          <cell r="B350"/>
          <cell r="C350"/>
          <cell r="D350"/>
          <cell r="E350"/>
          <cell r="F350"/>
          <cell r="G350"/>
          <cell r="H350"/>
        </row>
        <row r="351">
          <cell r="A351"/>
          <cell r="B351"/>
          <cell r="C351"/>
          <cell r="D351"/>
          <cell r="E351"/>
          <cell r="F351"/>
          <cell r="G351"/>
          <cell r="H351"/>
        </row>
        <row r="352">
          <cell r="A352"/>
          <cell r="B352"/>
          <cell r="C352"/>
          <cell r="D352"/>
          <cell r="E352"/>
          <cell r="F352"/>
          <cell r="G352"/>
          <cell r="H352"/>
        </row>
        <row r="353">
          <cell r="A353"/>
          <cell r="B353"/>
          <cell r="C353"/>
          <cell r="D353"/>
          <cell r="E353"/>
          <cell r="F353"/>
          <cell r="G353"/>
          <cell r="H353"/>
        </row>
        <row r="354">
          <cell r="A354"/>
          <cell r="B354"/>
          <cell r="C354"/>
          <cell r="D354"/>
          <cell r="E354"/>
          <cell r="F354"/>
          <cell r="G354"/>
          <cell r="H354"/>
        </row>
        <row r="355">
          <cell r="A355"/>
          <cell r="B355"/>
          <cell r="C355"/>
          <cell r="D355"/>
          <cell r="E355"/>
          <cell r="F355"/>
          <cell r="G355"/>
          <cell r="H355"/>
        </row>
        <row r="356">
          <cell r="A356"/>
          <cell r="B356"/>
          <cell r="C356"/>
          <cell r="D356"/>
          <cell r="E356"/>
          <cell r="F356"/>
          <cell r="G356"/>
          <cell r="H356"/>
        </row>
        <row r="357">
          <cell r="A357"/>
          <cell r="B357"/>
          <cell r="C357"/>
          <cell r="D357"/>
          <cell r="E357"/>
          <cell r="F357"/>
          <cell r="G357"/>
          <cell r="H357"/>
        </row>
        <row r="358">
          <cell r="A358"/>
          <cell r="B358"/>
          <cell r="C358"/>
          <cell r="D358"/>
          <cell r="E358"/>
          <cell r="F358"/>
          <cell r="G358"/>
          <cell r="H358"/>
        </row>
        <row r="359">
          <cell r="A359"/>
          <cell r="B359"/>
          <cell r="C359"/>
          <cell r="D359"/>
          <cell r="E359"/>
          <cell r="F359"/>
          <cell r="G359"/>
          <cell r="H359"/>
        </row>
        <row r="360">
          <cell r="A360"/>
          <cell r="B360"/>
          <cell r="C360"/>
          <cell r="D360"/>
          <cell r="E360"/>
          <cell r="F360"/>
          <cell r="G360"/>
          <cell r="H360"/>
        </row>
        <row r="361">
          <cell r="A361"/>
          <cell r="B361"/>
          <cell r="C361"/>
          <cell r="D361"/>
          <cell r="E361"/>
          <cell r="F361"/>
          <cell r="G361"/>
          <cell r="H361"/>
        </row>
        <row r="362">
          <cell r="A362"/>
          <cell r="B362"/>
          <cell r="C362"/>
          <cell r="D362"/>
          <cell r="E362"/>
          <cell r="F362"/>
          <cell r="G362"/>
          <cell r="H362"/>
        </row>
        <row r="363">
          <cell r="A363"/>
          <cell r="B363"/>
          <cell r="C363"/>
          <cell r="D363"/>
          <cell r="E363"/>
          <cell r="F363"/>
          <cell r="G363"/>
          <cell r="H363"/>
        </row>
        <row r="364">
          <cell r="A364"/>
          <cell r="B364"/>
          <cell r="C364"/>
          <cell r="D364"/>
          <cell r="E364"/>
          <cell r="F364"/>
          <cell r="G364"/>
          <cell r="H364"/>
        </row>
        <row r="365">
          <cell r="A365"/>
          <cell r="B365"/>
          <cell r="C365"/>
          <cell r="D365"/>
          <cell r="E365"/>
          <cell r="F365"/>
          <cell r="G365"/>
          <cell r="H365"/>
        </row>
        <row r="366">
          <cell r="A366"/>
          <cell r="B366"/>
          <cell r="C366"/>
          <cell r="D366"/>
          <cell r="E366"/>
          <cell r="F366"/>
          <cell r="G366"/>
          <cell r="H366"/>
        </row>
        <row r="367">
          <cell r="A367"/>
          <cell r="B367"/>
          <cell r="C367"/>
          <cell r="D367"/>
          <cell r="E367"/>
          <cell r="F367"/>
          <cell r="G367"/>
          <cell r="H367"/>
        </row>
        <row r="368">
          <cell r="A368"/>
          <cell r="B368"/>
          <cell r="C368"/>
          <cell r="D368"/>
          <cell r="E368"/>
          <cell r="F368"/>
          <cell r="G368"/>
          <cell r="H368"/>
        </row>
        <row r="369">
          <cell r="A369"/>
          <cell r="B369"/>
          <cell r="C369"/>
          <cell r="D369"/>
          <cell r="E369"/>
          <cell r="F369"/>
          <cell r="G369"/>
          <cell r="H369"/>
        </row>
        <row r="370">
          <cell r="A370"/>
          <cell r="B370"/>
          <cell r="C370"/>
          <cell r="D370"/>
          <cell r="E370"/>
          <cell r="F370"/>
          <cell r="G370"/>
          <cell r="H370"/>
        </row>
        <row r="371">
          <cell r="A371"/>
          <cell r="B371"/>
          <cell r="C371"/>
          <cell r="D371"/>
          <cell r="E371"/>
          <cell r="F371"/>
          <cell r="G371"/>
          <cell r="H371"/>
        </row>
        <row r="372">
          <cell r="A372"/>
          <cell r="B372"/>
          <cell r="C372"/>
          <cell r="D372"/>
          <cell r="E372"/>
          <cell r="F372"/>
          <cell r="G372"/>
          <cell r="H372"/>
        </row>
        <row r="373">
          <cell r="A373"/>
          <cell r="B373"/>
          <cell r="C373"/>
          <cell r="D373"/>
          <cell r="E373"/>
          <cell r="F373"/>
          <cell r="G373"/>
          <cell r="H373"/>
        </row>
        <row r="374">
          <cell r="A374"/>
          <cell r="B374"/>
          <cell r="C374"/>
          <cell r="D374"/>
          <cell r="E374"/>
          <cell r="F374"/>
          <cell r="G374"/>
          <cell r="H374"/>
        </row>
        <row r="375">
          <cell r="A375"/>
          <cell r="B375"/>
          <cell r="C375"/>
          <cell r="D375"/>
          <cell r="E375"/>
          <cell r="F375"/>
          <cell r="G375"/>
          <cell r="H375"/>
        </row>
        <row r="376">
          <cell r="A376"/>
          <cell r="B376"/>
          <cell r="C376"/>
          <cell r="D376"/>
          <cell r="E376"/>
          <cell r="F376"/>
          <cell r="G376"/>
          <cell r="H376"/>
        </row>
        <row r="377">
          <cell r="A377"/>
          <cell r="B377"/>
          <cell r="C377"/>
          <cell r="D377"/>
          <cell r="E377"/>
          <cell r="F377"/>
          <cell r="G377"/>
          <cell r="H377"/>
        </row>
        <row r="378">
          <cell r="A378"/>
          <cell r="B378"/>
          <cell r="C378"/>
          <cell r="D378"/>
          <cell r="E378"/>
          <cell r="F378"/>
          <cell r="G378"/>
          <cell r="H378"/>
        </row>
        <row r="379">
          <cell r="A379"/>
          <cell r="B379"/>
          <cell r="C379"/>
          <cell r="D379"/>
          <cell r="E379"/>
          <cell r="F379"/>
          <cell r="G379"/>
          <cell r="H379"/>
        </row>
        <row r="380">
          <cell r="A380"/>
          <cell r="B380"/>
          <cell r="C380"/>
          <cell r="D380"/>
          <cell r="E380"/>
          <cell r="F380"/>
          <cell r="G380"/>
          <cell r="H380"/>
        </row>
        <row r="381">
          <cell r="A381"/>
          <cell r="B381"/>
          <cell r="C381"/>
          <cell r="D381"/>
          <cell r="E381"/>
          <cell r="F381"/>
          <cell r="G381"/>
          <cell r="H381"/>
        </row>
        <row r="382">
          <cell r="A382"/>
          <cell r="B382"/>
          <cell r="C382"/>
          <cell r="D382"/>
          <cell r="E382"/>
          <cell r="F382"/>
          <cell r="G382"/>
          <cell r="H382"/>
        </row>
        <row r="383">
          <cell r="A383"/>
          <cell r="B383"/>
          <cell r="C383"/>
          <cell r="D383"/>
          <cell r="E383"/>
          <cell r="F383"/>
          <cell r="G383"/>
          <cell r="H383"/>
        </row>
        <row r="384">
          <cell r="A384"/>
          <cell r="B384"/>
          <cell r="C384"/>
          <cell r="D384"/>
          <cell r="E384"/>
          <cell r="F384"/>
          <cell r="G384"/>
          <cell r="H384"/>
        </row>
        <row r="385">
          <cell r="A385"/>
          <cell r="B385"/>
          <cell r="C385"/>
          <cell r="D385"/>
          <cell r="E385"/>
          <cell r="F385"/>
          <cell r="G385"/>
          <cell r="H385"/>
        </row>
        <row r="386">
          <cell r="A386"/>
          <cell r="B386"/>
          <cell r="C386"/>
          <cell r="D386"/>
          <cell r="E386"/>
          <cell r="F386"/>
          <cell r="G386"/>
          <cell r="H386"/>
        </row>
        <row r="387">
          <cell r="A387"/>
          <cell r="B387"/>
          <cell r="C387"/>
          <cell r="D387"/>
          <cell r="E387"/>
          <cell r="F387"/>
          <cell r="G387"/>
          <cell r="H387"/>
        </row>
        <row r="388">
          <cell r="A388"/>
          <cell r="B388"/>
          <cell r="C388"/>
          <cell r="D388"/>
          <cell r="E388"/>
          <cell r="F388"/>
          <cell r="G388"/>
          <cell r="H388"/>
        </row>
        <row r="389">
          <cell r="A389"/>
          <cell r="B389"/>
          <cell r="C389"/>
          <cell r="D389"/>
          <cell r="E389"/>
          <cell r="F389"/>
          <cell r="G389"/>
          <cell r="H389"/>
        </row>
        <row r="390">
          <cell r="A390"/>
          <cell r="B390"/>
          <cell r="C390"/>
          <cell r="D390"/>
          <cell r="E390"/>
          <cell r="F390"/>
          <cell r="G390"/>
          <cell r="H390"/>
        </row>
        <row r="391">
          <cell r="A391"/>
          <cell r="B391"/>
          <cell r="C391"/>
          <cell r="D391"/>
          <cell r="E391"/>
          <cell r="F391"/>
          <cell r="G391"/>
          <cell r="H391"/>
        </row>
        <row r="392">
          <cell r="A392"/>
          <cell r="B392"/>
          <cell r="C392"/>
          <cell r="D392"/>
          <cell r="E392"/>
          <cell r="F392"/>
          <cell r="G392"/>
          <cell r="H392"/>
        </row>
        <row r="393">
          <cell r="A393"/>
          <cell r="B393"/>
          <cell r="C393"/>
          <cell r="D393"/>
          <cell r="E393"/>
          <cell r="F393"/>
          <cell r="G393"/>
          <cell r="H393"/>
        </row>
        <row r="394">
          <cell r="A394"/>
          <cell r="B394"/>
          <cell r="C394"/>
          <cell r="D394"/>
          <cell r="E394"/>
          <cell r="F394"/>
          <cell r="G394"/>
          <cell r="H394"/>
        </row>
        <row r="395">
          <cell r="A395"/>
          <cell r="B395"/>
          <cell r="C395"/>
          <cell r="D395"/>
          <cell r="E395"/>
          <cell r="F395"/>
          <cell r="G395"/>
          <cell r="H395"/>
        </row>
        <row r="396">
          <cell r="A396"/>
          <cell r="B396"/>
          <cell r="C396"/>
          <cell r="D396"/>
          <cell r="E396"/>
          <cell r="F396"/>
          <cell r="G396"/>
          <cell r="H396"/>
        </row>
        <row r="397">
          <cell r="A397"/>
          <cell r="B397"/>
          <cell r="C397"/>
          <cell r="D397"/>
          <cell r="E397"/>
          <cell r="F397"/>
          <cell r="G397"/>
          <cell r="H397"/>
        </row>
        <row r="398">
          <cell r="A398"/>
          <cell r="B398"/>
          <cell r="C398"/>
          <cell r="D398"/>
          <cell r="E398"/>
          <cell r="F398"/>
          <cell r="G398"/>
          <cell r="H398"/>
        </row>
        <row r="399">
          <cell r="A399"/>
          <cell r="B399"/>
          <cell r="C399"/>
          <cell r="D399"/>
          <cell r="E399"/>
          <cell r="F399"/>
          <cell r="G399"/>
          <cell r="H399"/>
        </row>
        <row r="400">
          <cell r="A400"/>
          <cell r="B400"/>
          <cell r="C400"/>
          <cell r="D400"/>
          <cell r="E400"/>
          <cell r="F400"/>
          <cell r="G400"/>
          <cell r="H400"/>
        </row>
        <row r="401">
          <cell r="A401"/>
          <cell r="B401"/>
          <cell r="C401"/>
          <cell r="D401"/>
          <cell r="E401"/>
          <cell r="F401"/>
          <cell r="G401"/>
          <cell r="H401"/>
        </row>
        <row r="402">
          <cell r="A402"/>
          <cell r="B402"/>
          <cell r="C402"/>
          <cell r="D402"/>
          <cell r="E402"/>
          <cell r="F402"/>
          <cell r="G402"/>
          <cell r="H402"/>
        </row>
        <row r="403">
          <cell r="A403"/>
          <cell r="B403"/>
          <cell r="C403"/>
          <cell r="D403"/>
          <cell r="E403"/>
          <cell r="F403"/>
          <cell r="G403"/>
          <cell r="H403"/>
        </row>
        <row r="404">
          <cell r="A404"/>
          <cell r="B404"/>
          <cell r="C404"/>
          <cell r="D404"/>
          <cell r="E404"/>
          <cell r="F404"/>
          <cell r="G404"/>
          <cell r="H404"/>
        </row>
        <row r="405">
          <cell r="A405"/>
          <cell r="B405"/>
          <cell r="C405"/>
          <cell r="D405"/>
          <cell r="E405"/>
          <cell r="F405"/>
          <cell r="G405"/>
          <cell r="H405"/>
        </row>
        <row r="406">
          <cell r="A406"/>
          <cell r="B406"/>
          <cell r="C406"/>
          <cell r="D406"/>
          <cell r="E406"/>
          <cell r="F406"/>
          <cell r="G406"/>
          <cell r="H406"/>
        </row>
        <row r="407">
          <cell r="A407"/>
          <cell r="B407"/>
          <cell r="C407"/>
          <cell r="D407"/>
          <cell r="E407"/>
          <cell r="F407"/>
          <cell r="G407"/>
          <cell r="H407"/>
        </row>
        <row r="408">
          <cell r="A408"/>
          <cell r="B408"/>
          <cell r="C408"/>
          <cell r="D408"/>
          <cell r="E408"/>
          <cell r="F408"/>
          <cell r="G408"/>
          <cell r="H408"/>
        </row>
        <row r="409">
          <cell r="A409"/>
          <cell r="B409"/>
          <cell r="C409"/>
          <cell r="D409"/>
          <cell r="E409"/>
          <cell r="F409"/>
          <cell r="G409"/>
          <cell r="H409"/>
        </row>
        <row r="410">
          <cell r="A410"/>
          <cell r="B410"/>
          <cell r="C410"/>
          <cell r="D410"/>
          <cell r="E410"/>
          <cell r="F410"/>
          <cell r="G410"/>
          <cell r="H410"/>
        </row>
        <row r="411">
          <cell r="A411"/>
          <cell r="B411"/>
          <cell r="C411"/>
          <cell r="D411"/>
          <cell r="E411"/>
          <cell r="F411"/>
          <cell r="G411"/>
          <cell r="H411"/>
        </row>
        <row r="412">
          <cell r="A412"/>
          <cell r="B412"/>
          <cell r="C412"/>
          <cell r="D412"/>
          <cell r="E412"/>
          <cell r="F412"/>
          <cell r="G412"/>
          <cell r="H412"/>
        </row>
        <row r="413">
          <cell r="A413"/>
          <cell r="B413"/>
          <cell r="C413"/>
          <cell r="D413"/>
          <cell r="E413"/>
          <cell r="F413"/>
          <cell r="G413"/>
          <cell r="H413"/>
        </row>
        <row r="414">
          <cell r="A414"/>
          <cell r="B414"/>
          <cell r="C414"/>
          <cell r="D414"/>
          <cell r="E414"/>
          <cell r="F414"/>
          <cell r="G414"/>
          <cell r="H414"/>
        </row>
        <row r="415">
          <cell r="A415"/>
          <cell r="B415"/>
          <cell r="C415"/>
          <cell r="D415"/>
          <cell r="E415"/>
          <cell r="F415"/>
          <cell r="G415"/>
          <cell r="H415"/>
        </row>
        <row r="416">
          <cell r="A416"/>
          <cell r="B416"/>
          <cell r="C416"/>
          <cell r="D416"/>
          <cell r="E416"/>
          <cell r="F416"/>
          <cell r="G416"/>
          <cell r="H416"/>
        </row>
        <row r="417">
          <cell r="A417"/>
          <cell r="B417"/>
          <cell r="C417"/>
          <cell r="D417"/>
          <cell r="E417"/>
          <cell r="F417"/>
          <cell r="G417"/>
          <cell r="H417"/>
        </row>
        <row r="418">
          <cell r="A418"/>
          <cell r="B418"/>
          <cell r="C418"/>
          <cell r="D418"/>
          <cell r="E418"/>
          <cell r="F418"/>
          <cell r="G418"/>
          <cell r="H418"/>
        </row>
        <row r="419">
          <cell r="A419"/>
          <cell r="B419"/>
          <cell r="C419"/>
          <cell r="D419"/>
          <cell r="E419"/>
          <cell r="F419"/>
          <cell r="G419"/>
          <cell r="H419"/>
        </row>
        <row r="420">
          <cell r="A420"/>
          <cell r="B420"/>
          <cell r="C420"/>
          <cell r="D420"/>
          <cell r="E420"/>
          <cell r="F420"/>
          <cell r="G420"/>
          <cell r="H420"/>
        </row>
        <row r="421">
          <cell r="A421"/>
          <cell r="B421"/>
          <cell r="C421"/>
          <cell r="D421"/>
          <cell r="E421"/>
          <cell r="F421"/>
          <cell r="G421"/>
          <cell r="H421"/>
        </row>
        <row r="422">
          <cell r="A422"/>
          <cell r="B422"/>
          <cell r="C422"/>
          <cell r="D422"/>
          <cell r="E422"/>
          <cell r="F422"/>
          <cell r="G422"/>
          <cell r="H422"/>
        </row>
        <row r="423">
          <cell r="A423"/>
          <cell r="B423"/>
          <cell r="C423"/>
          <cell r="D423"/>
          <cell r="E423"/>
          <cell r="F423"/>
          <cell r="G423"/>
          <cell r="H423"/>
        </row>
        <row r="424">
          <cell r="A424"/>
          <cell r="B424"/>
          <cell r="C424"/>
          <cell r="D424"/>
          <cell r="E424"/>
          <cell r="F424"/>
          <cell r="G424"/>
          <cell r="H424"/>
        </row>
        <row r="425">
          <cell r="A425"/>
          <cell r="B425"/>
          <cell r="C425"/>
          <cell r="D425"/>
          <cell r="E425"/>
          <cell r="F425"/>
          <cell r="G425"/>
          <cell r="H425"/>
        </row>
        <row r="426">
          <cell r="A426"/>
          <cell r="B426"/>
          <cell r="C426"/>
          <cell r="D426"/>
          <cell r="E426"/>
          <cell r="F426"/>
          <cell r="G426"/>
          <cell r="H426"/>
        </row>
        <row r="427">
          <cell r="A427"/>
          <cell r="B427"/>
          <cell r="C427"/>
          <cell r="D427"/>
          <cell r="E427"/>
          <cell r="F427"/>
          <cell r="G427"/>
          <cell r="H427"/>
        </row>
        <row r="428">
          <cell r="A428"/>
          <cell r="B428"/>
          <cell r="C428"/>
          <cell r="D428"/>
          <cell r="E428"/>
          <cell r="F428"/>
          <cell r="G428"/>
          <cell r="H428"/>
        </row>
        <row r="429">
          <cell r="A429"/>
          <cell r="B429"/>
          <cell r="C429"/>
          <cell r="D429"/>
          <cell r="E429"/>
          <cell r="F429"/>
          <cell r="G429"/>
          <cell r="H429"/>
        </row>
        <row r="430">
          <cell r="A430"/>
          <cell r="B430"/>
          <cell r="C430"/>
          <cell r="D430"/>
          <cell r="E430"/>
          <cell r="F430"/>
          <cell r="G430"/>
          <cell r="H430"/>
        </row>
        <row r="431">
          <cell r="A431"/>
          <cell r="B431"/>
          <cell r="C431"/>
          <cell r="D431"/>
          <cell r="E431"/>
          <cell r="F431"/>
          <cell r="G431"/>
          <cell r="H431"/>
        </row>
        <row r="432">
          <cell r="A432"/>
          <cell r="B432"/>
          <cell r="C432"/>
          <cell r="D432"/>
          <cell r="E432"/>
          <cell r="F432"/>
          <cell r="G432"/>
          <cell r="H432"/>
        </row>
        <row r="433">
          <cell r="A433"/>
          <cell r="B433"/>
          <cell r="C433"/>
          <cell r="D433"/>
          <cell r="E433"/>
          <cell r="F433"/>
          <cell r="G433"/>
          <cell r="H433"/>
        </row>
        <row r="434">
          <cell r="A434"/>
          <cell r="B434"/>
          <cell r="C434"/>
          <cell r="D434"/>
          <cell r="E434"/>
          <cell r="F434"/>
          <cell r="G434"/>
          <cell r="H434"/>
        </row>
        <row r="435">
          <cell r="A435"/>
          <cell r="B435"/>
          <cell r="C435"/>
          <cell r="D435"/>
          <cell r="E435"/>
          <cell r="F435"/>
          <cell r="G435"/>
          <cell r="H435"/>
        </row>
        <row r="436">
          <cell r="A436"/>
          <cell r="B436"/>
          <cell r="C436"/>
          <cell r="D436"/>
          <cell r="E436"/>
          <cell r="F436"/>
          <cell r="G436"/>
          <cell r="H436"/>
        </row>
        <row r="437">
          <cell r="A437"/>
          <cell r="B437"/>
          <cell r="C437"/>
          <cell r="D437"/>
          <cell r="E437"/>
          <cell r="F437"/>
          <cell r="G437"/>
          <cell r="H437"/>
        </row>
        <row r="438">
          <cell r="A438"/>
          <cell r="B438"/>
          <cell r="C438"/>
          <cell r="D438"/>
          <cell r="E438"/>
          <cell r="F438"/>
          <cell r="G438"/>
          <cell r="H438"/>
        </row>
        <row r="439">
          <cell r="A439"/>
          <cell r="B439"/>
          <cell r="C439"/>
          <cell r="D439"/>
          <cell r="E439"/>
          <cell r="F439"/>
          <cell r="G439"/>
          <cell r="H439"/>
        </row>
        <row r="440">
          <cell r="A440"/>
          <cell r="B440"/>
          <cell r="C440"/>
          <cell r="D440"/>
          <cell r="E440"/>
          <cell r="F440"/>
          <cell r="G440"/>
          <cell r="H440"/>
        </row>
        <row r="441">
          <cell r="A441"/>
          <cell r="B441"/>
          <cell r="C441"/>
          <cell r="D441"/>
          <cell r="E441"/>
          <cell r="F441"/>
          <cell r="G441"/>
          <cell r="H441"/>
        </row>
        <row r="442">
          <cell r="A442"/>
          <cell r="B442"/>
          <cell r="C442"/>
          <cell r="D442"/>
          <cell r="E442"/>
          <cell r="F442"/>
          <cell r="G442"/>
          <cell r="H442"/>
        </row>
        <row r="443">
          <cell r="A443"/>
          <cell r="B443"/>
          <cell r="C443"/>
          <cell r="D443"/>
          <cell r="E443"/>
          <cell r="F443"/>
          <cell r="G443"/>
          <cell r="H443"/>
        </row>
        <row r="444">
          <cell r="A444"/>
          <cell r="B444"/>
          <cell r="C444"/>
          <cell r="D444"/>
          <cell r="E444"/>
          <cell r="F444"/>
          <cell r="G444"/>
          <cell r="H444"/>
        </row>
        <row r="445">
          <cell r="A445"/>
          <cell r="B445"/>
          <cell r="C445"/>
          <cell r="D445"/>
          <cell r="E445"/>
          <cell r="F445"/>
          <cell r="G445"/>
          <cell r="H445"/>
        </row>
        <row r="446">
          <cell r="A446"/>
          <cell r="B446"/>
          <cell r="C446"/>
          <cell r="D446"/>
          <cell r="E446"/>
          <cell r="F446"/>
          <cell r="G446"/>
          <cell r="H446"/>
        </row>
        <row r="447">
          <cell r="A447"/>
          <cell r="B447"/>
          <cell r="C447"/>
          <cell r="D447"/>
          <cell r="E447"/>
          <cell r="F447"/>
          <cell r="G447"/>
          <cell r="H447"/>
        </row>
        <row r="448">
          <cell r="A448"/>
          <cell r="B448"/>
          <cell r="C448"/>
          <cell r="D448"/>
          <cell r="E448"/>
          <cell r="F448"/>
          <cell r="G448"/>
          <cell r="H448"/>
        </row>
        <row r="449">
          <cell r="A449"/>
          <cell r="B449"/>
          <cell r="C449"/>
          <cell r="D449"/>
          <cell r="E449"/>
          <cell r="F449"/>
          <cell r="G449"/>
          <cell r="H449"/>
        </row>
        <row r="450">
          <cell r="A450"/>
          <cell r="B450"/>
          <cell r="C450"/>
          <cell r="D450"/>
          <cell r="E450"/>
          <cell r="F450"/>
          <cell r="G450"/>
          <cell r="H450"/>
        </row>
        <row r="451">
          <cell r="A451"/>
          <cell r="B451"/>
          <cell r="C451"/>
          <cell r="D451"/>
          <cell r="E451"/>
          <cell r="F451"/>
          <cell r="G451"/>
          <cell r="H451"/>
        </row>
        <row r="452">
          <cell r="A452"/>
          <cell r="B452"/>
          <cell r="C452"/>
          <cell r="D452"/>
          <cell r="E452"/>
          <cell r="F452"/>
          <cell r="G452"/>
          <cell r="H452"/>
        </row>
        <row r="453">
          <cell r="A453"/>
          <cell r="B453"/>
          <cell r="C453"/>
          <cell r="D453"/>
          <cell r="E453"/>
          <cell r="F453"/>
          <cell r="G453"/>
          <cell r="H453"/>
        </row>
        <row r="454">
          <cell r="A454"/>
          <cell r="B454"/>
          <cell r="C454"/>
          <cell r="D454"/>
          <cell r="E454"/>
          <cell r="F454"/>
          <cell r="G454"/>
          <cell r="H454"/>
        </row>
        <row r="455">
          <cell r="A455"/>
          <cell r="B455"/>
          <cell r="C455"/>
          <cell r="D455"/>
          <cell r="E455"/>
          <cell r="F455"/>
          <cell r="G455"/>
          <cell r="H455"/>
        </row>
        <row r="456">
          <cell r="A456"/>
          <cell r="B456"/>
          <cell r="C456"/>
          <cell r="D456"/>
          <cell r="E456"/>
          <cell r="F456"/>
          <cell r="G456"/>
          <cell r="H456"/>
        </row>
        <row r="457">
          <cell r="A457"/>
          <cell r="B457"/>
          <cell r="C457"/>
          <cell r="D457"/>
          <cell r="E457"/>
          <cell r="F457"/>
          <cell r="G457"/>
          <cell r="H457"/>
        </row>
        <row r="458">
          <cell r="A458"/>
          <cell r="B458"/>
          <cell r="C458"/>
          <cell r="D458"/>
          <cell r="E458"/>
          <cell r="F458"/>
          <cell r="G458"/>
          <cell r="H458"/>
        </row>
        <row r="459">
          <cell r="A459"/>
          <cell r="B459"/>
          <cell r="C459"/>
          <cell r="D459"/>
          <cell r="E459"/>
          <cell r="F459"/>
          <cell r="G459"/>
          <cell r="H459"/>
        </row>
        <row r="460">
          <cell r="A460"/>
          <cell r="B460"/>
          <cell r="C460"/>
          <cell r="D460"/>
          <cell r="E460"/>
          <cell r="F460"/>
          <cell r="G460"/>
          <cell r="H460"/>
        </row>
        <row r="461">
          <cell r="A461"/>
          <cell r="B461"/>
          <cell r="C461"/>
          <cell r="D461"/>
          <cell r="E461"/>
          <cell r="F461"/>
          <cell r="G461"/>
          <cell r="H461"/>
        </row>
        <row r="462">
          <cell r="A462"/>
          <cell r="B462"/>
          <cell r="C462"/>
          <cell r="D462"/>
          <cell r="E462"/>
          <cell r="F462"/>
          <cell r="G462"/>
          <cell r="H462"/>
        </row>
        <row r="463">
          <cell r="A463"/>
          <cell r="B463"/>
          <cell r="C463"/>
          <cell r="D463"/>
          <cell r="E463"/>
          <cell r="F463"/>
          <cell r="G463"/>
          <cell r="H463"/>
        </row>
        <row r="464">
          <cell r="A464"/>
          <cell r="B464"/>
          <cell r="C464"/>
          <cell r="D464"/>
          <cell r="E464"/>
          <cell r="F464"/>
          <cell r="G464"/>
          <cell r="H464"/>
        </row>
        <row r="465">
          <cell r="A465"/>
          <cell r="B465"/>
          <cell r="C465"/>
          <cell r="D465"/>
          <cell r="E465"/>
          <cell r="F465"/>
          <cell r="G465"/>
          <cell r="H465"/>
        </row>
        <row r="466">
          <cell r="A466"/>
          <cell r="B466"/>
          <cell r="C466"/>
          <cell r="D466"/>
          <cell r="E466"/>
          <cell r="F466"/>
          <cell r="G466"/>
          <cell r="H466"/>
        </row>
        <row r="467">
          <cell r="A467"/>
          <cell r="B467"/>
          <cell r="C467"/>
          <cell r="D467"/>
          <cell r="E467"/>
          <cell r="F467"/>
          <cell r="G467"/>
          <cell r="H467"/>
        </row>
        <row r="468">
          <cell r="A468"/>
          <cell r="B468"/>
          <cell r="C468"/>
          <cell r="D468"/>
          <cell r="E468"/>
          <cell r="F468"/>
          <cell r="G468"/>
          <cell r="H468"/>
        </row>
        <row r="469">
          <cell r="A469"/>
          <cell r="B469"/>
          <cell r="C469"/>
          <cell r="D469"/>
          <cell r="E469"/>
          <cell r="F469"/>
          <cell r="G469"/>
          <cell r="H469"/>
        </row>
        <row r="470">
          <cell r="A470"/>
          <cell r="B470"/>
          <cell r="C470"/>
          <cell r="D470"/>
          <cell r="E470"/>
          <cell r="F470"/>
          <cell r="G470"/>
          <cell r="H470"/>
        </row>
        <row r="471">
          <cell r="A471"/>
          <cell r="B471"/>
          <cell r="C471"/>
          <cell r="D471"/>
          <cell r="E471"/>
          <cell r="F471"/>
          <cell r="G471"/>
          <cell r="H471"/>
        </row>
        <row r="472">
          <cell r="A472"/>
          <cell r="B472"/>
          <cell r="C472"/>
          <cell r="D472"/>
          <cell r="E472"/>
          <cell r="F472"/>
          <cell r="G472"/>
          <cell r="H472"/>
        </row>
        <row r="473">
          <cell r="A473"/>
          <cell r="B473"/>
          <cell r="C473"/>
          <cell r="D473"/>
          <cell r="E473"/>
          <cell r="F473"/>
          <cell r="G473"/>
          <cell r="H473"/>
        </row>
        <row r="474">
          <cell r="A474"/>
          <cell r="B474"/>
          <cell r="C474"/>
          <cell r="D474"/>
          <cell r="E474"/>
          <cell r="F474"/>
          <cell r="G474"/>
          <cell r="H474"/>
        </row>
        <row r="475">
          <cell r="A475"/>
          <cell r="B475"/>
          <cell r="C475"/>
          <cell r="D475"/>
          <cell r="E475"/>
          <cell r="F475"/>
          <cell r="G475"/>
          <cell r="H475"/>
        </row>
        <row r="476">
          <cell r="A476"/>
          <cell r="B476"/>
          <cell r="C476"/>
          <cell r="D476"/>
          <cell r="E476"/>
          <cell r="F476"/>
          <cell r="G476"/>
          <cell r="H476"/>
        </row>
        <row r="477">
          <cell r="A477"/>
          <cell r="B477"/>
          <cell r="C477"/>
          <cell r="D477"/>
          <cell r="E477"/>
          <cell r="F477"/>
          <cell r="G477"/>
          <cell r="H477"/>
        </row>
        <row r="478">
          <cell r="A478"/>
          <cell r="B478"/>
          <cell r="C478"/>
          <cell r="D478"/>
          <cell r="E478"/>
          <cell r="F478"/>
          <cell r="G478"/>
          <cell r="H478"/>
        </row>
        <row r="479">
          <cell r="A479"/>
          <cell r="B479"/>
          <cell r="C479"/>
          <cell r="D479"/>
          <cell r="E479"/>
          <cell r="F479"/>
          <cell r="G479"/>
          <cell r="H479"/>
        </row>
        <row r="480">
          <cell r="A480"/>
          <cell r="B480"/>
          <cell r="C480"/>
          <cell r="D480"/>
          <cell r="E480"/>
          <cell r="F480"/>
          <cell r="G480"/>
          <cell r="H480"/>
        </row>
        <row r="481">
          <cell r="A481"/>
          <cell r="B481"/>
          <cell r="C481"/>
          <cell r="D481"/>
          <cell r="E481"/>
          <cell r="F481"/>
          <cell r="G481"/>
          <cell r="H481"/>
        </row>
        <row r="482">
          <cell r="A482"/>
          <cell r="B482"/>
          <cell r="C482"/>
          <cell r="D482"/>
          <cell r="E482"/>
          <cell r="F482"/>
          <cell r="G482"/>
          <cell r="H482"/>
        </row>
        <row r="483">
          <cell r="A483"/>
          <cell r="B483"/>
          <cell r="C483"/>
          <cell r="D483"/>
          <cell r="E483"/>
          <cell r="F483"/>
          <cell r="G483"/>
          <cell r="H483"/>
        </row>
        <row r="484">
          <cell r="A484"/>
          <cell r="B484"/>
          <cell r="C484"/>
          <cell r="D484"/>
          <cell r="E484"/>
          <cell r="F484"/>
          <cell r="G484"/>
          <cell r="H484"/>
        </row>
        <row r="485">
          <cell r="A485"/>
          <cell r="B485"/>
          <cell r="C485"/>
          <cell r="D485"/>
          <cell r="E485"/>
          <cell r="F485"/>
          <cell r="G485"/>
          <cell r="H485"/>
        </row>
        <row r="486">
          <cell r="A486"/>
          <cell r="B486"/>
          <cell r="C486"/>
          <cell r="D486"/>
          <cell r="E486"/>
          <cell r="F486"/>
          <cell r="G486"/>
          <cell r="H486"/>
        </row>
        <row r="487">
          <cell r="A487"/>
          <cell r="B487"/>
          <cell r="C487"/>
          <cell r="D487"/>
          <cell r="E487"/>
          <cell r="F487"/>
          <cell r="G487"/>
          <cell r="H487"/>
        </row>
        <row r="488">
          <cell r="A488"/>
          <cell r="B488"/>
          <cell r="C488"/>
          <cell r="D488"/>
          <cell r="E488"/>
          <cell r="F488"/>
          <cell r="G488"/>
          <cell r="H488"/>
        </row>
        <row r="489">
          <cell r="A489"/>
          <cell r="B489"/>
          <cell r="C489"/>
          <cell r="D489"/>
          <cell r="E489"/>
          <cell r="F489"/>
          <cell r="G489"/>
          <cell r="H489"/>
        </row>
        <row r="490">
          <cell r="A490"/>
          <cell r="B490"/>
          <cell r="C490"/>
          <cell r="D490"/>
          <cell r="E490"/>
          <cell r="F490"/>
          <cell r="G490"/>
          <cell r="H490"/>
        </row>
        <row r="491">
          <cell r="A491"/>
          <cell r="B491"/>
          <cell r="C491"/>
          <cell r="D491"/>
          <cell r="E491"/>
          <cell r="F491"/>
          <cell r="G491"/>
          <cell r="H491"/>
        </row>
        <row r="492">
          <cell r="A492"/>
          <cell r="B492"/>
          <cell r="C492"/>
          <cell r="D492"/>
          <cell r="E492"/>
          <cell r="F492"/>
          <cell r="G492"/>
          <cell r="H492"/>
        </row>
        <row r="493">
          <cell r="A493"/>
          <cell r="B493"/>
          <cell r="C493"/>
          <cell r="D493"/>
          <cell r="E493"/>
          <cell r="F493"/>
          <cell r="G493"/>
          <cell r="H493"/>
        </row>
        <row r="494">
          <cell r="A494"/>
          <cell r="B494"/>
          <cell r="C494"/>
          <cell r="D494"/>
          <cell r="E494"/>
          <cell r="F494"/>
          <cell r="G494"/>
          <cell r="H494"/>
        </row>
        <row r="495">
          <cell r="A495"/>
          <cell r="B495"/>
          <cell r="C495"/>
          <cell r="D495"/>
          <cell r="E495"/>
          <cell r="F495"/>
          <cell r="G495"/>
          <cell r="H495"/>
        </row>
        <row r="496">
          <cell r="A496"/>
          <cell r="B496"/>
          <cell r="C496"/>
          <cell r="D496"/>
          <cell r="E496"/>
          <cell r="F496"/>
          <cell r="G496"/>
          <cell r="H496"/>
        </row>
        <row r="497">
          <cell r="A497"/>
          <cell r="B497"/>
          <cell r="C497"/>
          <cell r="D497"/>
          <cell r="E497"/>
          <cell r="F497"/>
          <cell r="G497"/>
          <cell r="H497"/>
        </row>
        <row r="498">
          <cell r="A498"/>
          <cell r="B498"/>
          <cell r="C498"/>
          <cell r="D498"/>
          <cell r="E498"/>
          <cell r="F498"/>
          <cell r="G498"/>
          <cell r="H498"/>
        </row>
        <row r="499">
          <cell r="A499"/>
          <cell r="B499"/>
          <cell r="C499"/>
          <cell r="D499"/>
          <cell r="E499"/>
          <cell r="F499"/>
          <cell r="G499"/>
          <cell r="H499"/>
        </row>
        <row r="500">
          <cell r="A500"/>
          <cell r="B500"/>
          <cell r="C500"/>
          <cell r="D500"/>
          <cell r="E500"/>
          <cell r="F500"/>
          <cell r="G500"/>
          <cell r="H500"/>
        </row>
        <row r="501">
          <cell r="A501"/>
          <cell r="B501"/>
          <cell r="C501"/>
          <cell r="D501"/>
          <cell r="E501"/>
          <cell r="F501"/>
          <cell r="G501"/>
          <cell r="H501"/>
        </row>
        <row r="502">
          <cell r="A502"/>
          <cell r="B502"/>
          <cell r="C502"/>
          <cell r="D502"/>
          <cell r="E502"/>
          <cell r="F502"/>
          <cell r="G502"/>
          <cell r="H502"/>
        </row>
        <row r="503">
          <cell r="A503"/>
          <cell r="B503"/>
          <cell r="C503"/>
          <cell r="D503"/>
          <cell r="E503"/>
          <cell r="F503"/>
          <cell r="G503"/>
          <cell r="H503"/>
        </row>
        <row r="504">
          <cell r="A504"/>
          <cell r="B504"/>
          <cell r="C504"/>
          <cell r="D504"/>
          <cell r="E504"/>
          <cell r="F504"/>
          <cell r="G504"/>
          <cell r="H504"/>
        </row>
        <row r="505">
          <cell r="A505"/>
          <cell r="B505"/>
          <cell r="C505"/>
          <cell r="D505"/>
          <cell r="E505"/>
          <cell r="F505"/>
          <cell r="G505"/>
          <cell r="H505"/>
        </row>
        <row r="506">
          <cell r="A506"/>
          <cell r="B506"/>
          <cell r="C506"/>
          <cell r="D506"/>
          <cell r="E506"/>
          <cell r="F506"/>
          <cell r="G506"/>
          <cell r="H506"/>
        </row>
        <row r="507">
          <cell r="A507"/>
          <cell r="B507"/>
          <cell r="C507"/>
          <cell r="D507"/>
          <cell r="E507"/>
          <cell r="F507"/>
          <cell r="G507"/>
          <cell r="H507"/>
        </row>
        <row r="508">
          <cell r="A508"/>
          <cell r="B508"/>
          <cell r="C508"/>
          <cell r="D508"/>
          <cell r="E508"/>
          <cell r="F508"/>
          <cell r="G508"/>
          <cell r="H508"/>
        </row>
        <row r="509">
          <cell r="A509"/>
          <cell r="B509"/>
          <cell r="C509"/>
          <cell r="D509"/>
          <cell r="E509"/>
          <cell r="F509"/>
          <cell r="G509"/>
          <cell r="H509"/>
        </row>
        <row r="510">
          <cell r="A510"/>
          <cell r="B510"/>
          <cell r="C510"/>
          <cell r="D510"/>
          <cell r="E510"/>
          <cell r="F510"/>
          <cell r="G510"/>
          <cell r="H510"/>
        </row>
        <row r="511">
          <cell r="A511"/>
          <cell r="B511"/>
          <cell r="C511"/>
          <cell r="D511"/>
          <cell r="E511"/>
          <cell r="F511"/>
          <cell r="G511"/>
          <cell r="H511"/>
        </row>
        <row r="512">
          <cell r="A512"/>
          <cell r="B512"/>
          <cell r="C512"/>
          <cell r="D512"/>
          <cell r="E512"/>
          <cell r="F512"/>
          <cell r="G512"/>
          <cell r="H512"/>
        </row>
        <row r="513">
          <cell r="A513"/>
          <cell r="B513"/>
          <cell r="C513"/>
          <cell r="D513"/>
          <cell r="E513"/>
          <cell r="F513"/>
          <cell r="G513"/>
          <cell r="H513"/>
        </row>
        <row r="514">
          <cell r="A514"/>
          <cell r="B514"/>
          <cell r="C514"/>
          <cell r="D514"/>
          <cell r="E514"/>
          <cell r="F514"/>
          <cell r="G514"/>
          <cell r="H514"/>
        </row>
        <row r="515">
          <cell r="A515"/>
          <cell r="B515"/>
          <cell r="C515"/>
          <cell r="D515"/>
          <cell r="E515"/>
          <cell r="F515"/>
          <cell r="G515"/>
          <cell r="H515"/>
        </row>
        <row r="516">
          <cell r="A516"/>
          <cell r="B516"/>
          <cell r="C516"/>
          <cell r="D516"/>
          <cell r="E516"/>
          <cell r="F516"/>
          <cell r="G516"/>
          <cell r="H516"/>
        </row>
        <row r="517">
          <cell r="A517"/>
          <cell r="B517"/>
          <cell r="C517"/>
          <cell r="D517"/>
          <cell r="E517"/>
          <cell r="F517"/>
          <cell r="G517"/>
          <cell r="H517"/>
        </row>
        <row r="518">
          <cell r="A518"/>
          <cell r="B518"/>
          <cell r="C518"/>
          <cell r="D518"/>
          <cell r="E518"/>
          <cell r="F518"/>
          <cell r="G518"/>
          <cell r="H518"/>
        </row>
        <row r="519">
          <cell r="A519"/>
          <cell r="B519"/>
          <cell r="C519"/>
          <cell r="D519"/>
          <cell r="E519"/>
          <cell r="F519"/>
          <cell r="G519"/>
          <cell r="H519"/>
        </row>
        <row r="520">
          <cell r="A520"/>
          <cell r="B520"/>
          <cell r="C520"/>
          <cell r="D520"/>
          <cell r="E520"/>
          <cell r="F520"/>
          <cell r="G520"/>
          <cell r="H520"/>
        </row>
        <row r="521">
          <cell r="A521"/>
          <cell r="B521"/>
          <cell r="C521"/>
          <cell r="D521"/>
          <cell r="E521"/>
          <cell r="F521"/>
          <cell r="G521"/>
          <cell r="H521"/>
        </row>
        <row r="522">
          <cell r="A522"/>
          <cell r="B522"/>
          <cell r="C522"/>
          <cell r="D522"/>
          <cell r="E522"/>
          <cell r="F522"/>
          <cell r="G522"/>
          <cell r="H522"/>
        </row>
        <row r="523">
          <cell r="A523"/>
          <cell r="B523"/>
          <cell r="C523"/>
          <cell r="D523"/>
          <cell r="E523"/>
          <cell r="F523"/>
          <cell r="G523"/>
          <cell r="H523"/>
        </row>
        <row r="524">
          <cell r="A524"/>
          <cell r="B524"/>
          <cell r="C524"/>
          <cell r="D524"/>
          <cell r="E524"/>
          <cell r="F524"/>
          <cell r="G524"/>
          <cell r="H524"/>
        </row>
        <row r="525">
          <cell r="A525"/>
          <cell r="B525"/>
          <cell r="C525"/>
          <cell r="D525"/>
          <cell r="E525"/>
          <cell r="F525"/>
          <cell r="G525"/>
          <cell r="H525"/>
        </row>
        <row r="526">
          <cell r="A526"/>
          <cell r="B526"/>
          <cell r="C526"/>
          <cell r="D526"/>
          <cell r="E526"/>
          <cell r="F526"/>
          <cell r="G526"/>
          <cell r="H526"/>
        </row>
        <row r="527">
          <cell r="A527"/>
          <cell r="B527"/>
          <cell r="C527"/>
          <cell r="D527"/>
          <cell r="E527"/>
          <cell r="F527"/>
          <cell r="G527"/>
          <cell r="H527"/>
        </row>
        <row r="528">
          <cell r="A528"/>
          <cell r="B528"/>
          <cell r="C528"/>
          <cell r="D528"/>
          <cell r="E528"/>
          <cell r="F528"/>
          <cell r="G528"/>
          <cell r="H528"/>
        </row>
        <row r="529">
          <cell r="A529"/>
          <cell r="B529"/>
          <cell r="C529"/>
          <cell r="D529"/>
          <cell r="E529"/>
          <cell r="F529"/>
          <cell r="G529"/>
          <cell r="H529"/>
        </row>
        <row r="530">
          <cell r="A530"/>
          <cell r="B530"/>
          <cell r="C530"/>
          <cell r="D530"/>
          <cell r="E530"/>
          <cell r="F530"/>
          <cell r="G530"/>
          <cell r="H530"/>
        </row>
        <row r="531">
          <cell r="A531"/>
          <cell r="B531"/>
          <cell r="C531"/>
          <cell r="D531"/>
          <cell r="E531"/>
          <cell r="F531"/>
          <cell r="G531"/>
          <cell r="H531"/>
        </row>
        <row r="532">
          <cell r="A532"/>
          <cell r="B532"/>
          <cell r="C532"/>
          <cell r="D532"/>
          <cell r="E532"/>
          <cell r="F532"/>
          <cell r="G532"/>
          <cell r="H532"/>
        </row>
        <row r="533">
          <cell r="A533"/>
          <cell r="B533"/>
          <cell r="C533"/>
          <cell r="D533"/>
          <cell r="E533"/>
          <cell r="F533"/>
          <cell r="G533"/>
          <cell r="H533"/>
        </row>
        <row r="534">
          <cell r="A534"/>
          <cell r="B534"/>
          <cell r="C534"/>
          <cell r="D534"/>
          <cell r="E534"/>
          <cell r="F534"/>
          <cell r="G534"/>
          <cell r="H534"/>
        </row>
        <row r="535">
          <cell r="A535"/>
          <cell r="B535"/>
          <cell r="C535"/>
          <cell r="D535"/>
          <cell r="E535"/>
          <cell r="F535"/>
          <cell r="G535"/>
          <cell r="H535"/>
        </row>
        <row r="536">
          <cell r="A536"/>
          <cell r="B536"/>
          <cell r="C536"/>
          <cell r="D536"/>
          <cell r="E536"/>
          <cell r="F536"/>
          <cell r="G536"/>
          <cell r="H536"/>
        </row>
        <row r="537">
          <cell r="A537"/>
          <cell r="B537"/>
          <cell r="C537"/>
          <cell r="D537"/>
          <cell r="E537"/>
          <cell r="F537"/>
          <cell r="G537"/>
          <cell r="H537"/>
        </row>
        <row r="538">
          <cell r="A538"/>
          <cell r="B538"/>
          <cell r="C538"/>
          <cell r="D538"/>
          <cell r="E538"/>
          <cell r="F538"/>
          <cell r="G538"/>
          <cell r="H538"/>
        </row>
        <row r="539">
          <cell r="A539"/>
          <cell r="B539"/>
          <cell r="C539"/>
          <cell r="D539"/>
          <cell r="E539"/>
          <cell r="F539"/>
          <cell r="G539"/>
          <cell r="H539"/>
        </row>
        <row r="540">
          <cell r="A540"/>
          <cell r="B540"/>
          <cell r="C540"/>
          <cell r="D540"/>
          <cell r="E540"/>
          <cell r="F540"/>
          <cell r="G540"/>
          <cell r="H540"/>
        </row>
        <row r="541">
          <cell r="A541"/>
          <cell r="B541"/>
          <cell r="C541"/>
          <cell r="D541"/>
          <cell r="E541"/>
          <cell r="F541"/>
          <cell r="G541"/>
          <cell r="H541"/>
        </row>
        <row r="542">
          <cell r="A542"/>
          <cell r="B542"/>
          <cell r="C542"/>
          <cell r="D542"/>
          <cell r="E542"/>
          <cell r="F542"/>
          <cell r="G542"/>
          <cell r="H542"/>
        </row>
        <row r="543">
          <cell r="A543"/>
          <cell r="B543"/>
          <cell r="C543"/>
          <cell r="D543"/>
          <cell r="E543"/>
          <cell r="F543"/>
          <cell r="G543"/>
          <cell r="H543"/>
        </row>
        <row r="544">
          <cell r="A544"/>
          <cell r="B544"/>
          <cell r="C544"/>
          <cell r="D544"/>
          <cell r="E544"/>
          <cell r="F544"/>
          <cell r="G544"/>
          <cell r="H544"/>
        </row>
        <row r="545">
          <cell r="A545"/>
          <cell r="B545"/>
          <cell r="C545"/>
          <cell r="D545"/>
          <cell r="E545"/>
          <cell r="F545"/>
          <cell r="G545"/>
          <cell r="H545"/>
        </row>
        <row r="546">
          <cell r="A546"/>
          <cell r="B546"/>
          <cell r="C546"/>
          <cell r="D546"/>
          <cell r="E546"/>
          <cell r="F546"/>
          <cell r="G546"/>
          <cell r="H546"/>
        </row>
        <row r="547">
          <cell r="A547"/>
          <cell r="B547"/>
          <cell r="C547"/>
          <cell r="D547"/>
          <cell r="E547"/>
          <cell r="F547"/>
          <cell r="G547"/>
          <cell r="H547"/>
        </row>
        <row r="548">
          <cell r="A548"/>
          <cell r="B548"/>
          <cell r="C548"/>
          <cell r="D548"/>
          <cell r="E548"/>
          <cell r="F548"/>
          <cell r="G548"/>
          <cell r="H548"/>
        </row>
        <row r="549">
          <cell r="A549"/>
          <cell r="B549"/>
          <cell r="C549"/>
          <cell r="D549"/>
          <cell r="E549"/>
          <cell r="F549"/>
          <cell r="G549"/>
          <cell r="H549"/>
        </row>
        <row r="550">
          <cell r="A550"/>
          <cell r="B550"/>
          <cell r="C550"/>
          <cell r="D550"/>
          <cell r="E550"/>
          <cell r="F550"/>
          <cell r="G550"/>
          <cell r="H550"/>
        </row>
        <row r="551">
          <cell r="A551"/>
          <cell r="B551"/>
          <cell r="C551"/>
          <cell r="D551"/>
          <cell r="E551"/>
          <cell r="F551"/>
          <cell r="G551"/>
          <cell r="H551"/>
        </row>
        <row r="552">
          <cell r="A552"/>
          <cell r="B552"/>
          <cell r="C552"/>
          <cell r="D552"/>
          <cell r="E552"/>
          <cell r="F552"/>
          <cell r="G552"/>
          <cell r="H552"/>
        </row>
        <row r="553">
          <cell r="A553"/>
          <cell r="B553"/>
          <cell r="C553"/>
          <cell r="D553"/>
          <cell r="E553"/>
          <cell r="F553"/>
          <cell r="G553"/>
          <cell r="H553"/>
        </row>
        <row r="554">
          <cell r="A554"/>
          <cell r="B554"/>
          <cell r="C554"/>
          <cell r="D554"/>
          <cell r="E554"/>
          <cell r="F554"/>
          <cell r="G554"/>
          <cell r="H554"/>
        </row>
        <row r="555">
          <cell r="A555"/>
          <cell r="B555"/>
          <cell r="C555"/>
          <cell r="D555"/>
          <cell r="E555"/>
          <cell r="F555"/>
          <cell r="G555"/>
          <cell r="H555"/>
        </row>
        <row r="556">
          <cell r="A556"/>
          <cell r="B556"/>
          <cell r="C556"/>
          <cell r="D556"/>
          <cell r="E556"/>
          <cell r="F556"/>
          <cell r="G556"/>
          <cell r="H556"/>
        </row>
        <row r="557">
          <cell r="A557"/>
          <cell r="B557"/>
          <cell r="C557"/>
          <cell r="D557"/>
          <cell r="E557"/>
          <cell r="F557"/>
          <cell r="G557"/>
          <cell r="H557"/>
        </row>
        <row r="558">
          <cell r="A558"/>
          <cell r="B558"/>
          <cell r="C558"/>
          <cell r="D558"/>
          <cell r="E558"/>
          <cell r="F558"/>
          <cell r="G558"/>
          <cell r="H558"/>
        </row>
        <row r="559">
          <cell r="A559"/>
          <cell r="B559"/>
          <cell r="C559"/>
          <cell r="D559"/>
          <cell r="E559"/>
          <cell r="F559"/>
          <cell r="G559"/>
          <cell r="H559"/>
        </row>
        <row r="560">
          <cell r="A560"/>
          <cell r="B560"/>
          <cell r="C560"/>
          <cell r="D560"/>
          <cell r="E560"/>
          <cell r="F560"/>
          <cell r="G560"/>
          <cell r="H560"/>
        </row>
        <row r="561">
          <cell r="A561"/>
          <cell r="B561"/>
          <cell r="C561"/>
          <cell r="D561"/>
          <cell r="E561"/>
          <cell r="F561"/>
          <cell r="G561"/>
          <cell r="H561"/>
        </row>
        <row r="562">
          <cell r="A562"/>
          <cell r="B562"/>
          <cell r="C562"/>
          <cell r="D562"/>
          <cell r="E562"/>
          <cell r="F562"/>
          <cell r="G562"/>
          <cell r="H562"/>
        </row>
        <row r="563">
          <cell r="A563"/>
          <cell r="B563"/>
          <cell r="C563"/>
          <cell r="D563"/>
          <cell r="E563"/>
          <cell r="F563"/>
          <cell r="G563"/>
          <cell r="H563"/>
        </row>
        <row r="564">
          <cell r="A564"/>
          <cell r="B564"/>
          <cell r="C564"/>
          <cell r="D564"/>
          <cell r="E564"/>
          <cell r="F564"/>
          <cell r="G564"/>
          <cell r="H564"/>
        </row>
        <row r="565">
          <cell r="A565"/>
          <cell r="B565"/>
          <cell r="C565"/>
          <cell r="D565"/>
          <cell r="E565"/>
          <cell r="F565"/>
          <cell r="G565"/>
          <cell r="H565"/>
        </row>
        <row r="566">
          <cell r="A566"/>
          <cell r="B566"/>
          <cell r="C566"/>
          <cell r="D566"/>
          <cell r="E566"/>
          <cell r="F566"/>
          <cell r="G566"/>
          <cell r="H566"/>
        </row>
        <row r="567">
          <cell r="A567"/>
          <cell r="B567"/>
          <cell r="C567"/>
          <cell r="D567"/>
          <cell r="E567"/>
          <cell r="F567"/>
          <cell r="G567"/>
          <cell r="H567"/>
        </row>
        <row r="568">
          <cell r="A568"/>
          <cell r="B568"/>
          <cell r="C568"/>
          <cell r="D568"/>
          <cell r="E568"/>
          <cell r="F568"/>
          <cell r="G568"/>
          <cell r="H568"/>
        </row>
        <row r="569">
          <cell r="A569"/>
          <cell r="B569"/>
          <cell r="C569"/>
          <cell r="D569"/>
          <cell r="E569"/>
          <cell r="F569"/>
          <cell r="G569"/>
          <cell r="H569"/>
        </row>
        <row r="570">
          <cell r="A570"/>
          <cell r="B570"/>
          <cell r="C570"/>
          <cell r="D570"/>
          <cell r="E570"/>
          <cell r="F570"/>
          <cell r="G570"/>
          <cell r="H570"/>
        </row>
        <row r="571">
          <cell r="A571"/>
          <cell r="B571"/>
          <cell r="C571"/>
          <cell r="D571"/>
          <cell r="E571"/>
          <cell r="F571"/>
          <cell r="G571"/>
          <cell r="H571"/>
        </row>
        <row r="572">
          <cell r="A572"/>
          <cell r="B572"/>
          <cell r="C572"/>
          <cell r="D572"/>
          <cell r="E572"/>
          <cell r="F572"/>
          <cell r="G572"/>
          <cell r="H572"/>
        </row>
        <row r="573">
          <cell r="A573"/>
          <cell r="B573"/>
          <cell r="C573"/>
          <cell r="D573"/>
          <cell r="E573"/>
          <cell r="F573"/>
          <cell r="G573"/>
          <cell r="H573"/>
        </row>
        <row r="574">
          <cell r="A574"/>
          <cell r="B574"/>
          <cell r="C574"/>
          <cell r="D574"/>
          <cell r="E574"/>
          <cell r="F574"/>
          <cell r="G574"/>
          <cell r="H574"/>
        </row>
        <row r="575">
          <cell r="A575"/>
          <cell r="B575"/>
          <cell r="C575"/>
          <cell r="D575"/>
          <cell r="E575"/>
          <cell r="F575"/>
          <cell r="G575"/>
          <cell r="H575"/>
        </row>
        <row r="576">
          <cell r="A576"/>
          <cell r="B576"/>
          <cell r="C576"/>
          <cell r="D576"/>
          <cell r="E576"/>
          <cell r="F576"/>
          <cell r="G576"/>
          <cell r="H576"/>
        </row>
        <row r="577">
          <cell r="A577"/>
          <cell r="B577"/>
          <cell r="C577"/>
          <cell r="D577"/>
          <cell r="E577"/>
          <cell r="F577"/>
          <cell r="G577"/>
          <cell r="H577"/>
        </row>
        <row r="578">
          <cell r="A578"/>
          <cell r="B578"/>
          <cell r="C578"/>
          <cell r="D578"/>
          <cell r="E578"/>
          <cell r="F578"/>
          <cell r="G578"/>
          <cell r="H578"/>
        </row>
        <row r="579">
          <cell r="A579"/>
          <cell r="B579"/>
          <cell r="C579"/>
          <cell r="D579"/>
          <cell r="E579"/>
          <cell r="F579"/>
          <cell r="G579"/>
          <cell r="H579"/>
        </row>
        <row r="580">
          <cell r="A580"/>
          <cell r="B580"/>
          <cell r="C580"/>
          <cell r="D580"/>
          <cell r="E580"/>
          <cell r="F580"/>
          <cell r="G580"/>
          <cell r="H580"/>
        </row>
        <row r="581">
          <cell r="A581"/>
          <cell r="B581"/>
          <cell r="C581"/>
          <cell r="D581"/>
          <cell r="E581"/>
          <cell r="F581"/>
          <cell r="G581"/>
          <cell r="H581"/>
        </row>
        <row r="582">
          <cell r="A582"/>
          <cell r="B582"/>
          <cell r="C582"/>
          <cell r="D582"/>
          <cell r="E582"/>
          <cell r="F582"/>
          <cell r="G582"/>
          <cell r="H582"/>
        </row>
        <row r="583">
          <cell r="A583"/>
          <cell r="B583"/>
          <cell r="C583"/>
          <cell r="D583"/>
          <cell r="E583"/>
          <cell r="F583"/>
          <cell r="G583"/>
          <cell r="H583"/>
        </row>
        <row r="584">
          <cell r="A584"/>
          <cell r="B584"/>
          <cell r="C584"/>
          <cell r="D584"/>
          <cell r="E584"/>
          <cell r="F584"/>
          <cell r="G584"/>
          <cell r="H584"/>
        </row>
        <row r="585">
          <cell r="A585"/>
          <cell r="B585"/>
          <cell r="C585"/>
          <cell r="D585"/>
          <cell r="E585"/>
          <cell r="F585"/>
          <cell r="G585"/>
          <cell r="H585"/>
        </row>
        <row r="586">
          <cell r="A586"/>
          <cell r="B586"/>
          <cell r="C586"/>
          <cell r="D586"/>
          <cell r="E586"/>
          <cell r="F586"/>
          <cell r="G586"/>
          <cell r="H586"/>
        </row>
        <row r="587">
          <cell r="A587"/>
          <cell r="B587"/>
          <cell r="C587"/>
          <cell r="D587"/>
          <cell r="E587"/>
          <cell r="F587"/>
          <cell r="G587"/>
          <cell r="H587"/>
        </row>
        <row r="588">
          <cell r="A588"/>
          <cell r="B588"/>
          <cell r="C588"/>
          <cell r="D588"/>
          <cell r="E588"/>
          <cell r="F588"/>
          <cell r="G588"/>
          <cell r="H588"/>
        </row>
        <row r="589">
          <cell r="A589"/>
          <cell r="B589"/>
          <cell r="C589"/>
          <cell r="D589"/>
          <cell r="E589"/>
          <cell r="F589"/>
          <cell r="G589"/>
          <cell r="H589"/>
        </row>
        <row r="590">
          <cell r="A590"/>
          <cell r="B590"/>
          <cell r="C590"/>
          <cell r="D590"/>
          <cell r="E590"/>
          <cell r="F590"/>
          <cell r="G590"/>
          <cell r="H590"/>
        </row>
        <row r="591">
          <cell r="A591"/>
          <cell r="B591"/>
          <cell r="C591"/>
          <cell r="D591"/>
          <cell r="E591"/>
          <cell r="F591"/>
          <cell r="G591"/>
          <cell r="H591"/>
        </row>
        <row r="592">
          <cell r="A592"/>
          <cell r="B592"/>
          <cell r="C592"/>
          <cell r="D592"/>
          <cell r="E592"/>
          <cell r="F592"/>
          <cell r="G592"/>
          <cell r="H592"/>
        </row>
        <row r="593">
          <cell r="A593"/>
          <cell r="B593"/>
          <cell r="C593"/>
          <cell r="D593"/>
          <cell r="E593"/>
          <cell r="F593"/>
          <cell r="G593"/>
          <cell r="H593"/>
        </row>
        <row r="594">
          <cell r="A594"/>
          <cell r="B594"/>
          <cell r="C594"/>
          <cell r="D594"/>
          <cell r="E594"/>
          <cell r="F594"/>
          <cell r="G594"/>
          <cell r="H594"/>
        </row>
        <row r="595">
          <cell r="A595"/>
          <cell r="B595"/>
          <cell r="C595"/>
          <cell r="D595"/>
          <cell r="E595"/>
          <cell r="F595"/>
          <cell r="G595"/>
          <cell r="H595"/>
        </row>
        <row r="596">
          <cell r="A596"/>
          <cell r="B596"/>
          <cell r="C596"/>
          <cell r="D596"/>
          <cell r="E596"/>
          <cell r="F596"/>
          <cell r="G596"/>
          <cell r="H596"/>
        </row>
        <row r="597">
          <cell r="A597"/>
          <cell r="B597"/>
          <cell r="C597"/>
          <cell r="D597"/>
          <cell r="E597"/>
          <cell r="F597"/>
          <cell r="G597"/>
          <cell r="H597"/>
        </row>
        <row r="598">
          <cell r="A598"/>
          <cell r="B598"/>
          <cell r="C598"/>
          <cell r="D598"/>
          <cell r="E598"/>
          <cell r="F598"/>
          <cell r="G598"/>
          <cell r="H598"/>
        </row>
        <row r="599">
          <cell r="A599"/>
          <cell r="B599"/>
          <cell r="C599"/>
          <cell r="D599"/>
          <cell r="E599"/>
          <cell r="F599"/>
          <cell r="G599"/>
          <cell r="H599"/>
        </row>
        <row r="600">
          <cell r="A600"/>
          <cell r="B600"/>
          <cell r="C600"/>
          <cell r="D600"/>
          <cell r="E600"/>
          <cell r="F600"/>
          <cell r="G600"/>
          <cell r="H600"/>
        </row>
        <row r="601">
          <cell r="A601"/>
          <cell r="B601"/>
          <cell r="C601"/>
          <cell r="D601"/>
          <cell r="E601"/>
          <cell r="F601"/>
          <cell r="G601"/>
          <cell r="H601"/>
        </row>
        <row r="602">
          <cell r="A602"/>
          <cell r="B602"/>
          <cell r="C602"/>
          <cell r="D602"/>
          <cell r="E602"/>
          <cell r="F602"/>
          <cell r="G602"/>
          <cell r="H602"/>
        </row>
        <row r="603">
          <cell r="A603"/>
          <cell r="B603"/>
          <cell r="C603"/>
          <cell r="D603"/>
          <cell r="E603"/>
          <cell r="F603"/>
          <cell r="G603"/>
          <cell r="H603"/>
        </row>
        <row r="604">
          <cell r="A604"/>
          <cell r="B604"/>
          <cell r="C604"/>
          <cell r="D604"/>
          <cell r="E604"/>
          <cell r="F604"/>
          <cell r="G604"/>
          <cell r="H604"/>
        </row>
        <row r="605">
          <cell r="A605"/>
          <cell r="B605"/>
          <cell r="C605"/>
          <cell r="D605"/>
          <cell r="E605"/>
          <cell r="F605"/>
          <cell r="G605"/>
          <cell r="H605"/>
        </row>
        <row r="606">
          <cell r="A606"/>
          <cell r="B606"/>
          <cell r="C606"/>
          <cell r="D606"/>
          <cell r="E606"/>
          <cell r="F606"/>
          <cell r="G606"/>
          <cell r="H606"/>
        </row>
        <row r="607">
          <cell r="A607"/>
          <cell r="B607"/>
          <cell r="C607"/>
          <cell r="D607"/>
          <cell r="E607"/>
          <cell r="F607"/>
          <cell r="G607"/>
          <cell r="H607"/>
        </row>
        <row r="608">
          <cell r="A608"/>
          <cell r="B608"/>
          <cell r="C608"/>
          <cell r="D608"/>
          <cell r="E608"/>
          <cell r="F608"/>
          <cell r="G608"/>
          <cell r="H608"/>
        </row>
        <row r="609">
          <cell r="A609"/>
          <cell r="B609"/>
          <cell r="C609"/>
          <cell r="D609"/>
          <cell r="E609"/>
          <cell r="F609"/>
          <cell r="G609"/>
          <cell r="H609"/>
        </row>
        <row r="610">
          <cell r="A610"/>
          <cell r="B610"/>
          <cell r="C610"/>
          <cell r="D610"/>
          <cell r="E610"/>
          <cell r="F610"/>
          <cell r="G610"/>
          <cell r="H610"/>
        </row>
        <row r="611">
          <cell r="A611"/>
          <cell r="B611"/>
          <cell r="C611"/>
          <cell r="D611"/>
          <cell r="E611"/>
          <cell r="F611"/>
          <cell r="G611"/>
          <cell r="H611"/>
        </row>
        <row r="612">
          <cell r="A612"/>
          <cell r="B612"/>
          <cell r="C612"/>
          <cell r="D612"/>
          <cell r="E612"/>
          <cell r="F612"/>
          <cell r="G612"/>
          <cell r="H612"/>
        </row>
        <row r="613">
          <cell r="A613"/>
          <cell r="B613"/>
          <cell r="C613"/>
          <cell r="D613"/>
          <cell r="E613"/>
          <cell r="F613"/>
          <cell r="G613"/>
          <cell r="H613"/>
        </row>
        <row r="614">
          <cell r="A614"/>
          <cell r="B614"/>
          <cell r="C614"/>
          <cell r="D614"/>
          <cell r="E614"/>
          <cell r="F614"/>
          <cell r="G614"/>
          <cell r="H614"/>
        </row>
        <row r="615">
          <cell r="A615"/>
          <cell r="B615"/>
          <cell r="C615"/>
          <cell r="D615"/>
          <cell r="E615"/>
          <cell r="F615"/>
          <cell r="G615"/>
          <cell r="H615"/>
        </row>
        <row r="616">
          <cell r="A616"/>
          <cell r="B616"/>
          <cell r="C616"/>
          <cell r="D616"/>
          <cell r="E616"/>
          <cell r="F616"/>
          <cell r="G616"/>
          <cell r="H616"/>
        </row>
        <row r="617">
          <cell r="A617"/>
          <cell r="B617"/>
          <cell r="C617"/>
          <cell r="D617"/>
          <cell r="E617"/>
          <cell r="F617"/>
          <cell r="G617"/>
          <cell r="H617"/>
        </row>
        <row r="618">
          <cell r="A618"/>
          <cell r="B618"/>
          <cell r="C618"/>
          <cell r="D618"/>
          <cell r="E618"/>
          <cell r="F618"/>
          <cell r="G618"/>
          <cell r="H618"/>
        </row>
        <row r="619">
          <cell r="A619"/>
          <cell r="B619"/>
          <cell r="C619"/>
          <cell r="D619"/>
          <cell r="E619"/>
          <cell r="F619"/>
          <cell r="G619"/>
          <cell r="H619"/>
        </row>
        <row r="620">
          <cell r="A620"/>
          <cell r="B620"/>
          <cell r="C620"/>
          <cell r="D620"/>
          <cell r="E620"/>
          <cell r="F620"/>
          <cell r="G620"/>
          <cell r="H620"/>
        </row>
        <row r="621">
          <cell r="A621"/>
          <cell r="B621"/>
          <cell r="C621"/>
          <cell r="D621"/>
          <cell r="E621"/>
          <cell r="F621"/>
          <cell r="G621"/>
          <cell r="H621"/>
        </row>
        <row r="622">
          <cell r="A622"/>
          <cell r="B622"/>
          <cell r="C622"/>
          <cell r="D622"/>
          <cell r="E622"/>
          <cell r="F622"/>
          <cell r="G622"/>
          <cell r="H622"/>
        </row>
        <row r="623">
          <cell r="A623"/>
          <cell r="B623"/>
          <cell r="C623"/>
          <cell r="D623"/>
          <cell r="E623"/>
          <cell r="F623"/>
          <cell r="G623"/>
          <cell r="H623"/>
        </row>
        <row r="624">
          <cell r="A624"/>
          <cell r="B624"/>
          <cell r="C624"/>
          <cell r="D624"/>
          <cell r="E624"/>
          <cell r="F624"/>
          <cell r="G624"/>
          <cell r="H624"/>
        </row>
        <row r="625">
          <cell r="A625"/>
          <cell r="B625"/>
          <cell r="C625"/>
          <cell r="D625"/>
          <cell r="E625"/>
          <cell r="F625"/>
          <cell r="G625"/>
          <cell r="H625"/>
        </row>
        <row r="626">
          <cell r="A626"/>
          <cell r="B626"/>
          <cell r="C626"/>
          <cell r="D626"/>
          <cell r="E626"/>
          <cell r="F626"/>
          <cell r="G626"/>
          <cell r="H626"/>
        </row>
        <row r="627">
          <cell r="A627"/>
          <cell r="B627"/>
          <cell r="C627"/>
          <cell r="D627"/>
          <cell r="E627"/>
          <cell r="F627"/>
          <cell r="G627"/>
          <cell r="H627"/>
        </row>
        <row r="628">
          <cell r="A628"/>
          <cell r="B628"/>
          <cell r="C628"/>
          <cell r="D628"/>
          <cell r="E628"/>
          <cell r="F628"/>
          <cell r="G628"/>
          <cell r="H628"/>
        </row>
        <row r="629">
          <cell r="A629"/>
          <cell r="B629"/>
          <cell r="C629"/>
          <cell r="D629"/>
          <cell r="E629"/>
          <cell r="F629"/>
          <cell r="G629"/>
          <cell r="H629"/>
        </row>
        <row r="630">
          <cell r="A630"/>
          <cell r="B630"/>
          <cell r="C630"/>
          <cell r="D630"/>
          <cell r="E630"/>
          <cell r="F630"/>
          <cell r="G630"/>
          <cell r="H630"/>
        </row>
        <row r="631">
          <cell r="A631"/>
          <cell r="B631"/>
          <cell r="C631"/>
          <cell r="D631"/>
          <cell r="E631"/>
          <cell r="F631"/>
          <cell r="G631"/>
          <cell r="H631"/>
        </row>
        <row r="632">
          <cell r="A632"/>
          <cell r="B632"/>
          <cell r="C632"/>
          <cell r="D632"/>
          <cell r="E632"/>
          <cell r="F632"/>
          <cell r="G632"/>
          <cell r="H632"/>
        </row>
        <row r="633">
          <cell r="A633"/>
          <cell r="B633"/>
          <cell r="C633"/>
          <cell r="D633"/>
          <cell r="E633"/>
          <cell r="F633"/>
          <cell r="G633"/>
          <cell r="H633"/>
        </row>
        <row r="634">
          <cell r="A634"/>
          <cell r="B634"/>
          <cell r="C634"/>
          <cell r="D634"/>
          <cell r="E634"/>
          <cell r="F634"/>
          <cell r="G634"/>
          <cell r="H634"/>
        </row>
        <row r="635">
          <cell r="A635"/>
          <cell r="B635"/>
          <cell r="C635"/>
          <cell r="D635"/>
          <cell r="E635"/>
          <cell r="F635"/>
          <cell r="G635"/>
          <cell r="H635"/>
        </row>
        <row r="636">
          <cell r="A636"/>
          <cell r="B636"/>
          <cell r="C636"/>
          <cell r="D636"/>
          <cell r="E636"/>
          <cell r="F636"/>
          <cell r="G636"/>
          <cell r="H636"/>
        </row>
        <row r="637">
          <cell r="A637"/>
          <cell r="B637"/>
          <cell r="C637"/>
          <cell r="D637"/>
          <cell r="E637"/>
          <cell r="F637"/>
          <cell r="G637"/>
          <cell r="H637"/>
        </row>
        <row r="638">
          <cell r="A638"/>
          <cell r="B638"/>
          <cell r="C638"/>
          <cell r="D638"/>
          <cell r="E638"/>
          <cell r="F638"/>
          <cell r="G638"/>
          <cell r="H638"/>
        </row>
        <row r="639">
          <cell r="A639"/>
          <cell r="B639"/>
          <cell r="C639"/>
          <cell r="D639"/>
          <cell r="E639"/>
          <cell r="F639"/>
          <cell r="G639"/>
          <cell r="H639"/>
        </row>
        <row r="640">
          <cell r="A640"/>
          <cell r="B640"/>
          <cell r="C640"/>
          <cell r="D640"/>
          <cell r="E640"/>
          <cell r="F640"/>
          <cell r="G640"/>
          <cell r="H640"/>
        </row>
        <row r="641">
          <cell r="A641"/>
          <cell r="B641"/>
          <cell r="C641"/>
          <cell r="D641"/>
          <cell r="E641"/>
          <cell r="F641"/>
          <cell r="G641"/>
          <cell r="H641"/>
        </row>
        <row r="642">
          <cell r="A642"/>
          <cell r="B642"/>
          <cell r="C642"/>
          <cell r="D642"/>
          <cell r="E642"/>
          <cell r="F642"/>
          <cell r="G642"/>
          <cell r="H642"/>
        </row>
        <row r="643">
          <cell r="A643"/>
          <cell r="B643"/>
          <cell r="C643"/>
          <cell r="D643"/>
          <cell r="E643"/>
          <cell r="F643"/>
          <cell r="G643"/>
          <cell r="H643"/>
        </row>
        <row r="644">
          <cell r="A644"/>
          <cell r="B644"/>
          <cell r="C644"/>
          <cell r="D644"/>
          <cell r="E644"/>
          <cell r="F644"/>
          <cell r="G644"/>
          <cell r="H644"/>
        </row>
        <row r="645">
          <cell r="A645"/>
          <cell r="B645"/>
          <cell r="C645"/>
          <cell r="D645"/>
          <cell r="E645"/>
          <cell r="F645"/>
          <cell r="G645"/>
          <cell r="H645"/>
        </row>
        <row r="646">
          <cell r="A646"/>
          <cell r="B646"/>
          <cell r="C646"/>
          <cell r="D646"/>
          <cell r="E646"/>
          <cell r="F646"/>
          <cell r="G646"/>
          <cell r="H646"/>
        </row>
        <row r="647">
          <cell r="A647"/>
          <cell r="B647"/>
          <cell r="C647"/>
          <cell r="D647"/>
          <cell r="E647"/>
          <cell r="F647"/>
          <cell r="G647"/>
          <cell r="H647"/>
        </row>
        <row r="648">
          <cell r="A648"/>
          <cell r="B648"/>
          <cell r="C648"/>
          <cell r="D648"/>
          <cell r="E648"/>
          <cell r="F648"/>
          <cell r="G648"/>
          <cell r="H648"/>
        </row>
        <row r="649">
          <cell r="A649"/>
          <cell r="B649"/>
          <cell r="C649"/>
          <cell r="D649"/>
          <cell r="E649"/>
          <cell r="F649"/>
          <cell r="G649"/>
          <cell r="H649"/>
        </row>
        <row r="650">
          <cell r="A650"/>
          <cell r="B650"/>
          <cell r="C650"/>
          <cell r="D650"/>
          <cell r="E650"/>
          <cell r="F650"/>
          <cell r="G650"/>
          <cell r="H650"/>
        </row>
        <row r="651">
          <cell r="A651"/>
          <cell r="B651"/>
          <cell r="C651"/>
          <cell r="D651"/>
          <cell r="E651"/>
          <cell r="F651"/>
          <cell r="G651"/>
          <cell r="H651"/>
        </row>
        <row r="652">
          <cell r="A652"/>
          <cell r="B652"/>
          <cell r="C652"/>
          <cell r="D652"/>
          <cell r="E652"/>
          <cell r="F652"/>
          <cell r="G652"/>
          <cell r="H652"/>
        </row>
        <row r="653">
          <cell r="A653"/>
          <cell r="B653"/>
          <cell r="C653"/>
          <cell r="D653"/>
          <cell r="E653"/>
          <cell r="F653"/>
          <cell r="G653"/>
          <cell r="H653"/>
        </row>
        <row r="654">
          <cell r="A654"/>
          <cell r="B654"/>
          <cell r="C654"/>
          <cell r="D654"/>
          <cell r="E654"/>
          <cell r="F654"/>
          <cell r="G654"/>
          <cell r="H654"/>
        </row>
        <row r="655">
          <cell r="A655"/>
          <cell r="B655"/>
          <cell r="C655"/>
          <cell r="D655"/>
          <cell r="E655"/>
          <cell r="F655"/>
          <cell r="G655"/>
          <cell r="H655"/>
        </row>
        <row r="656">
          <cell r="A656"/>
          <cell r="B656"/>
          <cell r="C656"/>
          <cell r="D656"/>
          <cell r="E656"/>
          <cell r="F656"/>
          <cell r="G656"/>
          <cell r="H656"/>
        </row>
        <row r="657">
          <cell r="A657"/>
          <cell r="B657"/>
          <cell r="C657"/>
          <cell r="D657"/>
          <cell r="E657"/>
          <cell r="F657"/>
          <cell r="G657"/>
          <cell r="H657"/>
        </row>
        <row r="658">
          <cell r="A658"/>
          <cell r="B658"/>
          <cell r="C658"/>
          <cell r="D658"/>
          <cell r="E658"/>
          <cell r="F658"/>
          <cell r="G658"/>
          <cell r="H658"/>
        </row>
        <row r="659">
          <cell r="A659"/>
          <cell r="B659"/>
          <cell r="C659"/>
          <cell r="D659"/>
          <cell r="E659"/>
          <cell r="F659"/>
          <cell r="G659"/>
          <cell r="H659"/>
        </row>
        <row r="660">
          <cell r="A660"/>
          <cell r="B660"/>
          <cell r="C660"/>
          <cell r="D660"/>
          <cell r="E660"/>
          <cell r="F660"/>
          <cell r="G660"/>
          <cell r="H660"/>
        </row>
        <row r="661">
          <cell r="A661"/>
          <cell r="B661"/>
          <cell r="C661"/>
          <cell r="D661"/>
          <cell r="E661"/>
          <cell r="F661"/>
          <cell r="G661"/>
          <cell r="H661"/>
        </row>
        <row r="662">
          <cell r="A662"/>
          <cell r="B662"/>
          <cell r="C662"/>
          <cell r="D662"/>
          <cell r="E662"/>
          <cell r="F662"/>
          <cell r="G662"/>
          <cell r="H662"/>
        </row>
        <row r="663">
          <cell r="A663"/>
          <cell r="B663"/>
          <cell r="C663"/>
          <cell r="D663"/>
          <cell r="E663"/>
          <cell r="F663"/>
          <cell r="G663"/>
          <cell r="H663"/>
        </row>
        <row r="664">
          <cell r="A664"/>
          <cell r="B664"/>
          <cell r="C664"/>
          <cell r="D664"/>
          <cell r="E664"/>
          <cell r="F664"/>
          <cell r="G664"/>
          <cell r="H664"/>
        </row>
        <row r="665">
          <cell r="A665"/>
          <cell r="B665"/>
          <cell r="C665"/>
          <cell r="D665"/>
          <cell r="E665"/>
          <cell r="F665"/>
          <cell r="G665"/>
          <cell r="H665"/>
        </row>
        <row r="666">
          <cell r="A666"/>
          <cell r="B666"/>
          <cell r="C666"/>
          <cell r="D666"/>
          <cell r="E666"/>
          <cell r="F666"/>
          <cell r="G666"/>
          <cell r="H666"/>
        </row>
        <row r="667">
          <cell r="A667"/>
          <cell r="B667"/>
          <cell r="C667"/>
          <cell r="D667"/>
          <cell r="E667"/>
          <cell r="F667"/>
          <cell r="G667"/>
          <cell r="H667"/>
        </row>
        <row r="668">
          <cell r="A668"/>
          <cell r="B668"/>
          <cell r="C668"/>
          <cell r="D668"/>
          <cell r="E668"/>
          <cell r="F668"/>
          <cell r="G668"/>
          <cell r="H668"/>
        </row>
        <row r="669">
          <cell r="A669"/>
          <cell r="B669"/>
          <cell r="C669"/>
          <cell r="D669"/>
          <cell r="E669"/>
          <cell r="F669"/>
          <cell r="G669"/>
          <cell r="H669"/>
        </row>
        <row r="670">
          <cell r="A670"/>
          <cell r="B670"/>
          <cell r="C670"/>
          <cell r="D670"/>
          <cell r="E670"/>
          <cell r="F670"/>
          <cell r="G670"/>
          <cell r="H670"/>
        </row>
        <row r="671">
          <cell r="A671"/>
          <cell r="B671"/>
          <cell r="C671"/>
          <cell r="D671"/>
          <cell r="E671"/>
          <cell r="F671"/>
          <cell r="G671"/>
          <cell r="H671"/>
        </row>
        <row r="672">
          <cell r="A672"/>
          <cell r="B672"/>
          <cell r="C672"/>
          <cell r="D672"/>
          <cell r="E672"/>
          <cell r="F672"/>
          <cell r="G672"/>
          <cell r="H672"/>
        </row>
        <row r="673">
          <cell r="A673"/>
          <cell r="B673"/>
          <cell r="C673"/>
          <cell r="D673"/>
          <cell r="E673"/>
          <cell r="F673"/>
          <cell r="G673"/>
          <cell r="H673"/>
        </row>
        <row r="674">
          <cell r="A674"/>
          <cell r="B674"/>
          <cell r="C674"/>
          <cell r="D674"/>
          <cell r="E674"/>
          <cell r="F674"/>
          <cell r="G674"/>
          <cell r="H674"/>
        </row>
        <row r="675">
          <cell r="A675"/>
          <cell r="B675"/>
          <cell r="C675"/>
          <cell r="D675"/>
          <cell r="E675"/>
          <cell r="F675"/>
          <cell r="G675"/>
          <cell r="H675"/>
        </row>
        <row r="676">
          <cell r="A676"/>
          <cell r="B676"/>
          <cell r="C676"/>
          <cell r="D676"/>
          <cell r="E676"/>
          <cell r="F676"/>
          <cell r="G676"/>
          <cell r="H676"/>
        </row>
        <row r="677">
          <cell r="A677"/>
          <cell r="B677"/>
          <cell r="C677"/>
          <cell r="D677"/>
          <cell r="E677"/>
          <cell r="F677"/>
          <cell r="G677"/>
          <cell r="H677"/>
        </row>
        <row r="678">
          <cell r="A678"/>
          <cell r="B678"/>
          <cell r="C678"/>
          <cell r="D678"/>
          <cell r="E678"/>
          <cell r="F678"/>
          <cell r="G678"/>
          <cell r="H678"/>
        </row>
        <row r="679">
          <cell r="A679"/>
          <cell r="B679"/>
          <cell r="C679"/>
          <cell r="D679"/>
          <cell r="E679"/>
          <cell r="F679"/>
          <cell r="G679"/>
          <cell r="H679"/>
        </row>
        <row r="680">
          <cell r="A680"/>
          <cell r="B680"/>
          <cell r="C680"/>
          <cell r="D680"/>
          <cell r="E680"/>
          <cell r="F680"/>
          <cell r="G680"/>
          <cell r="H680"/>
        </row>
        <row r="681">
          <cell r="A681"/>
          <cell r="B681"/>
          <cell r="C681"/>
          <cell r="D681"/>
          <cell r="E681"/>
          <cell r="F681"/>
          <cell r="G681"/>
          <cell r="H681"/>
        </row>
        <row r="682">
          <cell r="A682"/>
          <cell r="B682"/>
          <cell r="C682"/>
          <cell r="D682"/>
          <cell r="E682"/>
          <cell r="F682"/>
          <cell r="G682"/>
          <cell r="H682"/>
        </row>
        <row r="683">
          <cell r="A683"/>
          <cell r="B683"/>
          <cell r="C683"/>
          <cell r="D683"/>
          <cell r="E683"/>
          <cell r="F683"/>
          <cell r="G683"/>
          <cell r="H683"/>
        </row>
        <row r="684">
          <cell r="A684"/>
          <cell r="B684"/>
          <cell r="C684"/>
          <cell r="D684"/>
          <cell r="E684"/>
          <cell r="F684"/>
          <cell r="G684"/>
          <cell r="H684"/>
        </row>
        <row r="685">
          <cell r="A685"/>
          <cell r="B685"/>
          <cell r="C685"/>
          <cell r="D685"/>
          <cell r="E685"/>
          <cell r="F685"/>
          <cell r="G685"/>
          <cell r="H685"/>
        </row>
        <row r="686">
          <cell r="A686"/>
          <cell r="B686"/>
          <cell r="C686"/>
          <cell r="D686"/>
          <cell r="E686"/>
          <cell r="F686"/>
          <cell r="G686"/>
          <cell r="H686"/>
        </row>
        <row r="687">
          <cell r="A687"/>
          <cell r="B687"/>
          <cell r="C687"/>
          <cell r="D687"/>
          <cell r="E687"/>
          <cell r="F687"/>
          <cell r="G687"/>
          <cell r="H687"/>
        </row>
        <row r="688">
          <cell r="A688"/>
          <cell r="B688"/>
          <cell r="C688"/>
          <cell r="D688"/>
          <cell r="E688"/>
          <cell r="F688"/>
          <cell r="G688"/>
          <cell r="H688"/>
        </row>
        <row r="689">
          <cell r="A689"/>
          <cell r="B689"/>
          <cell r="C689"/>
          <cell r="D689"/>
          <cell r="E689"/>
          <cell r="F689"/>
          <cell r="G689"/>
          <cell r="H689"/>
        </row>
        <row r="690">
          <cell r="A690"/>
          <cell r="B690"/>
          <cell r="C690"/>
          <cell r="D690"/>
          <cell r="E690"/>
          <cell r="F690"/>
          <cell r="G690"/>
          <cell r="H690"/>
        </row>
        <row r="691">
          <cell r="A691"/>
          <cell r="B691"/>
          <cell r="C691"/>
          <cell r="D691"/>
          <cell r="E691"/>
          <cell r="F691"/>
          <cell r="G691"/>
          <cell r="H691"/>
        </row>
        <row r="692">
          <cell r="A692"/>
          <cell r="B692"/>
          <cell r="C692"/>
          <cell r="D692"/>
          <cell r="E692"/>
          <cell r="F692"/>
          <cell r="G692"/>
          <cell r="H692"/>
        </row>
        <row r="693">
          <cell r="A693"/>
          <cell r="B693"/>
          <cell r="C693"/>
          <cell r="D693"/>
          <cell r="E693"/>
          <cell r="F693"/>
          <cell r="G693"/>
          <cell r="H693"/>
        </row>
        <row r="694">
          <cell r="A694"/>
          <cell r="B694"/>
          <cell r="C694"/>
          <cell r="D694"/>
          <cell r="E694"/>
          <cell r="F694"/>
          <cell r="G694"/>
          <cell r="H694"/>
        </row>
        <row r="695">
          <cell r="A695"/>
          <cell r="B695"/>
          <cell r="C695"/>
          <cell r="D695"/>
          <cell r="E695"/>
          <cell r="F695"/>
          <cell r="G695"/>
          <cell r="H695"/>
        </row>
        <row r="696">
          <cell r="A696"/>
          <cell r="B696"/>
          <cell r="C696"/>
          <cell r="D696"/>
          <cell r="E696"/>
          <cell r="F696"/>
          <cell r="G696"/>
          <cell r="H696"/>
        </row>
        <row r="697">
          <cell r="A697"/>
          <cell r="B697"/>
          <cell r="C697"/>
          <cell r="D697"/>
          <cell r="E697"/>
          <cell r="F697"/>
          <cell r="G697"/>
          <cell r="H697"/>
        </row>
        <row r="698">
          <cell r="A698"/>
          <cell r="B698"/>
          <cell r="C698"/>
          <cell r="D698"/>
          <cell r="E698"/>
          <cell r="F698"/>
          <cell r="G698"/>
          <cell r="H698"/>
        </row>
        <row r="699">
          <cell r="A699"/>
          <cell r="B699"/>
          <cell r="C699"/>
          <cell r="D699"/>
          <cell r="E699"/>
          <cell r="F699"/>
          <cell r="G699"/>
          <cell r="H699"/>
        </row>
        <row r="700">
          <cell r="A700"/>
          <cell r="B700"/>
          <cell r="C700"/>
          <cell r="D700"/>
          <cell r="E700"/>
          <cell r="F700"/>
          <cell r="G700"/>
          <cell r="H700"/>
        </row>
        <row r="701">
          <cell r="A701"/>
          <cell r="B701"/>
          <cell r="C701"/>
          <cell r="D701"/>
          <cell r="E701"/>
          <cell r="F701"/>
          <cell r="G701"/>
          <cell r="H701"/>
        </row>
        <row r="702">
          <cell r="A702"/>
          <cell r="B702"/>
          <cell r="C702"/>
          <cell r="D702"/>
          <cell r="E702"/>
          <cell r="F702"/>
          <cell r="G702"/>
          <cell r="H702"/>
        </row>
        <row r="703">
          <cell r="A703"/>
          <cell r="B703"/>
          <cell r="C703"/>
          <cell r="D703"/>
          <cell r="E703"/>
          <cell r="F703"/>
          <cell r="G703"/>
          <cell r="H703"/>
        </row>
        <row r="704">
          <cell r="A704"/>
          <cell r="B704"/>
          <cell r="C704"/>
          <cell r="D704"/>
          <cell r="E704"/>
          <cell r="F704"/>
          <cell r="G704"/>
          <cell r="H704"/>
        </row>
        <row r="705">
          <cell r="A705"/>
          <cell r="B705"/>
          <cell r="C705"/>
          <cell r="D705"/>
          <cell r="E705"/>
          <cell r="F705"/>
          <cell r="G705"/>
          <cell r="H705"/>
        </row>
        <row r="706">
          <cell r="A706"/>
          <cell r="B706"/>
          <cell r="C706"/>
          <cell r="D706"/>
          <cell r="E706"/>
          <cell r="F706"/>
          <cell r="G706"/>
          <cell r="H706"/>
        </row>
        <row r="707">
          <cell r="A707"/>
          <cell r="B707"/>
          <cell r="C707"/>
          <cell r="D707"/>
          <cell r="E707"/>
          <cell r="F707"/>
          <cell r="G707"/>
          <cell r="H707"/>
        </row>
        <row r="708">
          <cell r="A708"/>
          <cell r="B708"/>
          <cell r="C708"/>
          <cell r="D708"/>
          <cell r="E708"/>
          <cell r="F708"/>
          <cell r="G708"/>
          <cell r="H708"/>
        </row>
        <row r="709">
          <cell r="A709"/>
          <cell r="B709"/>
          <cell r="C709"/>
          <cell r="D709"/>
          <cell r="E709"/>
          <cell r="F709"/>
          <cell r="G709"/>
          <cell r="H709"/>
        </row>
        <row r="710">
          <cell r="A710"/>
          <cell r="B710"/>
          <cell r="C710"/>
          <cell r="D710"/>
          <cell r="E710"/>
          <cell r="F710"/>
          <cell r="G710"/>
          <cell r="H710"/>
        </row>
        <row r="711">
          <cell r="A711"/>
          <cell r="B711"/>
          <cell r="C711"/>
          <cell r="D711"/>
          <cell r="E711"/>
          <cell r="F711"/>
          <cell r="G711"/>
          <cell r="H711"/>
        </row>
        <row r="712">
          <cell r="A712"/>
          <cell r="B712"/>
          <cell r="C712"/>
          <cell r="D712"/>
          <cell r="E712"/>
          <cell r="F712"/>
          <cell r="G712"/>
          <cell r="H712"/>
        </row>
        <row r="713">
          <cell r="A713"/>
          <cell r="B713"/>
          <cell r="C713"/>
          <cell r="D713"/>
          <cell r="E713"/>
          <cell r="F713"/>
          <cell r="G713"/>
          <cell r="H713"/>
        </row>
        <row r="714">
          <cell r="A714"/>
          <cell r="B714"/>
          <cell r="C714"/>
          <cell r="D714"/>
          <cell r="E714"/>
          <cell r="F714"/>
          <cell r="G714"/>
          <cell r="H714"/>
        </row>
        <row r="715">
          <cell r="A715"/>
          <cell r="B715"/>
          <cell r="C715"/>
          <cell r="D715"/>
          <cell r="E715"/>
          <cell r="F715"/>
          <cell r="G715"/>
          <cell r="H715"/>
        </row>
        <row r="716">
          <cell r="A716"/>
          <cell r="B716"/>
          <cell r="C716"/>
          <cell r="D716"/>
          <cell r="E716"/>
          <cell r="F716"/>
          <cell r="G716"/>
          <cell r="H716"/>
        </row>
        <row r="717">
          <cell r="A717"/>
          <cell r="B717"/>
          <cell r="C717"/>
          <cell r="D717"/>
          <cell r="E717"/>
          <cell r="F717"/>
          <cell r="G717"/>
          <cell r="H717"/>
        </row>
        <row r="718">
          <cell r="A718"/>
          <cell r="B718"/>
          <cell r="C718"/>
          <cell r="D718"/>
          <cell r="E718"/>
          <cell r="F718"/>
          <cell r="G718"/>
          <cell r="H718"/>
        </row>
        <row r="719">
          <cell r="A719"/>
          <cell r="B719"/>
          <cell r="C719"/>
          <cell r="D719"/>
          <cell r="E719"/>
          <cell r="F719"/>
          <cell r="G719"/>
          <cell r="H719"/>
        </row>
        <row r="720">
          <cell r="A720"/>
          <cell r="B720"/>
          <cell r="C720"/>
          <cell r="D720"/>
          <cell r="E720"/>
          <cell r="F720"/>
          <cell r="G720"/>
          <cell r="H720"/>
        </row>
        <row r="721">
          <cell r="A721"/>
          <cell r="B721"/>
          <cell r="C721"/>
          <cell r="D721"/>
          <cell r="E721"/>
          <cell r="F721"/>
          <cell r="G721"/>
          <cell r="H721"/>
        </row>
        <row r="722">
          <cell r="A722"/>
          <cell r="B722"/>
          <cell r="C722"/>
          <cell r="D722"/>
          <cell r="E722"/>
          <cell r="F722"/>
          <cell r="G722"/>
          <cell r="H722"/>
        </row>
        <row r="723">
          <cell r="A723"/>
          <cell r="B723"/>
          <cell r="C723"/>
          <cell r="D723"/>
          <cell r="E723"/>
          <cell r="F723"/>
          <cell r="G723"/>
          <cell r="H723"/>
        </row>
        <row r="724">
          <cell r="A724"/>
          <cell r="B724"/>
          <cell r="C724"/>
          <cell r="D724"/>
          <cell r="E724"/>
          <cell r="F724"/>
          <cell r="G724"/>
          <cell r="H724"/>
        </row>
        <row r="725">
          <cell r="A725"/>
          <cell r="B725"/>
          <cell r="C725"/>
          <cell r="D725"/>
          <cell r="E725"/>
          <cell r="F725"/>
          <cell r="G725"/>
          <cell r="H725"/>
        </row>
        <row r="726">
          <cell r="A726"/>
          <cell r="B726"/>
          <cell r="C726"/>
          <cell r="D726"/>
          <cell r="E726"/>
          <cell r="F726"/>
          <cell r="G726"/>
          <cell r="H726"/>
        </row>
        <row r="727">
          <cell r="A727"/>
          <cell r="B727"/>
          <cell r="C727"/>
          <cell r="D727"/>
          <cell r="E727"/>
          <cell r="F727"/>
          <cell r="G727"/>
          <cell r="H727"/>
        </row>
        <row r="728">
          <cell r="A728"/>
          <cell r="B728"/>
          <cell r="C728"/>
          <cell r="D728"/>
          <cell r="E728"/>
          <cell r="F728"/>
          <cell r="G728"/>
          <cell r="H728"/>
        </row>
        <row r="729">
          <cell r="A729"/>
          <cell r="B729"/>
          <cell r="C729"/>
          <cell r="D729"/>
          <cell r="E729"/>
          <cell r="F729"/>
          <cell r="G729"/>
          <cell r="H729"/>
        </row>
        <row r="730">
          <cell r="A730"/>
          <cell r="B730"/>
          <cell r="C730"/>
          <cell r="D730"/>
          <cell r="E730"/>
          <cell r="F730"/>
          <cell r="G730"/>
          <cell r="H730"/>
        </row>
        <row r="731">
          <cell r="A731"/>
          <cell r="B731"/>
          <cell r="C731"/>
          <cell r="D731"/>
          <cell r="E731"/>
          <cell r="F731"/>
          <cell r="G731"/>
          <cell r="H731"/>
        </row>
        <row r="732">
          <cell r="A732"/>
          <cell r="B732"/>
          <cell r="C732"/>
          <cell r="D732"/>
          <cell r="E732"/>
          <cell r="F732"/>
          <cell r="G732"/>
          <cell r="H732"/>
        </row>
        <row r="733">
          <cell r="A733"/>
          <cell r="B733"/>
          <cell r="C733"/>
          <cell r="D733"/>
          <cell r="E733"/>
          <cell r="F733"/>
          <cell r="G733"/>
          <cell r="H733"/>
        </row>
        <row r="734">
          <cell r="A734"/>
          <cell r="B734"/>
          <cell r="C734"/>
          <cell r="D734"/>
          <cell r="E734"/>
          <cell r="F734"/>
          <cell r="G734"/>
          <cell r="H734"/>
        </row>
        <row r="735">
          <cell r="A735"/>
          <cell r="B735"/>
          <cell r="C735"/>
          <cell r="D735"/>
          <cell r="E735"/>
          <cell r="F735"/>
          <cell r="G735"/>
          <cell r="H735"/>
        </row>
        <row r="736">
          <cell r="A736"/>
          <cell r="B736"/>
          <cell r="C736"/>
          <cell r="D736"/>
          <cell r="E736"/>
          <cell r="F736"/>
          <cell r="G736"/>
          <cell r="H736"/>
        </row>
        <row r="737">
          <cell r="A737"/>
          <cell r="B737"/>
          <cell r="C737"/>
          <cell r="D737"/>
          <cell r="E737"/>
          <cell r="F737"/>
          <cell r="G737"/>
          <cell r="H737"/>
        </row>
        <row r="738">
          <cell r="A738"/>
          <cell r="B738"/>
          <cell r="C738"/>
          <cell r="D738"/>
          <cell r="E738"/>
          <cell r="F738"/>
          <cell r="G738"/>
          <cell r="H738"/>
        </row>
        <row r="739">
          <cell r="A739"/>
          <cell r="B739"/>
          <cell r="C739"/>
          <cell r="D739"/>
          <cell r="E739"/>
          <cell r="F739"/>
          <cell r="G739"/>
          <cell r="H739"/>
        </row>
        <row r="740">
          <cell r="A740"/>
          <cell r="B740"/>
          <cell r="C740"/>
          <cell r="D740"/>
          <cell r="E740"/>
          <cell r="F740"/>
          <cell r="G740"/>
          <cell r="H740"/>
        </row>
        <row r="741">
          <cell r="A741"/>
          <cell r="B741"/>
          <cell r="C741"/>
          <cell r="D741"/>
          <cell r="E741"/>
          <cell r="F741"/>
          <cell r="G741"/>
          <cell r="H741"/>
        </row>
        <row r="742">
          <cell r="A742"/>
          <cell r="B742"/>
          <cell r="C742"/>
          <cell r="D742"/>
          <cell r="E742"/>
          <cell r="F742"/>
          <cell r="G742"/>
          <cell r="H742"/>
        </row>
        <row r="743">
          <cell r="A743"/>
          <cell r="B743"/>
          <cell r="C743"/>
          <cell r="D743"/>
          <cell r="E743"/>
          <cell r="F743"/>
          <cell r="G743"/>
          <cell r="H743"/>
        </row>
        <row r="744">
          <cell r="A744"/>
          <cell r="B744"/>
          <cell r="C744"/>
          <cell r="D744"/>
          <cell r="E744"/>
          <cell r="F744"/>
          <cell r="G744"/>
          <cell r="H744"/>
        </row>
        <row r="745">
          <cell r="A745"/>
          <cell r="B745"/>
          <cell r="C745"/>
          <cell r="D745"/>
          <cell r="E745"/>
          <cell r="F745"/>
          <cell r="G745"/>
          <cell r="H745"/>
        </row>
        <row r="746">
          <cell r="A746"/>
          <cell r="B746"/>
          <cell r="C746"/>
          <cell r="D746"/>
          <cell r="E746"/>
          <cell r="F746"/>
          <cell r="G746"/>
          <cell r="H746"/>
        </row>
        <row r="747">
          <cell r="A747"/>
          <cell r="B747"/>
          <cell r="C747"/>
          <cell r="D747"/>
          <cell r="E747"/>
          <cell r="F747"/>
          <cell r="G747"/>
          <cell r="H747"/>
        </row>
        <row r="748">
          <cell r="A748"/>
          <cell r="B748"/>
          <cell r="C748"/>
          <cell r="D748"/>
          <cell r="E748"/>
          <cell r="F748"/>
          <cell r="G748"/>
          <cell r="H748"/>
        </row>
        <row r="749">
          <cell r="A749"/>
          <cell r="B749"/>
          <cell r="C749"/>
          <cell r="D749"/>
          <cell r="E749"/>
          <cell r="F749"/>
          <cell r="G749"/>
          <cell r="H749"/>
        </row>
        <row r="750">
          <cell r="A750"/>
          <cell r="B750"/>
          <cell r="C750"/>
          <cell r="D750"/>
          <cell r="E750"/>
          <cell r="F750"/>
          <cell r="G750"/>
          <cell r="H750"/>
        </row>
        <row r="751">
          <cell r="A751"/>
          <cell r="B751"/>
          <cell r="C751"/>
          <cell r="D751"/>
          <cell r="E751"/>
          <cell r="F751"/>
          <cell r="G751"/>
          <cell r="H751"/>
        </row>
        <row r="752">
          <cell r="A752"/>
          <cell r="B752"/>
          <cell r="C752"/>
          <cell r="D752"/>
          <cell r="E752"/>
          <cell r="F752"/>
          <cell r="G752"/>
          <cell r="H752"/>
        </row>
        <row r="753">
          <cell r="A753"/>
          <cell r="B753"/>
          <cell r="C753"/>
          <cell r="D753"/>
          <cell r="E753"/>
          <cell r="F753"/>
          <cell r="G753"/>
          <cell r="H753"/>
        </row>
        <row r="754">
          <cell r="A754"/>
          <cell r="B754"/>
          <cell r="C754"/>
          <cell r="D754"/>
          <cell r="E754"/>
          <cell r="F754"/>
          <cell r="G754"/>
          <cell r="H754"/>
        </row>
        <row r="755">
          <cell r="A755"/>
          <cell r="B755"/>
          <cell r="C755"/>
          <cell r="D755"/>
          <cell r="E755"/>
          <cell r="F755"/>
          <cell r="G755"/>
          <cell r="H755"/>
        </row>
        <row r="756">
          <cell r="A756"/>
          <cell r="B756"/>
          <cell r="C756"/>
          <cell r="D756"/>
          <cell r="E756"/>
          <cell r="F756"/>
          <cell r="G756"/>
          <cell r="H756"/>
        </row>
        <row r="757">
          <cell r="A757"/>
          <cell r="B757"/>
          <cell r="C757"/>
          <cell r="D757"/>
          <cell r="E757"/>
          <cell r="F757"/>
          <cell r="G757"/>
          <cell r="H757"/>
        </row>
        <row r="758">
          <cell r="A758"/>
          <cell r="B758"/>
          <cell r="C758"/>
          <cell r="D758"/>
          <cell r="E758"/>
          <cell r="F758"/>
          <cell r="G758"/>
          <cell r="H758"/>
        </row>
        <row r="759">
          <cell r="A759"/>
          <cell r="B759"/>
          <cell r="C759"/>
          <cell r="D759"/>
          <cell r="E759"/>
          <cell r="F759"/>
          <cell r="G759"/>
          <cell r="H759"/>
        </row>
        <row r="760">
          <cell r="A760"/>
          <cell r="B760"/>
          <cell r="C760"/>
          <cell r="D760"/>
          <cell r="E760"/>
          <cell r="F760"/>
          <cell r="G760"/>
          <cell r="H760"/>
        </row>
        <row r="761">
          <cell r="A761"/>
          <cell r="B761"/>
          <cell r="C761"/>
          <cell r="D761"/>
          <cell r="E761"/>
          <cell r="F761"/>
          <cell r="G761"/>
          <cell r="H761"/>
        </row>
        <row r="762">
          <cell r="A762"/>
          <cell r="B762"/>
          <cell r="C762"/>
          <cell r="D762"/>
          <cell r="E762"/>
          <cell r="F762"/>
          <cell r="G762"/>
          <cell r="H762"/>
        </row>
        <row r="763">
          <cell r="A763"/>
          <cell r="B763"/>
          <cell r="C763"/>
          <cell r="D763"/>
          <cell r="E763"/>
          <cell r="F763"/>
          <cell r="G763"/>
          <cell r="H763"/>
        </row>
        <row r="764">
          <cell r="A764"/>
          <cell r="B764"/>
          <cell r="C764"/>
          <cell r="D764"/>
          <cell r="E764"/>
          <cell r="F764"/>
          <cell r="G764"/>
          <cell r="H764"/>
        </row>
        <row r="765">
          <cell r="A765"/>
          <cell r="B765"/>
          <cell r="C765"/>
          <cell r="D765"/>
          <cell r="E765"/>
          <cell r="F765"/>
          <cell r="G765"/>
          <cell r="H765"/>
        </row>
        <row r="766">
          <cell r="A766"/>
          <cell r="B766"/>
          <cell r="C766"/>
          <cell r="D766"/>
          <cell r="E766"/>
          <cell r="F766"/>
          <cell r="G766"/>
          <cell r="H766"/>
        </row>
        <row r="767">
          <cell r="A767"/>
          <cell r="B767"/>
          <cell r="C767"/>
          <cell r="D767"/>
          <cell r="E767"/>
          <cell r="F767"/>
          <cell r="G767"/>
          <cell r="H767"/>
        </row>
        <row r="768">
          <cell r="A768"/>
          <cell r="B768"/>
          <cell r="C768"/>
          <cell r="D768"/>
          <cell r="E768"/>
          <cell r="F768"/>
          <cell r="G768"/>
          <cell r="H768"/>
        </row>
        <row r="769">
          <cell r="A769"/>
          <cell r="B769"/>
          <cell r="C769"/>
          <cell r="D769"/>
          <cell r="E769"/>
          <cell r="F769"/>
          <cell r="G769"/>
          <cell r="H769"/>
        </row>
        <row r="770">
          <cell r="A770"/>
          <cell r="B770"/>
          <cell r="C770"/>
          <cell r="D770"/>
          <cell r="E770"/>
          <cell r="F770"/>
          <cell r="G770"/>
          <cell r="H770"/>
        </row>
        <row r="771">
          <cell r="A771"/>
          <cell r="B771"/>
          <cell r="C771"/>
          <cell r="D771"/>
          <cell r="E771"/>
          <cell r="F771"/>
          <cell r="G771"/>
          <cell r="H771"/>
        </row>
        <row r="772">
          <cell r="A772"/>
          <cell r="B772"/>
          <cell r="C772"/>
          <cell r="D772"/>
          <cell r="E772"/>
          <cell r="F772"/>
          <cell r="G772"/>
          <cell r="H772"/>
        </row>
        <row r="773">
          <cell r="A773"/>
          <cell r="B773"/>
          <cell r="C773"/>
          <cell r="D773"/>
          <cell r="E773"/>
          <cell r="F773"/>
          <cell r="G773"/>
          <cell r="H773"/>
        </row>
        <row r="774">
          <cell r="A774"/>
          <cell r="B774"/>
          <cell r="C774"/>
          <cell r="D774"/>
          <cell r="E774"/>
          <cell r="F774"/>
          <cell r="G774"/>
          <cell r="H774"/>
        </row>
        <row r="775">
          <cell r="A775"/>
          <cell r="B775"/>
          <cell r="C775"/>
          <cell r="D775"/>
          <cell r="E775"/>
          <cell r="F775"/>
          <cell r="G775"/>
          <cell r="H775"/>
        </row>
        <row r="776">
          <cell r="A776"/>
          <cell r="B776"/>
          <cell r="C776"/>
          <cell r="D776"/>
          <cell r="E776"/>
          <cell r="F776"/>
          <cell r="G776"/>
          <cell r="H776"/>
        </row>
        <row r="777">
          <cell r="A777"/>
          <cell r="B777"/>
          <cell r="C777"/>
          <cell r="D777"/>
          <cell r="E777"/>
          <cell r="F777"/>
          <cell r="G777"/>
          <cell r="H777"/>
        </row>
        <row r="778">
          <cell r="A778"/>
          <cell r="B778"/>
          <cell r="C778"/>
          <cell r="D778"/>
          <cell r="E778"/>
          <cell r="F778"/>
          <cell r="G778"/>
          <cell r="H778"/>
        </row>
        <row r="779">
          <cell r="A779"/>
          <cell r="B779"/>
          <cell r="C779"/>
          <cell r="D779"/>
          <cell r="E779"/>
          <cell r="F779"/>
          <cell r="G779"/>
          <cell r="H779"/>
        </row>
        <row r="780">
          <cell r="A780"/>
          <cell r="B780"/>
          <cell r="C780"/>
          <cell r="D780"/>
          <cell r="E780"/>
          <cell r="F780"/>
          <cell r="G780"/>
          <cell r="H780"/>
        </row>
        <row r="781">
          <cell r="A781"/>
          <cell r="B781"/>
          <cell r="C781"/>
          <cell r="D781"/>
          <cell r="E781"/>
          <cell r="F781"/>
          <cell r="G781"/>
          <cell r="H781"/>
        </row>
        <row r="782">
          <cell r="A782"/>
          <cell r="B782"/>
          <cell r="C782"/>
          <cell r="D782"/>
          <cell r="E782"/>
          <cell r="F782"/>
          <cell r="G782"/>
          <cell r="H782"/>
        </row>
        <row r="783">
          <cell r="A783"/>
          <cell r="B783"/>
          <cell r="C783"/>
          <cell r="D783"/>
          <cell r="E783"/>
          <cell r="F783"/>
          <cell r="G783"/>
          <cell r="H783"/>
        </row>
        <row r="784">
          <cell r="A784"/>
          <cell r="B784"/>
          <cell r="C784"/>
          <cell r="D784"/>
          <cell r="E784"/>
          <cell r="F784"/>
          <cell r="G784"/>
          <cell r="H784"/>
        </row>
        <row r="785">
          <cell r="A785"/>
          <cell r="B785"/>
          <cell r="C785"/>
          <cell r="D785"/>
          <cell r="E785"/>
          <cell r="F785"/>
          <cell r="G785"/>
          <cell r="H785"/>
        </row>
        <row r="786">
          <cell r="A786"/>
          <cell r="B786"/>
          <cell r="C786"/>
          <cell r="D786"/>
          <cell r="E786"/>
          <cell r="F786"/>
          <cell r="G786"/>
          <cell r="H786"/>
        </row>
        <row r="787">
          <cell r="A787"/>
          <cell r="B787"/>
          <cell r="C787"/>
          <cell r="D787"/>
          <cell r="E787"/>
          <cell r="F787"/>
          <cell r="G787"/>
          <cell r="H787"/>
        </row>
        <row r="788">
          <cell r="A788"/>
          <cell r="B788"/>
          <cell r="C788"/>
          <cell r="D788"/>
          <cell r="E788"/>
          <cell r="F788"/>
          <cell r="G788"/>
          <cell r="H788"/>
        </row>
        <row r="789">
          <cell r="A789"/>
          <cell r="B789"/>
          <cell r="C789"/>
          <cell r="D789"/>
          <cell r="E789"/>
          <cell r="F789"/>
          <cell r="G789"/>
          <cell r="H789"/>
        </row>
        <row r="790">
          <cell r="A790"/>
          <cell r="B790"/>
          <cell r="C790"/>
          <cell r="D790"/>
          <cell r="E790"/>
          <cell r="F790"/>
          <cell r="G790"/>
          <cell r="H790"/>
        </row>
        <row r="791">
          <cell r="A791"/>
          <cell r="B791"/>
          <cell r="C791"/>
          <cell r="D791"/>
          <cell r="E791"/>
          <cell r="F791"/>
          <cell r="G791"/>
          <cell r="H791"/>
        </row>
        <row r="792">
          <cell r="A792"/>
          <cell r="B792"/>
          <cell r="C792"/>
          <cell r="D792"/>
          <cell r="E792"/>
          <cell r="F792"/>
          <cell r="G792"/>
          <cell r="H792"/>
        </row>
        <row r="793">
          <cell r="A793"/>
          <cell r="B793"/>
          <cell r="C793"/>
          <cell r="D793"/>
          <cell r="E793"/>
          <cell r="F793"/>
          <cell r="G793"/>
          <cell r="H793"/>
        </row>
        <row r="794">
          <cell r="A794"/>
          <cell r="B794"/>
          <cell r="C794"/>
          <cell r="D794"/>
          <cell r="E794"/>
          <cell r="F794"/>
          <cell r="G794"/>
          <cell r="H794"/>
        </row>
        <row r="795">
          <cell r="A795"/>
          <cell r="B795"/>
          <cell r="C795"/>
          <cell r="D795"/>
          <cell r="E795"/>
          <cell r="F795"/>
          <cell r="G795"/>
          <cell r="H795"/>
        </row>
        <row r="796">
          <cell r="A796"/>
          <cell r="B796"/>
          <cell r="C796"/>
          <cell r="D796"/>
          <cell r="E796"/>
          <cell r="F796"/>
          <cell r="G796"/>
          <cell r="H796"/>
        </row>
        <row r="797">
          <cell r="A797"/>
          <cell r="B797"/>
          <cell r="C797"/>
          <cell r="D797"/>
          <cell r="E797"/>
          <cell r="F797"/>
          <cell r="G797"/>
          <cell r="H797"/>
        </row>
        <row r="798">
          <cell r="A798"/>
          <cell r="B798"/>
          <cell r="C798"/>
          <cell r="D798"/>
          <cell r="E798"/>
          <cell r="F798"/>
          <cell r="G798"/>
          <cell r="H798"/>
        </row>
        <row r="799">
          <cell r="A799"/>
          <cell r="B799"/>
          <cell r="C799"/>
          <cell r="D799"/>
          <cell r="E799"/>
          <cell r="F799"/>
          <cell r="G799"/>
          <cell r="H799"/>
        </row>
        <row r="800">
          <cell r="A800"/>
          <cell r="B800"/>
          <cell r="C800"/>
          <cell r="D800"/>
          <cell r="E800"/>
          <cell r="F800"/>
          <cell r="G800"/>
          <cell r="H800"/>
        </row>
        <row r="801">
          <cell r="A801"/>
          <cell r="B801"/>
          <cell r="C801"/>
          <cell r="D801"/>
          <cell r="E801"/>
          <cell r="F801"/>
          <cell r="G801"/>
          <cell r="H801"/>
        </row>
        <row r="802">
          <cell r="A802"/>
          <cell r="B802"/>
          <cell r="C802"/>
          <cell r="D802"/>
          <cell r="E802"/>
          <cell r="F802"/>
          <cell r="G802"/>
          <cell r="H802"/>
        </row>
        <row r="803">
          <cell r="A803"/>
          <cell r="B803"/>
          <cell r="C803"/>
          <cell r="D803"/>
          <cell r="E803"/>
          <cell r="F803"/>
          <cell r="G803"/>
          <cell r="H803"/>
        </row>
        <row r="804">
          <cell r="A804"/>
          <cell r="B804"/>
          <cell r="C804"/>
          <cell r="D804"/>
          <cell r="E804"/>
          <cell r="F804"/>
          <cell r="G804"/>
          <cell r="H804"/>
        </row>
        <row r="805">
          <cell r="A805"/>
          <cell r="B805"/>
          <cell r="C805"/>
          <cell r="D805"/>
          <cell r="E805"/>
          <cell r="F805"/>
          <cell r="G805"/>
          <cell r="H805"/>
        </row>
        <row r="806">
          <cell r="A806"/>
          <cell r="B806"/>
          <cell r="C806"/>
          <cell r="D806"/>
          <cell r="E806"/>
          <cell r="F806"/>
          <cell r="G806"/>
          <cell r="H806"/>
        </row>
        <row r="807">
          <cell r="A807"/>
          <cell r="B807"/>
          <cell r="C807"/>
          <cell r="D807"/>
          <cell r="E807"/>
          <cell r="F807"/>
          <cell r="G807"/>
          <cell r="H807"/>
        </row>
        <row r="808">
          <cell r="A808"/>
          <cell r="B808"/>
          <cell r="C808"/>
          <cell r="D808"/>
          <cell r="E808"/>
          <cell r="F808"/>
          <cell r="G808"/>
          <cell r="H808"/>
        </row>
        <row r="809">
          <cell r="A809"/>
          <cell r="B809"/>
          <cell r="C809"/>
          <cell r="D809"/>
          <cell r="E809"/>
          <cell r="F809"/>
          <cell r="G809"/>
          <cell r="H809"/>
        </row>
        <row r="810">
          <cell r="A810"/>
          <cell r="B810"/>
          <cell r="C810"/>
          <cell r="D810"/>
          <cell r="E810"/>
          <cell r="F810"/>
          <cell r="G810"/>
          <cell r="H810"/>
        </row>
        <row r="811">
          <cell r="A811"/>
          <cell r="B811"/>
          <cell r="C811"/>
          <cell r="D811"/>
          <cell r="E811"/>
          <cell r="F811"/>
          <cell r="G811"/>
          <cell r="H811"/>
        </row>
        <row r="812">
          <cell r="A812"/>
          <cell r="B812"/>
          <cell r="C812"/>
          <cell r="D812"/>
          <cell r="E812"/>
          <cell r="F812"/>
          <cell r="G812"/>
          <cell r="H812"/>
        </row>
        <row r="813">
          <cell r="A813"/>
          <cell r="B813"/>
          <cell r="C813"/>
          <cell r="D813"/>
          <cell r="E813"/>
          <cell r="F813"/>
          <cell r="G813"/>
          <cell r="H813"/>
        </row>
        <row r="814">
          <cell r="A814"/>
          <cell r="B814"/>
          <cell r="C814"/>
          <cell r="D814"/>
          <cell r="E814"/>
          <cell r="F814"/>
          <cell r="G814"/>
          <cell r="H814"/>
        </row>
        <row r="815">
          <cell r="A815"/>
          <cell r="B815"/>
          <cell r="C815"/>
          <cell r="D815"/>
          <cell r="E815"/>
          <cell r="F815"/>
          <cell r="G815"/>
          <cell r="H815"/>
        </row>
        <row r="816">
          <cell r="A816"/>
          <cell r="B816"/>
          <cell r="C816"/>
          <cell r="D816"/>
          <cell r="E816"/>
          <cell r="F816"/>
          <cell r="G816"/>
          <cell r="H816"/>
        </row>
        <row r="817">
          <cell r="A817"/>
          <cell r="B817"/>
          <cell r="C817"/>
          <cell r="D817"/>
          <cell r="E817"/>
          <cell r="F817"/>
          <cell r="G817"/>
          <cell r="H817"/>
        </row>
        <row r="818">
          <cell r="A818"/>
          <cell r="B818"/>
          <cell r="C818"/>
          <cell r="D818"/>
          <cell r="E818"/>
          <cell r="F818"/>
          <cell r="G818"/>
          <cell r="H818"/>
        </row>
        <row r="819">
          <cell r="A819"/>
          <cell r="B819"/>
          <cell r="C819"/>
          <cell r="D819"/>
          <cell r="E819"/>
          <cell r="F819"/>
          <cell r="G819"/>
          <cell r="H819"/>
        </row>
        <row r="820">
          <cell r="A820"/>
          <cell r="B820"/>
          <cell r="C820"/>
          <cell r="D820"/>
          <cell r="E820"/>
          <cell r="F820"/>
          <cell r="G820"/>
          <cell r="H820"/>
        </row>
        <row r="821">
          <cell r="A821"/>
          <cell r="B821"/>
          <cell r="C821"/>
          <cell r="D821"/>
          <cell r="E821"/>
          <cell r="F821"/>
          <cell r="G821"/>
          <cell r="H821"/>
        </row>
        <row r="822">
          <cell r="A822"/>
          <cell r="B822"/>
          <cell r="C822"/>
          <cell r="D822"/>
          <cell r="E822"/>
          <cell r="F822"/>
          <cell r="G822"/>
          <cell r="H822"/>
        </row>
        <row r="823">
          <cell r="A823"/>
          <cell r="B823"/>
          <cell r="C823"/>
          <cell r="D823"/>
          <cell r="E823"/>
          <cell r="F823"/>
          <cell r="G823"/>
          <cell r="H823"/>
        </row>
        <row r="824">
          <cell r="A824"/>
          <cell r="B824"/>
          <cell r="C824"/>
          <cell r="D824"/>
          <cell r="E824"/>
          <cell r="F824"/>
          <cell r="G824"/>
          <cell r="H824"/>
        </row>
        <row r="825">
          <cell r="A825"/>
          <cell r="B825"/>
          <cell r="C825"/>
          <cell r="D825"/>
          <cell r="E825"/>
          <cell r="F825"/>
          <cell r="G825"/>
          <cell r="H825"/>
        </row>
        <row r="826">
          <cell r="A826"/>
          <cell r="B826"/>
          <cell r="C826"/>
          <cell r="D826"/>
          <cell r="E826"/>
          <cell r="F826"/>
          <cell r="G826"/>
          <cell r="H826"/>
        </row>
        <row r="827">
          <cell r="A827"/>
          <cell r="B827"/>
          <cell r="C827"/>
          <cell r="D827"/>
          <cell r="E827"/>
          <cell r="F827"/>
          <cell r="G827"/>
          <cell r="H827"/>
        </row>
        <row r="828">
          <cell r="A828"/>
          <cell r="B828"/>
          <cell r="C828"/>
          <cell r="D828"/>
          <cell r="E828"/>
          <cell r="F828"/>
          <cell r="G828"/>
          <cell r="H828"/>
        </row>
        <row r="829">
          <cell r="A829"/>
          <cell r="B829"/>
          <cell r="C829"/>
          <cell r="D829"/>
          <cell r="E829"/>
          <cell r="F829"/>
          <cell r="G829"/>
          <cell r="H829"/>
        </row>
        <row r="830">
          <cell r="A830"/>
          <cell r="B830"/>
          <cell r="C830"/>
          <cell r="D830"/>
          <cell r="E830"/>
          <cell r="F830"/>
          <cell r="G830"/>
          <cell r="H830"/>
        </row>
        <row r="831">
          <cell r="A831"/>
          <cell r="B831"/>
          <cell r="C831"/>
          <cell r="D831"/>
          <cell r="E831"/>
          <cell r="F831"/>
          <cell r="G831"/>
          <cell r="H831"/>
        </row>
        <row r="832">
          <cell r="A832"/>
          <cell r="B832"/>
          <cell r="C832"/>
          <cell r="D832"/>
          <cell r="E832"/>
          <cell r="F832"/>
          <cell r="G832"/>
          <cell r="H832"/>
        </row>
        <row r="833">
          <cell r="A833"/>
          <cell r="B833"/>
          <cell r="C833"/>
          <cell r="D833"/>
          <cell r="E833"/>
          <cell r="F833"/>
          <cell r="G833"/>
          <cell r="H833"/>
        </row>
        <row r="834">
          <cell r="A834"/>
          <cell r="B834"/>
          <cell r="C834"/>
          <cell r="D834"/>
          <cell r="E834"/>
          <cell r="F834"/>
          <cell r="G834"/>
          <cell r="H834"/>
        </row>
        <row r="835">
          <cell r="A835"/>
          <cell r="B835"/>
          <cell r="C835"/>
          <cell r="D835"/>
          <cell r="E835"/>
          <cell r="F835"/>
          <cell r="G835"/>
          <cell r="H835"/>
        </row>
        <row r="836">
          <cell r="A836"/>
          <cell r="B836"/>
          <cell r="C836"/>
          <cell r="D836"/>
          <cell r="E836"/>
          <cell r="F836"/>
          <cell r="G836"/>
          <cell r="H836"/>
        </row>
        <row r="837">
          <cell r="A837"/>
          <cell r="B837"/>
          <cell r="C837"/>
          <cell r="D837"/>
          <cell r="E837"/>
          <cell r="F837"/>
          <cell r="G837"/>
          <cell r="H837"/>
        </row>
        <row r="838">
          <cell r="A838"/>
          <cell r="B838"/>
          <cell r="C838"/>
          <cell r="D838"/>
          <cell r="E838"/>
          <cell r="F838"/>
          <cell r="G838"/>
          <cell r="H838"/>
        </row>
        <row r="839">
          <cell r="A839"/>
          <cell r="B839"/>
          <cell r="C839"/>
          <cell r="D839"/>
          <cell r="E839"/>
          <cell r="F839"/>
          <cell r="G839"/>
          <cell r="H839"/>
        </row>
        <row r="840">
          <cell r="A840"/>
          <cell r="B840"/>
          <cell r="C840"/>
          <cell r="D840"/>
          <cell r="E840"/>
          <cell r="F840"/>
          <cell r="G840"/>
          <cell r="H840"/>
        </row>
        <row r="841">
          <cell r="A841"/>
          <cell r="B841"/>
          <cell r="C841"/>
          <cell r="D841"/>
          <cell r="E841"/>
          <cell r="F841"/>
          <cell r="G841"/>
          <cell r="H841"/>
        </row>
        <row r="842">
          <cell r="A842"/>
          <cell r="B842"/>
          <cell r="C842"/>
          <cell r="D842"/>
          <cell r="E842"/>
          <cell r="F842"/>
          <cell r="G842"/>
          <cell r="H842"/>
        </row>
        <row r="843">
          <cell r="A843"/>
          <cell r="B843"/>
          <cell r="C843"/>
          <cell r="D843"/>
          <cell r="E843"/>
          <cell r="F843"/>
          <cell r="G843"/>
          <cell r="H843"/>
        </row>
        <row r="844">
          <cell r="A844"/>
          <cell r="B844"/>
          <cell r="C844"/>
          <cell r="D844"/>
          <cell r="E844"/>
          <cell r="F844"/>
          <cell r="G844"/>
          <cell r="H844"/>
        </row>
        <row r="845">
          <cell r="A845"/>
          <cell r="B845"/>
          <cell r="C845"/>
          <cell r="D845"/>
          <cell r="E845"/>
          <cell r="F845"/>
          <cell r="G845"/>
          <cell r="H845"/>
        </row>
        <row r="846">
          <cell r="A846"/>
          <cell r="B846"/>
          <cell r="C846"/>
          <cell r="D846"/>
          <cell r="E846"/>
          <cell r="F846"/>
          <cell r="G846"/>
          <cell r="H846"/>
        </row>
        <row r="847">
          <cell r="A847"/>
          <cell r="B847"/>
          <cell r="C847"/>
          <cell r="D847"/>
          <cell r="E847"/>
          <cell r="F847"/>
          <cell r="G847"/>
          <cell r="H847"/>
        </row>
        <row r="848">
          <cell r="A848"/>
          <cell r="B848"/>
          <cell r="C848"/>
          <cell r="D848"/>
          <cell r="E848"/>
          <cell r="F848"/>
          <cell r="G848"/>
          <cell r="H848"/>
        </row>
        <row r="849">
          <cell r="A849"/>
          <cell r="B849"/>
          <cell r="C849"/>
          <cell r="D849"/>
          <cell r="E849"/>
          <cell r="F849"/>
          <cell r="G849"/>
          <cell r="H849"/>
        </row>
        <row r="850">
          <cell r="A850"/>
          <cell r="B850"/>
          <cell r="C850"/>
          <cell r="D850"/>
          <cell r="E850"/>
          <cell r="F850"/>
          <cell r="G850"/>
          <cell r="H850"/>
        </row>
        <row r="851">
          <cell r="A851"/>
          <cell r="B851"/>
          <cell r="C851"/>
          <cell r="D851"/>
          <cell r="E851"/>
          <cell r="F851"/>
          <cell r="G851"/>
          <cell r="H851"/>
        </row>
        <row r="852">
          <cell r="A852"/>
          <cell r="B852"/>
          <cell r="C852"/>
          <cell r="D852"/>
          <cell r="E852"/>
          <cell r="F852"/>
          <cell r="G852"/>
          <cell r="H852"/>
        </row>
        <row r="853">
          <cell r="A853"/>
          <cell r="B853"/>
          <cell r="C853"/>
          <cell r="D853"/>
          <cell r="E853"/>
          <cell r="F853"/>
          <cell r="G853"/>
          <cell r="H853"/>
        </row>
        <row r="854">
          <cell r="A854"/>
          <cell r="B854"/>
          <cell r="C854"/>
          <cell r="D854"/>
          <cell r="E854"/>
          <cell r="F854"/>
          <cell r="G854"/>
          <cell r="H854"/>
        </row>
        <row r="855">
          <cell r="A855"/>
          <cell r="B855"/>
          <cell r="C855"/>
          <cell r="D855"/>
          <cell r="E855"/>
          <cell r="F855"/>
          <cell r="G855"/>
          <cell r="H855"/>
        </row>
        <row r="856">
          <cell r="A856"/>
          <cell r="B856"/>
          <cell r="C856"/>
          <cell r="D856"/>
          <cell r="E856"/>
          <cell r="F856"/>
          <cell r="G856"/>
          <cell r="H856"/>
        </row>
        <row r="857">
          <cell r="A857"/>
          <cell r="B857"/>
          <cell r="C857"/>
          <cell r="D857"/>
          <cell r="E857"/>
          <cell r="F857"/>
          <cell r="G857"/>
          <cell r="H857"/>
        </row>
        <row r="858">
          <cell r="A858"/>
          <cell r="B858"/>
          <cell r="C858"/>
          <cell r="D858"/>
          <cell r="E858"/>
          <cell r="F858"/>
          <cell r="G858"/>
          <cell r="H858"/>
        </row>
        <row r="859">
          <cell r="A859"/>
          <cell r="B859"/>
          <cell r="C859"/>
          <cell r="D859"/>
          <cell r="E859"/>
          <cell r="F859"/>
          <cell r="G859"/>
          <cell r="H859"/>
        </row>
        <row r="860">
          <cell r="A860"/>
          <cell r="B860"/>
          <cell r="C860"/>
          <cell r="D860"/>
          <cell r="E860"/>
          <cell r="F860"/>
          <cell r="G860"/>
          <cell r="H860"/>
        </row>
        <row r="861">
          <cell r="A861"/>
          <cell r="B861"/>
          <cell r="C861"/>
          <cell r="D861"/>
          <cell r="E861"/>
          <cell r="F861"/>
          <cell r="G861"/>
          <cell r="H861"/>
        </row>
        <row r="862">
          <cell r="A862"/>
          <cell r="B862"/>
          <cell r="C862"/>
          <cell r="D862"/>
          <cell r="E862"/>
          <cell r="F862"/>
          <cell r="G862"/>
          <cell r="H862"/>
        </row>
        <row r="863">
          <cell r="A863"/>
          <cell r="B863"/>
          <cell r="C863"/>
          <cell r="D863"/>
          <cell r="E863"/>
          <cell r="F863"/>
          <cell r="G863"/>
          <cell r="H863"/>
        </row>
        <row r="864">
          <cell r="A864"/>
          <cell r="B864"/>
          <cell r="C864"/>
          <cell r="D864"/>
          <cell r="E864"/>
          <cell r="F864"/>
          <cell r="G864"/>
          <cell r="H864"/>
        </row>
        <row r="865">
          <cell r="A865"/>
          <cell r="B865"/>
          <cell r="C865"/>
          <cell r="D865"/>
          <cell r="E865"/>
          <cell r="F865"/>
          <cell r="G865"/>
          <cell r="H865"/>
        </row>
        <row r="866">
          <cell r="A866"/>
          <cell r="B866"/>
          <cell r="C866"/>
          <cell r="D866"/>
          <cell r="E866"/>
          <cell r="F866"/>
          <cell r="G866"/>
          <cell r="H866"/>
        </row>
        <row r="867">
          <cell r="A867"/>
          <cell r="B867"/>
          <cell r="C867"/>
          <cell r="D867"/>
          <cell r="E867"/>
          <cell r="F867"/>
          <cell r="G867"/>
          <cell r="H867"/>
        </row>
        <row r="868">
          <cell r="A868"/>
          <cell r="B868"/>
          <cell r="C868"/>
          <cell r="D868"/>
          <cell r="E868"/>
          <cell r="F868"/>
          <cell r="G868"/>
          <cell r="H868"/>
        </row>
        <row r="869">
          <cell r="A869"/>
          <cell r="B869"/>
          <cell r="C869"/>
          <cell r="D869"/>
          <cell r="E869"/>
          <cell r="F869"/>
          <cell r="G869"/>
          <cell r="H869"/>
        </row>
        <row r="870">
          <cell r="A870"/>
          <cell r="B870"/>
          <cell r="C870"/>
          <cell r="D870"/>
          <cell r="E870"/>
          <cell r="F870"/>
          <cell r="G870"/>
          <cell r="H870"/>
        </row>
        <row r="871">
          <cell r="A871"/>
          <cell r="B871"/>
          <cell r="C871"/>
          <cell r="D871"/>
          <cell r="E871"/>
          <cell r="F871"/>
          <cell r="G871"/>
          <cell r="H871"/>
        </row>
        <row r="872">
          <cell r="A872"/>
          <cell r="B872"/>
          <cell r="C872"/>
          <cell r="D872"/>
          <cell r="E872"/>
          <cell r="F872"/>
          <cell r="G872"/>
          <cell r="H872"/>
        </row>
        <row r="873">
          <cell r="A873"/>
          <cell r="B873"/>
          <cell r="C873"/>
          <cell r="D873"/>
          <cell r="E873"/>
          <cell r="F873"/>
          <cell r="G873"/>
          <cell r="H873"/>
        </row>
        <row r="874">
          <cell r="A874"/>
          <cell r="B874"/>
          <cell r="C874"/>
          <cell r="D874"/>
          <cell r="E874"/>
          <cell r="F874"/>
          <cell r="G874"/>
          <cell r="H874"/>
        </row>
        <row r="875">
          <cell r="A875"/>
          <cell r="B875"/>
          <cell r="C875"/>
          <cell r="D875"/>
          <cell r="E875"/>
          <cell r="F875"/>
          <cell r="G875"/>
          <cell r="H875"/>
        </row>
        <row r="876">
          <cell r="A876"/>
          <cell r="B876"/>
          <cell r="C876"/>
          <cell r="D876"/>
          <cell r="E876"/>
          <cell r="F876"/>
          <cell r="G876"/>
          <cell r="H876"/>
        </row>
        <row r="877">
          <cell r="A877"/>
          <cell r="B877"/>
          <cell r="C877"/>
          <cell r="D877"/>
          <cell r="E877"/>
          <cell r="F877"/>
          <cell r="G877"/>
          <cell r="H877"/>
        </row>
        <row r="878">
          <cell r="A878"/>
          <cell r="B878"/>
          <cell r="C878"/>
          <cell r="D878"/>
          <cell r="E878"/>
          <cell r="F878"/>
          <cell r="G878"/>
          <cell r="H878"/>
        </row>
        <row r="879">
          <cell r="A879"/>
          <cell r="B879"/>
          <cell r="C879"/>
          <cell r="D879"/>
          <cell r="E879"/>
          <cell r="F879"/>
          <cell r="G879"/>
          <cell r="H879"/>
        </row>
        <row r="880">
          <cell r="A880"/>
          <cell r="B880"/>
          <cell r="C880"/>
          <cell r="D880"/>
          <cell r="E880"/>
          <cell r="F880"/>
          <cell r="G880"/>
          <cell r="H880"/>
        </row>
        <row r="881">
          <cell r="A881"/>
          <cell r="B881"/>
          <cell r="C881"/>
          <cell r="D881"/>
          <cell r="E881"/>
          <cell r="F881"/>
          <cell r="G881"/>
          <cell r="H881"/>
        </row>
        <row r="882">
          <cell r="A882"/>
          <cell r="B882"/>
          <cell r="C882"/>
          <cell r="D882"/>
          <cell r="E882"/>
          <cell r="F882"/>
          <cell r="G882"/>
          <cell r="H882"/>
        </row>
        <row r="883">
          <cell r="A883"/>
          <cell r="B883"/>
          <cell r="C883"/>
          <cell r="D883"/>
          <cell r="E883"/>
          <cell r="F883"/>
          <cell r="G883"/>
          <cell r="H883"/>
        </row>
        <row r="884">
          <cell r="A884"/>
          <cell r="B884"/>
          <cell r="C884"/>
          <cell r="D884"/>
          <cell r="E884"/>
          <cell r="F884"/>
          <cell r="G884"/>
          <cell r="H884"/>
        </row>
        <row r="885">
          <cell r="A885"/>
          <cell r="B885"/>
          <cell r="C885"/>
          <cell r="D885"/>
          <cell r="E885"/>
          <cell r="F885"/>
          <cell r="G885"/>
          <cell r="H885"/>
        </row>
        <row r="886">
          <cell r="A886"/>
          <cell r="B886"/>
          <cell r="C886"/>
          <cell r="D886"/>
          <cell r="E886"/>
          <cell r="F886"/>
          <cell r="G886"/>
          <cell r="H886"/>
        </row>
        <row r="887">
          <cell r="A887"/>
          <cell r="B887"/>
          <cell r="C887"/>
          <cell r="D887"/>
          <cell r="E887"/>
          <cell r="F887"/>
          <cell r="G887"/>
          <cell r="H887"/>
        </row>
        <row r="888">
          <cell r="A888"/>
          <cell r="B888"/>
          <cell r="C888"/>
          <cell r="D888"/>
          <cell r="E888"/>
          <cell r="F888"/>
          <cell r="G888"/>
          <cell r="H888"/>
        </row>
        <row r="889">
          <cell r="A889"/>
          <cell r="B889"/>
          <cell r="C889"/>
          <cell r="D889"/>
          <cell r="E889"/>
          <cell r="F889"/>
          <cell r="G889"/>
          <cell r="H889"/>
        </row>
        <row r="890">
          <cell r="A890"/>
          <cell r="B890"/>
          <cell r="C890"/>
          <cell r="D890"/>
          <cell r="E890"/>
          <cell r="F890"/>
          <cell r="G890"/>
          <cell r="H890"/>
        </row>
        <row r="891">
          <cell r="A891"/>
          <cell r="B891"/>
          <cell r="C891"/>
          <cell r="D891"/>
          <cell r="E891"/>
          <cell r="F891"/>
          <cell r="G891"/>
          <cell r="H891"/>
        </row>
        <row r="892">
          <cell r="A892"/>
          <cell r="B892"/>
          <cell r="C892"/>
          <cell r="D892"/>
          <cell r="E892"/>
          <cell r="F892"/>
          <cell r="G892"/>
          <cell r="H892"/>
        </row>
        <row r="893">
          <cell r="A893"/>
          <cell r="B893"/>
          <cell r="C893"/>
          <cell r="D893"/>
          <cell r="E893"/>
          <cell r="F893"/>
          <cell r="G893"/>
          <cell r="H893"/>
        </row>
        <row r="894">
          <cell r="A894"/>
          <cell r="B894"/>
          <cell r="C894"/>
          <cell r="D894"/>
          <cell r="E894"/>
          <cell r="F894"/>
          <cell r="G894"/>
          <cell r="H894"/>
        </row>
        <row r="895">
          <cell r="A895"/>
          <cell r="B895"/>
          <cell r="C895"/>
          <cell r="D895"/>
          <cell r="E895"/>
          <cell r="F895"/>
          <cell r="G895"/>
          <cell r="H895"/>
        </row>
        <row r="896">
          <cell r="A896"/>
          <cell r="B896"/>
          <cell r="C896"/>
          <cell r="D896"/>
          <cell r="E896"/>
          <cell r="F896"/>
          <cell r="G896"/>
          <cell r="H896"/>
        </row>
        <row r="897">
          <cell r="A897"/>
          <cell r="B897"/>
          <cell r="C897"/>
          <cell r="D897"/>
          <cell r="E897"/>
          <cell r="F897"/>
          <cell r="G897"/>
          <cell r="H897"/>
        </row>
        <row r="898">
          <cell r="A898"/>
          <cell r="B898"/>
          <cell r="C898"/>
          <cell r="D898"/>
          <cell r="E898"/>
          <cell r="F898"/>
          <cell r="G898"/>
          <cell r="H898"/>
        </row>
        <row r="899">
          <cell r="A899"/>
          <cell r="B899"/>
          <cell r="C899"/>
          <cell r="D899"/>
          <cell r="E899"/>
          <cell r="F899"/>
          <cell r="G899"/>
          <cell r="H899"/>
        </row>
        <row r="900">
          <cell r="A900"/>
          <cell r="B900"/>
          <cell r="C900"/>
          <cell r="D900"/>
          <cell r="E900"/>
          <cell r="F900"/>
          <cell r="G900"/>
          <cell r="H900"/>
        </row>
        <row r="901">
          <cell r="A901"/>
          <cell r="B901"/>
          <cell r="C901"/>
          <cell r="D901"/>
          <cell r="E901"/>
          <cell r="F901"/>
          <cell r="G901"/>
          <cell r="H901"/>
        </row>
        <row r="902">
          <cell r="A902"/>
          <cell r="B902"/>
          <cell r="C902"/>
          <cell r="D902"/>
          <cell r="E902"/>
          <cell r="F902"/>
          <cell r="G902"/>
          <cell r="H902"/>
        </row>
        <row r="903">
          <cell r="A903"/>
          <cell r="B903"/>
          <cell r="C903"/>
          <cell r="D903"/>
          <cell r="E903"/>
          <cell r="F903"/>
          <cell r="G903"/>
          <cell r="H903"/>
        </row>
        <row r="904">
          <cell r="A904"/>
          <cell r="B904"/>
          <cell r="C904"/>
          <cell r="D904"/>
          <cell r="E904"/>
          <cell r="F904"/>
          <cell r="G904"/>
          <cell r="H904"/>
        </row>
        <row r="905">
          <cell r="A905"/>
          <cell r="B905"/>
          <cell r="C905"/>
          <cell r="D905"/>
          <cell r="E905"/>
          <cell r="F905"/>
          <cell r="G905"/>
          <cell r="H905"/>
        </row>
        <row r="906">
          <cell r="A906"/>
          <cell r="B906"/>
          <cell r="C906"/>
          <cell r="D906"/>
          <cell r="E906"/>
          <cell r="F906"/>
          <cell r="G906"/>
          <cell r="H906"/>
        </row>
        <row r="907">
          <cell r="A907"/>
          <cell r="B907"/>
          <cell r="C907"/>
          <cell r="D907"/>
          <cell r="E907"/>
          <cell r="F907"/>
          <cell r="G907"/>
          <cell r="H907"/>
        </row>
        <row r="908">
          <cell r="A908"/>
          <cell r="B908"/>
          <cell r="C908"/>
          <cell r="D908"/>
          <cell r="E908"/>
          <cell r="F908"/>
          <cell r="G908"/>
          <cell r="H908"/>
        </row>
        <row r="909">
          <cell r="A909"/>
          <cell r="B909"/>
          <cell r="C909"/>
          <cell r="D909"/>
          <cell r="E909"/>
          <cell r="F909"/>
          <cell r="G909"/>
          <cell r="H909"/>
        </row>
        <row r="910">
          <cell r="A910"/>
          <cell r="B910"/>
          <cell r="C910"/>
          <cell r="D910"/>
          <cell r="E910"/>
          <cell r="F910"/>
          <cell r="G910"/>
          <cell r="H910"/>
        </row>
        <row r="911">
          <cell r="A911"/>
          <cell r="B911"/>
          <cell r="C911"/>
          <cell r="D911"/>
          <cell r="E911"/>
          <cell r="F911"/>
          <cell r="G911"/>
          <cell r="H911"/>
        </row>
        <row r="912">
          <cell r="A912"/>
          <cell r="B912"/>
          <cell r="C912"/>
          <cell r="D912"/>
          <cell r="E912"/>
          <cell r="F912"/>
          <cell r="G912"/>
          <cell r="H912"/>
        </row>
        <row r="913">
          <cell r="A913"/>
          <cell r="B913"/>
          <cell r="C913"/>
          <cell r="D913"/>
          <cell r="E913"/>
          <cell r="F913"/>
          <cell r="G913"/>
          <cell r="H913"/>
        </row>
        <row r="914">
          <cell r="A914"/>
          <cell r="B914"/>
          <cell r="C914"/>
          <cell r="D914"/>
          <cell r="E914"/>
          <cell r="F914"/>
          <cell r="G914"/>
          <cell r="H914"/>
        </row>
        <row r="915">
          <cell r="A915"/>
          <cell r="B915"/>
          <cell r="C915"/>
          <cell r="D915"/>
          <cell r="E915"/>
          <cell r="F915"/>
          <cell r="G915"/>
          <cell r="H915"/>
        </row>
        <row r="916">
          <cell r="A916"/>
          <cell r="B916"/>
          <cell r="C916"/>
          <cell r="D916"/>
          <cell r="E916"/>
          <cell r="F916"/>
          <cell r="G916"/>
          <cell r="H916"/>
        </row>
        <row r="917">
          <cell r="A917"/>
          <cell r="B917"/>
          <cell r="C917"/>
          <cell r="D917"/>
          <cell r="E917"/>
          <cell r="F917"/>
          <cell r="G917"/>
          <cell r="H917"/>
        </row>
        <row r="918">
          <cell r="A918"/>
          <cell r="B918"/>
          <cell r="C918"/>
          <cell r="D918"/>
          <cell r="E918"/>
          <cell r="F918"/>
          <cell r="G918"/>
          <cell r="H918"/>
        </row>
        <row r="919">
          <cell r="A919"/>
          <cell r="B919"/>
          <cell r="C919"/>
          <cell r="D919"/>
          <cell r="E919"/>
          <cell r="F919"/>
          <cell r="G919"/>
          <cell r="H919"/>
        </row>
        <row r="920">
          <cell r="A920"/>
          <cell r="B920"/>
          <cell r="C920"/>
          <cell r="D920"/>
          <cell r="E920"/>
          <cell r="F920"/>
          <cell r="G920"/>
          <cell r="H920"/>
        </row>
        <row r="921">
          <cell r="A921"/>
          <cell r="B921"/>
          <cell r="C921"/>
          <cell r="D921"/>
          <cell r="E921"/>
          <cell r="F921"/>
          <cell r="G921"/>
          <cell r="H921"/>
        </row>
        <row r="922">
          <cell r="A922"/>
          <cell r="B922"/>
          <cell r="C922"/>
          <cell r="D922"/>
          <cell r="E922"/>
          <cell r="F922"/>
          <cell r="G922"/>
          <cell r="H922"/>
        </row>
        <row r="923">
          <cell r="A923"/>
          <cell r="B923"/>
          <cell r="C923"/>
          <cell r="D923"/>
          <cell r="E923"/>
          <cell r="F923"/>
          <cell r="G923"/>
          <cell r="H923"/>
        </row>
        <row r="924">
          <cell r="A924"/>
          <cell r="B924"/>
          <cell r="C924"/>
          <cell r="D924"/>
          <cell r="E924"/>
          <cell r="F924"/>
          <cell r="G924"/>
          <cell r="H924"/>
        </row>
        <row r="925">
          <cell r="A925"/>
          <cell r="B925"/>
          <cell r="C925"/>
          <cell r="D925"/>
          <cell r="E925"/>
          <cell r="F925"/>
          <cell r="G925"/>
          <cell r="H925"/>
        </row>
        <row r="926">
          <cell r="A926"/>
          <cell r="B926"/>
          <cell r="C926"/>
          <cell r="D926"/>
          <cell r="E926"/>
          <cell r="F926"/>
          <cell r="G926"/>
          <cell r="H926"/>
        </row>
        <row r="927">
          <cell r="A927"/>
          <cell r="B927"/>
          <cell r="C927"/>
          <cell r="D927"/>
          <cell r="E927"/>
          <cell r="F927"/>
          <cell r="G927"/>
          <cell r="H927"/>
        </row>
        <row r="928">
          <cell r="A928"/>
          <cell r="B928"/>
          <cell r="C928"/>
          <cell r="D928"/>
          <cell r="E928"/>
          <cell r="F928"/>
          <cell r="G928"/>
          <cell r="H928"/>
        </row>
        <row r="929">
          <cell r="A929"/>
          <cell r="B929"/>
          <cell r="C929"/>
          <cell r="D929"/>
          <cell r="E929"/>
          <cell r="F929"/>
          <cell r="G929"/>
          <cell r="H929"/>
        </row>
        <row r="930">
          <cell r="A930"/>
          <cell r="B930"/>
          <cell r="C930"/>
          <cell r="D930"/>
          <cell r="E930"/>
          <cell r="F930"/>
          <cell r="G930"/>
          <cell r="H930"/>
        </row>
        <row r="931">
          <cell r="A931"/>
          <cell r="B931"/>
          <cell r="C931"/>
          <cell r="D931"/>
          <cell r="E931"/>
          <cell r="F931"/>
          <cell r="G931"/>
          <cell r="H931"/>
        </row>
        <row r="932">
          <cell r="A932"/>
          <cell r="B932"/>
          <cell r="C932"/>
          <cell r="D932"/>
          <cell r="E932"/>
          <cell r="F932"/>
          <cell r="G932"/>
          <cell r="H932"/>
        </row>
        <row r="933">
          <cell r="A933"/>
          <cell r="B933"/>
          <cell r="C933"/>
          <cell r="D933"/>
          <cell r="E933"/>
          <cell r="F933"/>
          <cell r="G933"/>
          <cell r="H933"/>
        </row>
        <row r="934">
          <cell r="A934"/>
          <cell r="B934"/>
          <cell r="C934"/>
          <cell r="D934"/>
          <cell r="E934"/>
          <cell r="F934"/>
          <cell r="G934"/>
          <cell r="H934"/>
        </row>
        <row r="935">
          <cell r="A935"/>
          <cell r="B935"/>
          <cell r="C935"/>
          <cell r="D935"/>
          <cell r="E935"/>
          <cell r="F935"/>
          <cell r="G935"/>
          <cell r="H935"/>
        </row>
        <row r="936">
          <cell r="A936"/>
          <cell r="B936"/>
          <cell r="C936"/>
          <cell r="D936"/>
          <cell r="E936"/>
          <cell r="F936"/>
          <cell r="G936"/>
          <cell r="H936"/>
        </row>
        <row r="937">
          <cell r="A937"/>
          <cell r="B937"/>
          <cell r="C937"/>
          <cell r="D937"/>
          <cell r="E937"/>
          <cell r="F937"/>
          <cell r="G937"/>
          <cell r="H937"/>
        </row>
        <row r="938">
          <cell r="A938"/>
          <cell r="B938"/>
          <cell r="C938"/>
          <cell r="D938"/>
          <cell r="E938"/>
          <cell r="F938"/>
          <cell r="G938"/>
          <cell r="H938"/>
        </row>
        <row r="939">
          <cell r="A939"/>
          <cell r="B939"/>
          <cell r="C939"/>
          <cell r="D939"/>
          <cell r="E939"/>
          <cell r="F939"/>
          <cell r="G939"/>
          <cell r="H939"/>
        </row>
        <row r="940">
          <cell r="A940"/>
          <cell r="B940"/>
          <cell r="C940"/>
          <cell r="D940"/>
          <cell r="E940"/>
          <cell r="F940"/>
          <cell r="G940"/>
          <cell r="H940"/>
        </row>
        <row r="941">
          <cell r="A941"/>
          <cell r="B941"/>
          <cell r="C941"/>
          <cell r="D941"/>
          <cell r="E941"/>
          <cell r="F941"/>
          <cell r="G941"/>
          <cell r="H941"/>
        </row>
        <row r="942">
          <cell r="A942"/>
          <cell r="B942"/>
          <cell r="C942"/>
          <cell r="D942"/>
          <cell r="E942"/>
          <cell r="F942"/>
          <cell r="G942"/>
          <cell r="H942"/>
        </row>
        <row r="943">
          <cell r="A943"/>
          <cell r="B943"/>
          <cell r="C943"/>
          <cell r="D943"/>
          <cell r="E943"/>
          <cell r="F943"/>
          <cell r="G943"/>
          <cell r="H943"/>
        </row>
        <row r="944">
          <cell r="A944"/>
          <cell r="B944"/>
          <cell r="C944"/>
          <cell r="D944"/>
          <cell r="E944"/>
          <cell r="F944"/>
          <cell r="G944"/>
          <cell r="H944"/>
        </row>
        <row r="945">
          <cell r="A945"/>
          <cell r="B945"/>
          <cell r="C945"/>
          <cell r="D945"/>
          <cell r="E945"/>
          <cell r="F945"/>
          <cell r="G945"/>
          <cell r="H945"/>
        </row>
        <row r="946">
          <cell r="A946"/>
          <cell r="B946"/>
          <cell r="C946"/>
          <cell r="D946"/>
          <cell r="E946"/>
          <cell r="F946"/>
          <cell r="G946"/>
          <cell r="H946"/>
        </row>
        <row r="947">
          <cell r="A947"/>
          <cell r="B947"/>
          <cell r="C947"/>
          <cell r="D947"/>
          <cell r="E947"/>
          <cell r="F947"/>
          <cell r="G947"/>
          <cell r="H947"/>
        </row>
        <row r="948">
          <cell r="A948"/>
          <cell r="B948"/>
          <cell r="C948"/>
          <cell r="D948"/>
          <cell r="E948"/>
          <cell r="F948"/>
          <cell r="G948"/>
          <cell r="H948"/>
        </row>
        <row r="949">
          <cell r="A949"/>
          <cell r="B949"/>
          <cell r="C949"/>
          <cell r="D949"/>
          <cell r="E949"/>
          <cell r="F949"/>
          <cell r="G949"/>
          <cell r="H949"/>
        </row>
        <row r="950">
          <cell r="A950"/>
          <cell r="B950"/>
          <cell r="C950"/>
          <cell r="D950"/>
          <cell r="E950"/>
          <cell r="F950"/>
          <cell r="G950"/>
          <cell r="H950"/>
        </row>
        <row r="951">
          <cell r="A951"/>
          <cell r="B951"/>
          <cell r="C951"/>
          <cell r="D951"/>
          <cell r="E951"/>
          <cell r="F951"/>
          <cell r="G951"/>
          <cell r="H951"/>
        </row>
        <row r="952">
          <cell r="A952"/>
          <cell r="B952"/>
          <cell r="C952"/>
          <cell r="D952"/>
          <cell r="E952"/>
          <cell r="F952"/>
          <cell r="G952"/>
          <cell r="H952"/>
        </row>
        <row r="953">
          <cell r="A953"/>
          <cell r="B953"/>
          <cell r="C953"/>
          <cell r="D953"/>
          <cell r="E953"/>
          <cell r="F953"/>
          <cell r="G953"/>
          <cell r="H953"/>
        </row>
        <row r="954">
          <cell r="A954"/>
          <cell r="B954"/>
          <cell r="C954"/>
          <cell r="D954"/>
          <cell r="E954"/>
          <cell r="F954"/>
          <cell r="G954"/>
          <cell r="H954"/>
        </row>
        <row r="955">
          <cell r="A955"/>
          <cell r="B955"/>
          <cell r="C955"/>
          <cell r="D955"/>
          <cell r="E955"/>
          <cell r="F955"/>
          <cell r="G955"/>
          <cell r="H955"/>
        </row>
        <row r="956">
          <cell r="F956"/>
        </row>
        <row r="957">
          <cell r="F957"/>
        </row>
        <row r="958">
          <cell r="F958"/>
        </row>
        <row r="959">
          <cell r="F959"/>
        </row>
        <row r="960">
          <cell r="F960"/>
        </row>
        <row r="961">
          <cell r="F961"/>
        </row>
        <row r="962">
          <cell r="F962"/>
        </row>
        <row r="963">
          <cell r="F963"/>
        </row>
        <row r="964">
          <cell r="F964"/>
        </row>
        <row r="965">
          <cell r="F965"/>
        </row>
        <row r="966">
          <cell r="F966"/>
        </row>
        <row r="967">
          <cell r="F967"/>
        </row>
        <row r="968">
          <cell r="F968"/>
        </row>
        <row r="969">
          <cell r="F969"/>
        </row>
        <row r="970">
          <cell r="F970"/>
        </row>
        <row r="971">
          <cell r="F971"/>
        </row>
        <row r="972">
          <cell r="F972"/>
        </row>
        <row r="973">
          <cell r="F973"/>
        </row>
        <row r="974">
          <cell r="F974"/>
        </row>
        <row r="975">
          <cell r="F975"/>
        </row>
        <row r="976">
          <cell r="F976"/>
        </row>
        <row r="977">
          <cell r="F977"/>
        </row>
        <row r="978">
          <cell r="F978"/>
        </row>
        <row r="979">
          <cell r="F979"/>
        </row>
        <row r="980">
          <cell r="F980"/>
        </row>
        <row r="981">
          <cell r="F981"/>
        </row>
        <row r="982">
          <cell r="F982"/>
        </row>
        <row r="983">
          <cell r="F983"/>
        </row>
        <row r="984">
          <cell r="F984"/>
        </row>
        <row r="985">
          <cell r="F985"/>
        </row>
        <row r="986">
          <cell r="F986"/>
        </row>
        <row r="987">
          <cell r="F987"/>
        </row>
        <row r="988">
          <cell r="F988"/>
        </row>
        <row r="989">
          <cell r="F989"/>
        </row>
        <row r="990">
          <cell r="F990"/>
        </row>
        <row r="991">
          <cell r="F991"/>
        </row>
        <row r="992">
          <cell r="F992"/>
        </row>
        <row r="993">
          <cell r="F993"/>
        </row>
        <row r="994">
          <cell r="F994"/>
        </row>
        <row r="995">
          <cell r="F995"/>
        </row>
        <row r="996">
          <cell r="F996"/>
        </row>
        <row r="997">
          <cell r="F997"/>
        </row>
        <row r="998">
          <cell r="F998"/>
        </row>
        <row r="999">
          <cell r="F999"/>
        </row>
      </sheetData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Address</v>
          </cell>
          <cell r="B1" t="str">
            <v>Purchase Date</v>
          </cell>
          <cell r="C1" t="str">
            <v>Rehab Estimtate Kiavi</v>
          </cell>
          <cell r="D1" t="str">
            <v>Lead</v>
          </cell>
          <cell r="E1" t="str">
            <v>Contractor</v>
          </cell>
          <cell r="F1" t="str">
            <v>Town</v>
          </cell>
          <cell r="G1" t="str">
            <v>Exit Strategy</v>
          </cell>
          <cell r="H1" t="str">
            <v>Lender</v>
          </cell>
        </row>
        <row r="2">
          <cell r="A2" t="str">
            <v>10 Dennison</v>
          </cell>
          <cell r="B2">
            <v>44778</v>
          </cell>
          <cell r="C2">
            <v>157000</v>
          </cell>
          <cell r="D2"/>
          <cell r="E2"/>
          <cell r="F2"/>
          <cell r="G2" t="str">
            <v>Flip</v>
          </cell>
          <cell r="H2" t="str">
            <v>Kiavi</v>
          </cell>
        </row>
        <row r="3">
          <cell r="A3" t="str">
            <v>101 SIlver Lake Road</v>
          </cell>
          <cell r="B3">
            <v>45303</v>
          </cell>
          <cell r="C3">
            <v>90000</v>
          </cell>
          <cell r="D3" t="str">
            <v>Referral</v>
          </cell>
          <cell r="E3" t="str">
            <v>Politti</v>
          </cell>
          <cell r="F3" t="str">
            <v>Newtown</v>
          </cell>
          <cell r="G3" t="str">
            <v>Flip</v>
          </cell>
          <cell r="H3" t="str">
            <v>Kiavi</v>
          </cell>
        </row>
        <row r="4">
          <cell r="A4" t="str">
            <v>1055 Lalor St</v>
          </cell>
          <cell r="B4">
            <v>45534</v>
          </cell>
          <cell r="C4">
            <v>65100</v>
          </cell>
          <cell r="D4" t="str">
            <v>Wholesale</v>
          </cell>
          <cell r="E4"/>
          <cell r="F4" t="str">
            <v>Hamilton</v>
          </cell>
          <cell r="G4" t="str">
            <v>Flip</v>
          </cell>
          <cell r="H4" t="str">
            <v>Kiavi</v>
          </cell>
        </row>
        <row r="5">
          <cell r="A5" t="str">
            <v>113 Columbia</v>
          </cell>
          <cell r="B5">
            <v>44940</v>
          </cell>
          <cell r="C5">
            <v>19453.88</v>
          </cell>
          <cell r="D5"/>
          <cell r="E5"/>
          <cell r="F5"/>
          <cell r="G5" t="str">
            <v>Flip</v>
          </cell>
          <cell r="H5" t="str">
            <v>Kiavi</v>
          </cell>
        </row>
        <row r="6">
          <cell r="A6" t="str">
            <v>117 Parklane</v>
          </cell>
          <cell r="B6">
            <v>44826</v>
          </cell>
          <cell r="C6">
            <v>175000</v>
          </cell>
          <cell r="D6"/>
          <cell r="E6"/>
          <cell r="F6"/>
          <cell r="G6" t="str">
            <v>Flip</v>
          </cell>
          <cell r="H6" t="str">
            <v>Kiavi</v>
          </cell>
        </row>
        <row r="7">
          <cell r="A7" t="str">
            <v>132 Keswick Dr</v>
          </cell>
          <cell r="B7">
            <v>45499</v>
          </cell>
          <cell r="C7">
            <v>46000</v>
          </cell>
          <cell r="D7" t="str">
            <v>Homelight</v>
          </cell>
          <cell r="E7" t="str">
            <v>Politti</v>
          </cell>
          <cell r="F7" t="str">
            <v>Piscataway</v>
          </cell>
          <cell r="G7" t="str">
            <v>Flip</v>
          </cell>
          <cell r="H7" t="str">
            <v>Kiavi</v>
          </cell>
        </row>
        <row r="8">
          <cell r="A8" t="str">
            <v>154 Andrew Street</v>
          </cell>
          <cell r="B8">
            <v>45324</v>
          </cell>
          <cell r="C8">
            <v>100000</v>
          </cell>
          <cell r="D8" t="str">
            <v>Cold Call</v>
          </cell>
          <cell r="E8" t="str">
            <v>Immanuel Home Improvement</v>
          </cell>
          <cell r="F8" t="str">
            <v>Hamilton</v>
          </cell>
          <cell r="G8" t="str">
            <v>Flip</v>
          </cell>
          <cell r="H8" t="str">
            <v>Kiavi</v>
          </cell>
          <cell r="I8" t="str">
            <v>may rent</v>
          </cell>
        </row>
        <row r="9">
          <cell r="A9" t="str">
            <v>154 Lenox Ave</v>
          </cell>
          <cell r="B9">
            <v>45461</v>
          </cell>
          <cell r="C9">
            <v>131000</v>
          </cell>
          <cell r="D9" t="str">
            <v>Web Lead</v>
          </cell>
          <cell r="E9" t="str">
            <v>Not Assigned</v>
          </cell>
          <cell r="F9" t="str">
            <v>Hamilton</v>
          </cell>
          <cell r="G9" t="str">
            <v>Flip</v>
          </cell>
          <cell r="H9" t="str">
            <v>Kiavi</v>
          </cell>
        </row>
        <row r="10">
          <cell r="A10" t="str">
            <v xml:space="preserve">161 Joan Terrace </v>
          </cell>
          <cell r="B10">
            <v>45499</v>
          </cell>
          <cell r="C10">
            <v>46500</v>
          </cell>
          <cell r="D10" t="str">
            <v>MLS</v>
          </cell>
          <cell r="E10" t="str">
            <v>Blue Water</v>
          </cell>
          <cell r="F10" t="str">
            <v>Hamilton</v>
          </cell>
          <cell r="G10" t="str">
            <v>Rental</v>
          </cell>
          <cell r="H10" t="str">
            <v>Kiavi</v>
          </cell>
        </row>
        <row r="11">
          <cell r="A11" t="str">
            <v>173 Main St</v>
          </cell>
          <cell r="B11">
            <v>44951</v>
          </cell>
          <cell r="C11">
            <v>225000</v>
          </cell>
          <cell r="D11"/>
          <cell r="E11"/>
          <cell r="F11"/>
          <cell r="G11" t="str">
            <v>Flip</v>
          </cell>
          <cell r="H11" t="str">
            <v>Kiavi</v>
          </cell>
        </row>
        <row r="12">
          <cell r="A12" t="str">
            <v>174 E Highland Ave</v>
          </cell>
          <cell r="B12">
            <v>45470</v>
          </cell>
          <cell r="C12">
            <v>90000</v>
          </cell>
          <cell r="D12" t="str">
            <v>MLS</v>
          </cell>
          <cell r="E12" t="str">
            <v>Not Assigned</v>
          </cell>
          <cell r="F12" t="str">
            <v>Middletown</v>
          </cell>
          <cell r="G12" t="str">
            <v>Flip</v>
          </cell>
          <cell r="H12" t="str">
            <v>Kiavi</v>
          </cell>
        </row>
        <row r="13">
          <cell r="A13" t="str">
            <v>19 Orne</v>
          </cell>
          <cell r="B13">
            <v>44929</v>
          </cell>
          <cell r="C13">
            <v>155000</v>
          </cell>
          <cell r="D13"/>
          <cell r="E13"/>
          <cell r="F13"/>
          <cell r="G13" t="str">
            <v>Flip</v>
          </cell>
          <cell r="H13" t="str">
            <v>Kiavi</v>
          </cell>
        </row>
        <row r="14">
          <cell r="A14" t="str">
            <v>2 Nordacs</v>
          </cell>
          <cell r="B14">
            <v>45460</v>
          </cell>
          <cell r="C14">
            <v>30000</v>
          </cell>
          <cell r="D14" t="str">
            <v>MLS</v>
          </cell>
          <cell r="E14" t="str">
            <v>Not Assigned</v>
          </cell>
          <cell r="F14" t="str">
            <v>Trenton</v>
          </cell>
          <cell r="G14" t="str">
            <v>Rental</v>
          </cell>
          <cell r="H14" t="str">
            <v>Kiavi</v>
          </cell>
        </row>
        <row r="15">
          <cell r="A15" t="str">
            <v>200 Willow Rd</v>
          </cell>
          <cell r="B15">
            <v>45498</v>
          </cell>
          <cell r="C15">
            <v>130000</v>
          </cell>
          <cell r="D15" t="str">
            <v>Homelight</v>
          </cell>
          <cell r="E15" t="str">
            <v>Not Assigned</v>
          </cell>
          <cell r="F15" t="str">
            <v>Hillsborough</v>
          </cell>
          <cell r="G15" t="str">
            <v>Wholesale</v>
          </cell>
          <cell r="H15" t="str">
            <v>Kiavi</v>
          </cell>
          <cell r="I15" t="str">
            <v>wholesale</v>
          </cell>
        </row>
        <row r="16">
          <cell r="A16" t="str">
            <v>235 Ellis St</v>
          </cell>
          <cell r="B16">
            <v>45436</v>
          </cell>
          <cell r="C16">
            <v>80000</v>
          </cell>
          <cell r="D16" t="str">
            <v>Direct Mail</v>
          </cell>
          <cell r="E16" t="str">
            <v>Immanuel Home Improvement</v>
          </cell>
          <cell r="F16" t="str">
            <v>Burlington</v>
          </cell>
          <cell r="G16" t="str">
            <v>Flip</v>
          </cell>
          <cell r="H16" t="str">
            <v>Kiavi</v>
          </cell>
        </row>
        <row r="17">
          <cell r="A17" t="str">
            <v xml:space="preserve">24 Express </v>
          </cell>
          <cell r="B17">
            <v>45443</v>
          </cell>
          <cell r="C17">
            <v>70000</v>
          </cell>
          <cell r="D17" t="str">
            <v>Sheriff Sale</v>
          </cell>
          <cell r="E17" t="str">
            <v>Politti</v>
          </cell>
          <cell r="F17" t="str">
            <v>Willingboro</v>
          </cell>
          <cell r="G17" t="str">
            <v>Flip</v>
          </cell>
          <cell r="H17" t="str">
            <v>Kiavi</v>
          </cell>
        </row>
        <row r="18">
          <cell r="A18" t="str">
            <v>24 Longboat</v>
          </cell>
          <cell r="B18">
            <v>45524</v>
          </cell>
          <cell r="C18">
            <v>36360</v>
          </cell>
          <cell r="D18" t="str">
            <v>Homelight</v>
          </cell>
          <cell r="E18"/>
          <cell r="F18" t="str">
            <v>Barnegat</v>
          </cell>
          <cell r="G18" t="str">
            <v>Flip</v>
          </cell>
          <cell r="H18" t="str">
            <v>Kiavi</v>
          </cell>
        </row>
        <row r="19">
          <cell r="A19" t="str">
            <v>24 Longboat Ave</v>
          </cell>
          <cell r="B19"/>
          <cell r="C19">
            <v>36360</v>
          </cell>
          <cell r="D19" t="str">
            <v>Homelight</v>
          </cell>
          <cell r="E19" t="str">
            <v>Not Assigned</v>
          </cell>
          <cell r="F19" t="str">
            <v>Barnegat</v>
          </cell>
          <cell r="G19" t="str">
            <v>Wholesale</v>
          </cell>
          <cell r="H19" t="str">
            <v>Kiavi</v>
          </cell>
        </row>
        <row r="20">
          <cell r="A20" t="str">
            <v>24 Tynemouth Ct</v>
          </cell>
          <cell r="B20">
            <v>45442</v>
          </cell>
          <cell r="C20">
            <v>30000</v>
          </cell>
          <cell r="D20" t="str">
            <v>Sheriff Sale</v>
          </cell>
          <cell r="E20" t="str">
            <v xml:space="preserve">Herrera </v>
          </cell>
          <cell r="F20" t="str">
            <v>Robbinsville</v>
          </cell>
          <cell r="G20" t="str">
            <v>Flip</v>
          </cell>
          <cell r="H20" t="str">
            <v>Kiavi</v>
          </cell>
        </row>
        <row r="21">
          <cell r="A21" t="str">
            <v>275 Green St 4 B6</v>
          </cell>
          <cell r="B21">
            <v>45476</v>
          </cell>
          <cell r="C21">
            <v>15000</v>
          </cell>
          <cell r="D21" t="str">
            <v>Sheriff Sale</v>
          </cell>
          <cell r="E21" t="str">
            <v>Labs Real Estate</v>
          </cell>
          <cell r="F21" t="str">
            <v>Edgewater Park</v>
          </cell>
          <cell r="G21" t="str">
            <v>Flip</v>
          </cell>
          <cell r="H21" t="str">
            <v>Kiavi</v>
          </cell>
        </row>
        <row r="22">
          <cell r="A22" t="str">
            <v>28 Diverty</v>
          </cell>
          <cell r="B22">
            <v>44564</v>
          </cell>
          <cell r="C22">
            <v>250000</v>
          </cell>
          <cell r="D22"/>
          <cell r="E22"/>
          <cell r="F22"/>
          <cell r="G22" t="str">
            <v>Flip</v>
          </cell>
          <cell r="H22" t="str">
            <v>Kiavi</v>
          </cell>
        </row>
        <row r="23">
          <cell r="A23" t="str">
            <v>313 Delaware Ave</v>
          </cell>
          <cell r="B23">
            <v>45177</v>
          </cell>
          <cell r="C23">
            <v>87000</v>
          </cell>
          <cell r="D23"/>
          <cell r="E23" t="str">
            <v>Code Rite</v>
          </cell>
          <cell r="F23" t="str">
            <v>Palmyra</v>
          </cell>
          <cell r="G23" t="str">
            <v>Flip</v>
          </cell>
          <cell r="H23" t="str">
            <v>Kiavi</v>
          </cell>
        </row>
        <row r="24">
          <cell r="A24" t="str">
            <v>314 9th St</v>
          </cell>
          <cell r="B24">
            <v>45505</v>
          </cell>
          <cell r="C24">
            <v>75000</v>
          </cell>
          <cell r="D24" t="str">
            <v>Wholesale</v>
          </cell>
          <cell r="E24" t="str">
            <v>Not Assigned</v>
          </cell>
          <cell r="F24" t="str">
            <v>Gloucester</v>
          </cell>
          <cell r="G24" t="str">
            <v>Wholesale</v>
          </cell>
          <cell r="H24" t="str">
            <v>Kiavi</v>
          </cell>
          <cell r="I24" t="str">
            <v>wholesale</v>
          </cell>
        </row>
        <row r="25">
          <cell r="A25" t="str">
            <v>316 W 3rd St Florence</v>
          </cell>
          <cell r="B25">
            <v>45232</v>
          </cell>
          <cell r="C25"/>
          <cell r="D25"/>
          <cell r="E25" t="str">
            <v>Politti</v>
          </cell>
          <cell r="F25" t="str">
            <v>Florence</v>
          </cell>
          <cell r="G25" t="str">
            <v>Flip</v>
          </cell>
          <cell r="H25" t="str">
            <v>Kiavi</v>
          </cell>
          <cell r="I25" t="str">
            <v>may temp rent it</v>
          </cell>
        </row>
        <row r="26">
          <cell r="A26" t="str">
            <v>324 St Mary St</v>
          </cell>
          <cell r="B26">
            <v>45448</v>
          </cell>
          <cell r="C26">
            <v>60000</v>
          </cell>
          <cell r="D26" t="str">
            <v>Wholesale</v>
          </cell>
          <cell r="E26" t="str">
            <v>Herrera</v>
          </cell>
          <cell r="F26" t="str">
            <v>Burlington</v>
          </cell>
          <cell r="G26" t="str">
            <v>Flip</v>
          </cell>
          <cell r="H26" t="str">
            <v>Kiavi</v>
          </cell>
        </row>
        <row r="27">
          <cell r="A27" t="str">
            <v>343 Elm Ave</v>
          </cell>
          <cell r="B27"/>
          <cell r="C27">
            <v>44100</v>
          </cell>
          <cell r="D27" t="str">
            <v>Sheriff Sale</v>
          </cell>
          <cell r="E27" t="str">
            <v>Not Assigned</v>
          </cell>
          <cell r="F27" t="str">
            <v>Burlington</v>
          </cell>
          <cell r="G27" t="str">
            <v>Flip</v>
          </cell>
          <cell r="H27" t="str">
            <v>Kiavi</v>
          </cell>
        </row>
        <row r="28">
          <cell r="A28" t="str">
            <v xml:space="preserve">343 Elm Ave </v>
          </cell>
          <cell r="B28">
            <v>45516</v>
          </cell>
          <cell r="C28">
            <v>44100</v>
          </cell>
          <cell r="D28" t="str">
            <v>Sheriff Sale</v>
          </cell>
          <cell r="E28"/>
          <cell r="F28" t="str">
            <v>Burlington</v>
          </cell>
          <cell r="G28" t="str">
            <v>Flip</v>
          </cell>
          <cell r="H28" t="str">
            <v>Kiavi</v>
          </cell>
        </row>
        <row r="29">
          <cell r="A29" t="str">
            <v>35 Pensdale Lane</v>
          </cell>
          <cell r="B29">
            <v>45161</v>
          </cell>
          <cell r="C29">
            <v>105000</v>
          </cell>
          <cell r="D29"/>
          <cell r="E29" t="str">
            <v>Politti</v>
          </cell>
          <cell r="F29" t="str">
            <v>Willingboro</v>
          </cell>
          <cell r="G29" t="str">
            <v>Flip</v>
          </cell>
          <cell r="H29" t="str">
            <v>Kiavi</v>
          </cell>
        </row>
        <row r="30">
          <cell r="A30" t="str">
            <v>4 Goat Hill</v>
          </cell>
          <cell r="B30">
            <v>45481</v>
          </cell>
          <cell r="C30">
            <v>47200</v>
          </cell>
          <cell r="D30" t="str">
            <v>Sheriff Sale</v>
          </cell>
          <cell r="E30" t="str">
            <v>Not Assigned</v>
          </cell>
          <cell r="F30" t="str">
            <v>Sicklerville</v>
          </cell>
          <cell r="G30" t="str">
            <v>Flip</v>
          </cell>
          <cell r="H30" t="str">
            <v>Kiavi</v>
          </cell>
        </row>
        <row r="31">
          <cell r="A31" t="str">
            <v>4 Huron Way</v>
          </cell>
          <cell r="B31">
            <v>45422</v>
          </cell>
          <cell r="C31">
            <v>100000</v>
          </cell>
          <cell r="D31" t="str">
            <v>Referral</v>
          </cell>
          <cell r="E31" t="str">
            <v>Politti</v>
          </cell>
          <cell r="F31" t="str">
            <v>Lawrence</v>
          </cell>
          <cell r="G31" t="str">
            <v>Flip</v>
          </cell>
          <cell r="H31" t="str">
            <v>Kiavi</v>
          </cell>
        </row>
        <row r="32">
          <cell r="A32" t="str">
            <v>4 Williams</v>
          </cell>
          <cell r="B32">
            <v>44957</v>
          </cell>
          <cell r="C32">
            <v>285000</v>
          </cell>
          <cell r="D32"/>
          <cell r="E32"/>
          <cell r="F32"/>
          <cell r="G32" t="str">
            <v>Flip</v>
          </cell>
          <cell r="H32" t="str">
            <v>Kiavi</v>
          </cell>
        </row>
        <row r="33">
          <cell r="A33" t="str">
            <v>43 Ellsworth</v>
          </cell>
          <cell r="B33">
            <v>45027</v>
          </cell>
          <cell r="C33"/>
          <cell r="D33"/>
          <cell r="E33" t="str">
            <v>Not Assigned</v>
          </cell>
          <cell r="F33" t="str">
            <v>Trenton</v>
          </cell>
          <cell r="G33" t="str">
            <v>Flip</v>
          </cell>
          <cell r="H33" t="str">
            <v>Kiavi</v>
          </cell>
        </row>
        <row r="34">
          <cell r="A34" t="str">
            <v>430 Kossuth St</v>
          </cell>
          <cell r="B34">
            <v>45443</v>
          </cell>
          <cell r="C34">
            <v>35000</v>
          </cell>
          <cell r="D34" t="str">
            <v>Direct Mail</v>
          </cell>
          <cell r="E34" t="str">
            <v xml:space="preserve">Politti </v>
          </cell>
          <cell r="F34" t="str">
            <v>Riverside</v>
          </cell>
          <cell r="G34" t="str">
            <v>Flip</v>
          </cell>
          <cell r="H34" t="str">
            <v>Kiavi</v>
          </cell>
        </row>
        <row r="35">
          <cell r="A35" t="str">
            <v>5 Edwards Place</v>
          </cell>
          <cell r="B35">
            <v>45443</v>
          </cell>
          <cell r="C35">
            <v>66700</v>
          </cell>
          <cell r="D35" t="str">
            <v>MLS</v>
          </cell>
          <cell r="E35" t="str">
            <v>Not Assigned</v>
          </cell>
          <cell r="F35" t="str">
            <v>Ewing</v>
          </cell>
          <cell r="G35" t="str">
            <v>Wholesale</v>
          </cell>
          <cell r="H35" t="str">
            <v>Kiavi</v>
          </cell>
          <cell r="I35" t="str">
            <v>wholesale</v>
          </cell>
        </row>
        <row r="36">
          <cell r="A36" t="str">
            <v>52 Annabelle</v>
          </cell>
          <cell r="B36">
            <v>45012</v>
          </cell>
          <cell r="C36">
            <v>50000</v>
          </cell>
          <cell r="D36"/>
          <cell r="E36"/>
          <cell r="F36"/>
          <cell r="G36" t="str">
            <v>Flip</v>
          </cell>
          <cell r="H36" t="str">
            <v>Kiavi</v>
          </cell>
        </row>
        <row r="37">
          <cell r="A37" t="str">
            <v>586 Chestnut Ave</v>
          </cell>
          <cell r="B37">
            <v>45530</v>
          </cell>
          <cell r="C37">
            <v>75000</v>
          </cell>
          <cell r="D37" t="str">
            <v>Homelight</v>
          </cell>
          <cell r="E37"/>
          <cell r="F37" t="str">
            <v>Trenton</v>
          </cell>
          <cell r="G37" t="str">
            <v>Flip</v>
          </cell>
          <cell r="H37" t="str">
            <v>Kiavi</v>
          </cell>
        </row>
        <row r="38">
          <cell r="A38" t="str">
            <v>6 Pinehurst</v>
          </cell>
          <cell r="B38">
            <v>45490</v>
          </cell>
          <cell r="C38">
            <v>46500</v>
          </cell>
          <cell r="D38" t="str">
            <v>Sheriff Sale</v>
          </cell>
          <cell r="E38" t="str">
            <v>Politti</v>
          </cell>
          <cell r="F38" t="str">
            <v>Lindenwold</v>
          </cell>
          <cell r="G38" t="str">
            <v>Flip</v>
          </cell>
          <cell r="H38" t="str">
            <v>Kiavi</v>
          </cell>
        </row>
        <row r="39">
          <cell r="A39" t="str">
            <v>607 Benton Lane</v>
          </cell>
          <cell r="B39">
            <v>45470</v>
          </cell>
          <cell r="C39">
            <v>70000</v>
          </cell>
          <cell r="D39" t="str">
            <v>MLS</v>
          </cell>
          <cell r="E39" t="str">
            <v>Will &amp; Sons</v>
          </cell>
          <cell r="F39" t="str">
            <v>Morrisville</v>
          </cell>
          <cell r="G39" t="str">
            <v>Flip</v>
          </cell>
          <cell r="H39" t="str">
            <v>Kiavi</v>
          </cell>
        </row>
        <row r="40">
          <cell r="A40" t="str">
            <v>612 Silver Ct</v>
          </cell>
          <cell r="B40">
            <v>44939</v>
          </cell>
          <cell r="C40">
            <v>166000</v>
          </cell>
          <cell r="D40"/>
          <cell r="E40"/>
          <cell r="F40"/>
          <cell r="G40" t="str">
            <v>Flip</v>
          </cell>
          <cell r="H40" t="str">
            <v>Kiavi</v>
          </cell>
        </row>
        <row r="41">
          <cell r="A41" t="str">
            <v>6124 Camden Ave</v>
          </cell>
          <cell r="B41">
            <v>45503</v>
          </cell>
          <cell r="C41">
            <v>70000</v>
          </cell>
          <cell r="D41" t="str">
            <v>Sheriff Sale</v>
          </cell>
          <cell r="E41" t="str">
            <v>Politti</v>
          </cell>
          <cell r="F41" t="str">
            <v>Pennsauken</v>
          </cell>
          <cell r="G41" t="str">
            <v>Flip</v>
          </cell>
          <cell r="H41" t="str">
            <v>Kiavi</v>
          </cell>
        </row>
        <row r="42">
          <cell r="A42" t="str">
            <v>72 New Cedar Ln</v>
          </cell>
          <cell r="B42">
            <v>45497</v>
          </cell>
          <cell r="C42">
            <v>39800</v>
          </cell>
          <cell r="D42" t="str">
            <v>MLS</v>
          </cell>
          <cell r="E42" t="str">
            <v>Blue Water</v>
          </cell>
          <cell r="F42" t="str">
            <v>Hamilton</v>
          </cell>
          <cell r="G42" t="str">
            <v>Rental</v>
          </cell>
          <cell r="H42" t="str">
            <v>Kiavi</v>
          </cell>
        </row>
        <row r="43">
          <cell r="A43" t="str">
            <v>912 Adeline St</v>
          </cell>
          <cell r="B43"/>
          <cell r="C43">
            <v>32000</v>
          </cell>
          <cell r="D43" t="str">
            <v>Realtor Contract</v>
          </cell>
          <cell r="E43" t="str">
            <v>Shiny Diamond</v>
          </cell>
          <cell r="F43" t="str">
            <v>Trenton</v>
          </cell>
          <cell r="G43" t="str">
            <v>Rental</v>
          </cell>
          <cell r="H43" t="str">
            <v>Kiavi</v>
          </cell>
        </row>
        <row r="44">
          <cell r="A44" t="str">
            <v>943 Columbus</v>
          </cell>
          <cell r="B44">
            <v>45475</v>
          </cell>
          <cell r="C44">
            <v>65000</v>
          </cell>
          <cell r="D44" t="str">
            <v>Direct Mail</v>
          </cell>
          <cell r="E44" t="str">
            <v>Not Assigned</v>
          </cell>
          <cell r="F44" t="str">
            <v>Burlington</v>
          </cell>
          <cell r="G44" t="str">
            <v>Flip</v>
          </cell>
          <cell r="H44" t="str">
            <v>Kiavi</v>
          </cell>
        </row>
        <row r="45">
          <cell r="A45" t="str">
            <v>554 Bellevue Ave</v>
          </cell>
          <cell r="B45">
            <v>44957</v>
          </cell>
          <cell r="C45"/>
          <cell r="D45"/>
          <cell r="E45"/>
          <cell r="F45"/>
          <cell r="G45" t="str">
            <v>Flip</v>
          </cell>
          <cell r="H45" t="str">
            <v>Kiavi</v>
          </cell>
        </row>
        <row r="46">
          <cell r="B46"/>
          <cell r="C46"/>
          <cell r="D46"/>
          <cell r="E46"/>
          <cell r="F46"/>
          <cell r="G46" t="str">
            <v>Flip</v>
          </cell>
          <cell r="H46"/>
        </row>
        <row r="47">
          <cell r="B47"/>
          <cell r="C47"/>
          <cell r="D47"/>
          <cell r="E47"/>
          <cell r="F47"/>
          <cell r="G47" t="str">
            <v>Flip</v>
          </cell>
          <cell r="H47"/>
        </row>
        <row r="48">
          <cell r="B48"/>
          <cell r="C48"/>
          <cell r="D48"/>
          <cell r="E48"/>
          <cell r="F48"/>
          <cell r="G48" t="str">
            <v>Flip</v>
          </cell>
          <cell r="H48"/>
        </row>
        <row r="49">
          <cell r="B49"/>
          <cell r="C49"/>
          <cell r="D49"/>
          <cell r="E49"/>
          <cell r="F49"/>
          <cell r="G49" t="str">
            <v>Flip</v>
          </cell>
          <cell r="H49"/>
        </row>
        <row r="50">
          <cell r="B50"/>
          <cell r="C50"/>
          <cell r="D50"/>
          <cell r="E50"/>
          <cell r="F50"/>
          <cell r="G50" t="str">
            <v>Flip</v>
          </cell>
          <cell r="H50"/>
        </row>
        <row r="51">
          <cell r="B51"/>
          <cell r="C51"/>
          <cell r="D51"/>
          <cell r="E51"/>
          <cell r="F51"/>
          <cell r="G51" t="str">
            <v>Flip</v>
          </cell>
          <cell r="H51"/>
        </row>
        <row r="52">
          <cell r="B52"/>
          <cell r="C52"/>
          <cell r="D52"/>
          <cell r="E52"/>
          <cell r="F52"/>
          <cell r="G52" t="str">
            <v>Flip</v>
          </cell>
          <cell r="H52"/>
        </row>
        <row r="53">
          <cell r="B53"/>
          <cell r="C53"/>
          <cell r="D53"/>
          <cell r="E53"/>
          <cell r="F53"/>
          <cell r="G53" t="str">
            <v>Flip</v>
          </cell>
          <cell r="H53"/>
        </row>
        <row r="54">
          <cell r="B54"/>
          <cell r="C54"/>
          <cell r="D54"/>
          <cell r="E54"/>
          <cell r="F54"/>
          <cell r="G54" t="str">
            <v>Flip</v>
          </cell>
          <cell r="H54"/>
        </row>
        <row r="55">
          <cell r="B55"/>
          <cell r="C55"/>
          <cell r="D55"/>
          <cell r="E55"/>
          <cell r="F55"/>
          <cell r="G55" t="str">
            <v>Flip</v>
          </cell>
          <cell r="H55"/>
        </row>
        <row r="56">
          <cell r="B56"/>
          <cell r="C56"/>
          <cell r="D56"/>
          <cell r="E56"/>
          <cell r="F56"/>
          <cell r="G56" t="str">
            <v>Flip</v>
          </cell>
          <cell r="H56"/>
        </row>
        <row r="57">
          <cell r="B57"/>
          <cell r="C57"/>
          <cell r="D57"/>
          <cell r="E57"/>
          <cell r="F57"/>
          <cell r="G57"/>
          <cell r="H57"/>
        </row>
        <row r="58">
          <cell r="B58"/>
          <cell r="C58"/>
          <cell r="D58"/>
          <cell r="E58"/>
          <cell r="F58"/>
          <cell r="G58"/>
          <cell r="H58"/>
        </row>
        <row r="59">
          <cell r="B59"/>
          <cell r="C59"/>
          <cell r="D59"/>
          <cell r="E59"/>
          <cell r="F59"/>
          <cell r="G59"/>
          <cell r="H59"/>
        </row>
        <row r="60">
          <cell r="B60"/>
          <cell r="C60"/>
          <cell r="D60"/>
          <cell r="E60"/>
          <cell r="F60"/>
          <cell r="G60"/>
          <cell r="H60"/>
        </row>
        <row r="61">
          <cell r="B61"/>
          <cell r="C61"/>
          <cell r="D61"/>
          <cell r="E61"/>
          <cell r="F61"/>
          <cell r="G61"/>
          <cell r="H61"/>
        </row>
        <row r="62">
          <cell r="B62"/>
          <cell r="C62"/>
          <cell r="D62"/>
          <cell r="E62"/>
          <cell r="F62"/>
          <cell r="G62"/>
          <cell r="H62"/>
        </row>
        <row r="63">
          <cell r="B63"/>
          <cell r="C63"/>
          <cell r="D63"/>
          <cell r="E63"/>
          <cell r="F63"/>
          <cell r="G63"/>
          <cell r="H63"/>
        </row>
        <row r="64">
          <cell r="B64"/>
          <cell r="C64"/>
          <cell r="D64"/>
          <cell r="E64"/>
          <cell r="F64"/>
          <cell r="G64"/>
          <cell r="H64"/>
        </row>
        <row r="65">
          <cell r="B65"/>
          <cell r="C65"/>
          <cell r="D65"/>
          <cell r="E65"/>
          <cell r="F65"/>
          <cell r="G65"/>
          <cell r="H65"/>
        </row>
        <row r="66">
          <cell r="B66"/>
          <cell r="C66"/>
          <cell r="D66"/>
          <cell r="E66"/>
          <cell r="F66"/>
          <cell r="G66"/>
          <cell r="H66"/>
        </row>
        <row r="67">
          <cell r="B67"/>
          <cell r="C67"/>
          <cell r="D67"/>
          <cell r="E67"/>
          <cell r="F67"/>
          <cell r="G67"/>
          <cell r="H67"/>
        </row>
        <row r="68">
          <cell r="B68"/>
          <cell r="C68"/>
          <cell r="D68"/>
          <cell r="E68"/>
          <cell r="F68"/>
          <cell r="G68"/>
          <cell r="H68"/>
        </row>
        <row r="69">
          <cell r="B69"/>
          <cell r="C69"/>
          <cell r="D69"/>
          <cell r="E69"/>
          <cell r="F69"/>
          <cell r="G69"/>
          <cell r="H69"/>
        </row>
        <row r="70">
          <cell r="B70"/>
          <cell r="C70"/>
          <cell r="D70"/>
          <cell r="E70"/>
          <cell r="F70"/>
          <cell r="G70"/>
          <cell r="H70"/>
        </row>
        <row r="71">
          <cell r="B71"/>
          <cell r="C71"/>
          <cell r="D71"/>
          <cell r="E71"/>
          <cell r="F71"/>
          <cell r="G71"/>
          <cell r="H71"/>
        </row>
        <row r="72">
          <cell r="B72"/>
          <cell r="C72"/>
          <cell r="D72"/>
          <cell r="E72"/>
          <cell r="F72"/>
          <cell r="G72"/>
          <cell r="H72"/>
        </row>
        <row r="73">
          <cell r="B73"/>
          <cell r="C73"/>
          <cell r="D73"/>
          <cell r="E73"/>
          <cell r="F73"/>
          <cell r="G73"/>
          <cell r="H73"/>
        </row>
        <row r="74">
          <cell r="B74"/>
          <cell r="C74"/>
          <cell r="D74"/>
          <cell r="E74"/>
          <cell r="F74"/>
          <cell r="G74"/>
          <cell r="H74"/>
        </row>
        <row r="75">
          <cell r="B75"/>
          <cell r="C75"/>
          <cell r="D75"/>
          <cell r="E75"/>
          <cell r="F75"/>
          <cell r="G75"/>
          <cell r="H75"/>
        </row>
        <row r="76">
          <cell r="B76"/>
          <cell r="C76"/>
          <cell r="D76"/>
          <cell r="E76"/>
          <cell r="F76"/>
          <cell r="G76"/>
          <cell r="H76"/>
        </row>
        <row r="77">
          <cell r="B77"/>
          <cell r="C77"/>
          <cell r="D77"/>
          <cell r="E77"/>
          <cell r="F77"/>
          <cell r="G77"/>
          <cell r="H77"/>
        </row>
        <row r="78">
          <cell r="B78"/>
          <cell r="C78"/>
          <cell r="D78"/>
          <cell r="E78"/>
          <cell r="F78"/>
          <cell r="G78"/>
          <cell r="H78"/>
        </row>
        <row r="79">
          <cell r="B79"/>
          <cell r="C79"/>
          <cell r="D79"/>
          <cell r="E79"/>
          <cell r="F79"/>
          <cell r="G79"/>
          <cell r="H79"/>
        </row>
        <row r="80">
          <cell r="B80"/>
          <cell r="C80"/>
          <cell r="D80"/>
          <cell r="E80"/>
          <cell r="F80"/>
          <cell r="G80"/>
          <cell r="H80"/>
        </row>
        <row r="81">
          <cell r="B81"/>
          <cell r="C81"/>
          <cell r="D81"/>
          <cell r="E81"/>
          <cell r="F81"/>
          <cell r="G81"/>
          <cell r="H81"/>
        </row>
        <row r="82">
          <cell r="B82"/>
          <cell r="C82"/>
          <cell r="D82"/>
          <cell r="E82"/>
          <cell r="F82"/>
          <cell r="G82"/>
          <cell r="H82"/>
        </row>
        <row r="83">
          <cell r="B83"/>
          <cell r="C83"/>
          <cell r="D83"/>
          <cell r="E83"/>
          <cell r="F83"/>
          <cell r="G83"/>
          <cell r="H83"/>
        </row>
        <row r="84">
          <cell r="B84"/>
          <cell r="C84"/>
          <cell r="D84"/>
          <cell r="E84"/>
          <cell r="F84"/>
          <cell r="G84"/>
          <cell r="H84"/>
        </row>
        <row r="85">
          <cell r="B85"/>
          <cell r="C85"/>
          <cell r="D85"/>
          <cell r="E85"/>
          <cell r="F85"/>
          <cell r="G85"/>
          <cell r="H85"/>
        </row>
        <row r="86">
          <cell r="B86"/>
          <cell r="C86"/>
          <cell r="D86"/>
          <cell r="E86"/>
          <cell r="F86"/>
          <cell r="G86"/>
          <cell r="H86"/>
        </row>
        <row r="87">
          <cell r="B87"/>
          <cell r="C87"/>
          <cell r="D87"/>
          <cell r="E87"/>
          <cell r="F87"/>
          <cell r="G87"/>
          <cell r="H87"/>
        </row>
        <row r="88">
          <cell r="B88"/>
          <cell r="C88"/>
          <cell r="D88"/>
          <cell r="E88"/>
          <cell r="F88"/>
          <cell r="G88"/>
          <cell r="H88"/>
        </row>
        <row r="89">
          <cell r="B89"/>
          <cell r="C89"/>
          <cell r="D89"/>
          <cell r="E89"/>
          <cell r="F89"/>
          <cell r="G89"/>
          <cell r="H89"/>
        </row>
        <row r="90">
          <cell r="B90"/>
          <cell r="C90"/>
          <cell r="D90"/>
          <cell r="E90"/>
          <cell r="F90"/>
          <cell r="G90"/>
          <cell r="H90"/>
        </row>
        <row r="91">
          <cell r="B91"/>
          <cell r="C91"/>
          <cell r="D91"/>
          <cell r="E91"/>
          <cell r="F91"/>
          <cell r="G91"/>
          <cell r="H91"/>
        </row>
        <row r="92">
          <cell r="B92"/>
          <cell r="C92"/>
          <cell r="D92"/>
          <cell r="E92"/>
          <cell r="F92"/>
          <cell r="G92"/>
          <cell r="H92"/>
        </row>
        <row r="93">
          <cell r="B93"/>
          <cell r="C93"/>
          <cell r="D93"/>
          <cell r="E93"/>
          <cell r="F93"/>
          <cell r="G93"/>
          <cell r="H93"/>
        </row>
        <row r="94">
          <cell r="B94"/>
          <cell r="C94"/>
          <cell r="D94"/>
          <cell r="E94"/>
          <cell r="F94"/>
          <cell r="G94"/>
          <cell r="H94"/>
        </row>
        <row r="95">
          <cell r="B95"/>
          <cell r="C95"/>
          <cell r="D95"/>
          <cell r="E95"/>
          <cell r="F95"/>
          <cell r="G95"/>
          <cell r="H95"/>
        </row>
        <row r="96">
          <cell r="B96"/>
          <cell r="C96"/>
          <cell r="D96"/>
          <cell r="E96"/>
          <cell r="F96"/>
          <cell r="G96"/>
          <cell r="H96"/>
        </row>
        <row r="97">
          <cell r="B97"/>
          <cell r="C97"/>
          <cell r="D97"/>
          <cell r="E97"/>
          <cell r="F97"/>
          <cell r="G97"/>
          <cell r="H97"/>
        </row>
        <row r="98">
          <cell r="B98"/>
          <cell r="C98"/>
          <cell r="D98"/>
          <cell r="E98"/>
          <cell r="F98"/>
          <cell r="G98"/>
          <cell r="H98"/>
        </row>
        <row r="99">
          <cell r="B99"/>
          <cell r="C99"/>
          <cell r="D99"/>
          <cell r="E99"/>
          <cell r="F99"/>
          <cell r="G99"/>
          <cell r="H99"/>
        </row>
        <row r="100">
          <cell r="B100"/>
          <cell r="C100"/>
          <cell r="D100"/>
          <cell r="E100"/>
          <cell r="F100"/>
          <cell r="G100"/>
          <cell r="H100"/>
        </row>
        <row r="101">
          <cell r="B101"/>
          <cell r="C101"/>
          <cell r="D101"/>
          <cell r="E101"/>
          <cell r="F101"/>
          <cell r="G101"/>
          <cell r="H101"/>
        </row>
        <row r="102">
          <cell r="B102"/>
          <cell r="C102"/>
          <cell r="D102"/>
          <cell r="E102"/>
          <cell r="F102"/>
          <cell r="G102"/>
          <cell r="H102"/>
        </row>
        <row r="103">
          <cell r="B103"/>
          <cell r="C103"/>
          <cell r="D103"/>
          <cell r="E103"/>
          <cell r="F103"/>
          <cell r="G103"/>
          <cell r="H103"/>
        </row>
        <row r="104">
          <cell r="B104"/>
          <cell r="C104"/>
          <cell r="D104"/>
          <cell r="E104"/>
          <cell r="F104"/>
          <cell r="G104"/>
          <cell r="H104"/>
        </row>
        <row r="105">
          <cell r="B105"/>
          <cell r="C105"/>
          <cell r="D105"/>
          <cell r="E105"/>
          <cell r="F105"/>
          <cell r="G105"/>
          <cell r="H105"/>
        </row>
        <row r="106">
          <cell r="B106"/>
          <cell r="C106"/>
          <cell r="D106"/>
          <cell r="E106"/>
          <cell r="F106"/>
          <cell r="G106"/>
          <cell r="H106"/>
        </row>
        <row r="107">
          <cell r="B107"/>
          <cell r="C107"/>
          <cell r="D107"/>
          <cell r="E107"/>
          <cell r="F107"/>
          <cell r="G107"/>
          <cell r="H107"/>
        </row>
        <row r="108">
          <cell r="B108"/>
          <cell r="C108"/>
          <cell r="D108"/>
          <cell r="E108"/>
          <cell r="F108"/>
          <cell r="G108"/>
          <cell r="H108"/>
        </row>
        <row r="109">
          <cell r="B109"/>
          <cell r="C109"/>
          <cell r="D109"/>
          <cell r="E109"/>
          <cell r="F109"/>
          <cell r="G109"/>
          <cell r="H109"/>
        </row>
        <row r="110">
          <cell r="B110"/>
          <cell r="C110"/>
          <cell r="D110"/>
          <cell r="E110"/>
          <cell r="F110"/>
          <cell r="G110"/>
          <cell r="H110"/>
        </row>
        <row r="111">
          <cell r="B111"/>
          <cell r="C111"/>
          <cell r="D111"/>
          <cell r="E111"/>
          <cell r="F111"/>
          <cell r="G111"/>
          <cell r="H111"/>
        </row>
        <row r="112">
          <cell r="B112"/>
          <cell r="C112"/>
          <cell r="D112"/>
          <cell r="E112"/>
          <cell r="F112"/>
          <cell r="G112"/>
          <cell r="H112"/>
        </row>
        <row r="113">
          <cell r="B113"/>
          <cell r="C113"/>
          <cell r="D113"/>
          <cell r="E113"/>
          <cell r="F113"/>
          <cell r="G113"/>
          <cell r="H113"/>
        </row>
        <row r="114">
          <cell r="B114"/>
          <cell r="C114"/>
          <cell r="D114"/>
          <cell r="E114"/>
          <cell r="F114"/>
          <cell r="G114"/>
          <cell r="H114"/>
        </row>
        <row r="115">
          <cell r="B115"/>
          <cell r="C115"/>
          <cell r="D115"/>
          <cell r="E115"/>
          <cell r="F115"/>
          <cell r="G115"/>
          <cell r="H115"/>
        </row>
        <row r="116">
          <cell r="B116"/>
          <cell r="C116"/>
          <cell r="D116"/>
          <cell r="E116"/>
          <cell r="F116"/>
          <cell r="G116"/>
          <cell r="H116"/>
        </row>
        <row r="117">
          <cell r="B117"/>
          <cell r="C117"/>
          <cell r="D117"/>
          <cell r="E117"/>
          <cell r="F117"/>
          <cell r="G117"/>
          <cell r="H117"/>
        </row>
        <row r="118">
          <cell r="B118"/>
          <cell r="C118"/>
          <cell r="D118"/>
          <cell r="E118"/>
          <cell r="F118"/>
          <cell r="G118"/>
          <cell r="H118"/>
        </row>
        <row r="119">
          <cell r="B119"/>
          <cell r="C119"/>
          <cell r="D119"/>
          <cell r="E119"/>
          <cell r="F119"/>
          <cell r="G119"/>
          <cell r="H119"/>
        </row>
        <row r="120">
          <cell r="B120"/>
          <cell r="C120"/>
          <cell r="D120"/>
          <cell r="E120"/>
          <cell r="F120"/>
          <cell r="G120"/>
          <cell r="H120"/>
        </row>
        <row r="121">
          <cell r="B121"/>
          <cell r="C121"/>
          <cell r="D121"/>
          <cell r="E121"/>
          <cell r="F121"/>
          <cell r="G121"/>
          <cell r="H121"/>
        </row>
        <row r="122">
          <cell r="B122"/>
          <cell r="C122"/>
          <cell r="D122"/>
          <cell r="E122"/>
          <cell r="F122"/>
          <cell r="G122"/>
          <cell r="H122"/>
        </row>
        <row r="123">
          <cell r="B123"/>
          <cell r="C123"/>
          <cell r="D123"/>
          <cell r="E123"/>
          <cell r="F123"/>
          <cell r="G123"/>
          <cell r="H123"/>
        </row>
        <row r="124">
          <cell r="B124"/>
          <cell r="C124"/>
          <cell r="D124"/>
          <cell r="E124"/>
          <cell r="F124"/>
          <cell r="G124"/>
          <cell r="H124"/>
        </row>
        <row r="125">
          <cell r="B125"/>
          <cell r="C125"/>
          <cell r="D125"/>
          <cell r="E125"/>
          <cell r="F125"/>
          <cell r="G125"/>
          <cell r="H125"/>
        </row>
        <row r="126">
          <cell r="B126"/>
          <cell r="C126"/>
          <cell r="D126"/>
          <cell r="E126"/>
          <cell r="F126"/>
          <cell r="G126"/>
          <cell r="H126"/>
        </row>
        <row r="127">
          <cell r="B127"/>
          <cell r="C127"/>
          <cell r="D127"/>
          <cell r="E127"/>
          <cell r="F127"/>
          <cell r="G127"/>
          <cell r="H127"/>
        </row>
        <row r="128">
          <cell r="B128"/>
          <cell r="C128"/>
          <cell r="D128"/>
          <cell r="E128"/>
          <cell r="F128"/>
          <cell r="G128"/>
          <cell r="H128"/>
        </row>
        <row r="129">
          <cell r="B129"/>
          <cell r="C129"/>
          <cell r="D129"/>
          <cell r="E129"/>
          <cell r="F129"/>
          <cell r="G129"/>
          <cell r="H129"/>
        </row>
        <row r="130">
          <cell r="B130"/>
          <cell r="C130"/>
          <cell r="D130"/>
          <cell r="E130"/>
          <cell r="F130"/>
          <cell r="G130"/>
          <cell r="H130"/>
        </row>
        <row r="131">
          <cell r="B131"/>
          <cell r="C131"/>
          <cell r="D131"/>
          <cell r="E131"/>
          <cell r="F131"/>
          <cell r="G131"/>
          <cell r="H131"/>
        </row>
        <row r="132">
          <cell r="B132"/>
          <cell r="C132"/>
          <cell r="D132"/>
          <cell r="E132"/>
          <cell r="F132"/>
          <cell r="G132"/>
          <cell r="H132"/>
        </row>
        <row r="133">
          <cell r="B133"/>
          <cell r="C133"/>
          <cell r="D133"/>
          <cell r="E133"/>
          <cell r="F133"/>
          <cell r="G133"/>
          <cell r="H133"/>
        </row>
        <row r="134">
          <cell r="B134"/>
          <cell r="C134"/>
          <cell r="D134"/>
          <cell r="E134"/>
          <cell r="F134"/>
          <cell r="G134"/>
          <cell r="H134"/>
        </row>
        <row r="135">
          <cell r="B135"/>
          <cell r="C135"/>
          <cell r="D135"/>
          <cell r="E135"/>
          <cell r="F135"/>
          <cell r="G135"/>
          <cell r="H135"/>
        </row>
        <row r="136">
          <cell r="B136"/>
          <cell r="C136"/>
          <cell r="D136"/>
          <cell r="E136"/>
          <cell r="F136"/>
          <cell r="G136"/>
          <cell r="H136"/>
        </row>
        <row r="137">
          <cell r="B137"/>
          <cell r="C137"/>
          <cell r="D137"/>
          <cell r="E137"/>
          <cell r="F137"/>
          <cell r="G137"/>
          <cell r="H137"/>
        </row>
        <row r="138">
          <cell r="B138"/>
          <cell r="C138"/>
          <cell r="D138"/>
          <cell r="E138"/>
          <cell r="F138"/>
          <cell r="G138"/>
          <cell r="H138"/>
        </row>
        <row r="139">
          <cell r="B139"/>
          <cell r="C139"/>
          <cell r="D139"/>
          <cell r="E139"/>
          <cell r="F139"/>
          <cell r="G139"/>
          <cell r="H139"/>
        </row>
        <row r="140">
          <cell r="B140"/>
          <cell r="C140"/>
          <cell r="D140"/>
          <cell r="E140"/>
          <cell r="F140"/>
          <cell r="G140"/>
          <cell r="H140"/>
        </row>
        <row r="141">
          <cell r="B141"/>
          <cell r="C141"/>
          <cell r="D141"/>
          <cell r="E141"/>
          <cell r="F141"/>
          <cell r="G141"/>
          <cell r="H141"/>
        </row>
        <row r="142">
          <cell r="B142"/>
          <cell r="C142"/>
          <cell r="D142"/>
          <cell r="E142"/>
          <cell r="F142"/>
          <cell r="G142"/>
          <cell r="H142"/>
        </row>
        <row r="143">
          <cell r="B143"/>
          <cell r="C143"/>
          <cell r="D143"/>
          <cell r="E143"/>
          <cell r="F143"/>
          <cell r="G143"/>
          <cell r="H143"/>
        </row>
        <row r="144">
          <cell r="B144"/>
          <cell r="C144"/>
          <cell r="D144"/>
          <cell r="E144"/>
          <cell r="F144"/>
          <cell r="G144"/>
          <cell r="H144"/>
        </row>
        <row r="145">
          <cell r="B145"/>
          <cell r="C145"/>
          <cell r="D145"/>
          <cell r="E145"/>
          <cell r="F145"/>
          <cell r="G145"/>
          <cell r="H145"/>
        </row>
        <row r="146">
          <cell r="B146"/>
          <cell r="C146"/>
          <cell r="D146"/>
          <cell r="E146"/>
          <cell r="F146"/>
          <cell r="G146"/>
          <cell r="H146"/>
        </row>
        <row r="147">
          <cell r="B147"/>
          <cell r="C147"/>
          <cell r="D147"/>
          <cell r="E147"/>
          <cell r="F147"/>
          <cell r="G147"/>
          <cell r="H147"/>
        </row>
        <row r="148">
          <cell r="B148"/>
          <cell r="C148"/>
          <cell r="D148"/>
          <cell r="E148"/>
          <cell r="F148"/>
          <cell r="G148"/>
          <cell r="H148"/>
        </row>
        <row r="149">
          <cell r="B149"/>
          <cell r="C149"/>
          <cell r="D149"/>
          <cell r="E149"/>
          <cell r="F149"/>
          <cell r="G149"/>
          <cell r="H149"/>
        </row>
        <row r="150">
          <cell r="B150"/>
          <cell r="C150"/>
          <cell r="D150"/>
          <cell r="E150"/>
          <cell r="F150"/>
          <cell r="G150"/>
          <cell r="H150"/>
        </row>
        <row r="151">
          <cell r="B151"/>
          <cell r="C151"/>
          <cell r="D151"/>
          <cell r="E151"/>
          <cell r="F151"/>
          <cell r="G151"/>
          <cell r="H151"/>
        </row>
        <row r="152">
          <cell r="B152"/>
          <cell r="C152"/>
          <cell r="D152"/>
          <cell r="E152"/>
          <cell r="F152"/>
          <cell r="G152"/>
          <cell r="H152"/>
        </row>
        <row r="153">
          <cell r="B153"/>
          <cell r="C153"/>
          <cell r="D153"/>
          <cell r="E153"/>
          <cell r="F153"/>
          <cell r="G153"/>
          <cell r="H153"/>
        </row>
        <row r="154">
          <cell r="B154"/>
          <cell r="C154"/>
          <cell r="D154"/>
          <cell r="E154"/>
          <cell r="F154"/>
          <cell r="G154"/>
          <cell r="H154"/>
        </row>
        <row r="155">
          <cell r="B155"/>
          <cell r="C155"/>
          <cell r="D155"/>
          <cell r="E155"/>
          <cell r="F155"/>
          <cell r="G155"/>
          <cell r="H155"/>
        </row>
        <row r="156">
          <cell r="B156"/>
          <cell r="C156"/>
          <cell r="D156"/>
          <cell r="E156"/>
          <cell r="F156"/>
          <cell r="G156"/>
          <cell r="H156"/>
        </row>
        <row r="157">
          <cell r="B157"/>
          <cell r="C157"/>
          <cell r="D157"/>
          <cell r="E157"/>
          <cell r="F157"/>
          <cell r="G157"/>
          <cell r="H157"/>
        </row>
        <row r="158">
          <cell r="B158"/>
          <cell r="C158"/>
          <cell r="D158"/>
          <cell r="E158"/>
          <cell r="F158"/>
          <cell r="G158"/>
          <cell r="H158"/>
        </row>
        <row r="159">
          <cell r="B159"/>
          <cell r="C159"/>
          <cell r="D159"/>
          <cell r="E159"/>
          <cell r="F159"/>
          <cell r="G159"/>
          <cell r="H159"/>
        </row>
        <row r="160">
          <cell r="B160"/>
          <cell r="C160"/>
          <cell r="D160"/>
          <cell r="E160"/>
          <cell r="F160"/>
          <cell r="G160"/>
          <cell r="H160"/>
        </row>
        <row r="161">
          <cell r="B161"/>
          <cell r="C161"/>
          <cell r="D161"/>
          <cell r="E161"/>
          <cell r="F161"/>
          <cell r="G161"/>
          <cell r="H161"/>
        </row>
        <row r="162">
          <cell r="B162"/>
          <cell r="C162"/>
          <cell r="D162"/>
          <cell r="E162"/>
          <cell r="F162"/>
          <cell r="G162"/>
          <cell r="H162"/>
        </row>
        <row r="163">
          <cell r="B163"/>
          <cell r="C163"/>
          <cell r="D163"/>
          <cell r="E163"/>
          <cell r="F163"/>
          <cell r="G163"/>
          <cell r="H163"/>
        </row>
        <row r="164">
          <cell r="B164"/>
          <cell r="C164"/>
          <cell r="D164"/>
          <cell r="E164"/>
          <cell r="F164"/>
          <cell r="G164"/>
          <cell r="H164"/>
        </row>
        <row r="165">
          <cell r="B165"/>
          <cell r="C165"/>
          <cell r="D165"/>
          <cell r="E165"/>
          <cell r="F165"/>
          <cell r="G165"/>
          <cell r="H165"/>
        </row>
        <row r="166">
          <cell r="B166"/>
          <cell r="C166"/>
          <cell r="D166"/>
          <cell r="E166"/>
          <cell r="F166"/>
          <cell r="G166"/>
          <cell r="H166"/>
        </row>
        <row r="167">
          <cell r="B167"/>
          <cell r="C167"/>
          <cell r="D167"/>
          <cell r="E167"/>
          <cell r="F167"/>
          <cell r="G167"/>
          <cell r="H167"/>
        </row>
        <row r="168">
          <cell r="B168"/>
          <cell r="C168"/>
          <cell r="D168"/>
          <cell r="E168"/>
          <cell r="F168"/>
          <cell r="G168"/>
          <cell r="H168"/>
        </row>
        <row r="169">
          <cell r="B169"/>
          <cell r="C169"/>
          <cell r="D169"/>
          <cell r="E169"/>
          <cell r="F169"/>
          <cell r="G169"/>
          <cell r="H169"/>
        </row>
        <row r="170">
          <cell r="B170"/>
          <cell r="C170"/>
          <cell r="D170"/>
          <cell r="E170"/>
          <cell r="F170"/>
          <cell r="G170"/>
          <cell r="H170"/>
        </row>
        <row r="171">
          <cell r="B171"/>
          <cell r="C171"/>
          <cell r="D171"/>
          <cell r="E171"/>
          <cell r="F171"/>
          <cell r="G171"/>
          <cell r="H171"/>
        </row>
        <row r="172">
          <cell r="B172"/>
          <cell r="C172"/>
          <cell r="D172"/>
          <cell r="E172"/>
          <cell r="F172"/>
          <cell r="G172"/>
          <cell r="H172"/>
        </row>
        <row r="173">
          <cell r="B173"/>
          <cell r="C173"/>
          <cell r="D173"/>
          <cell r="E173"/>
          <cell r="F173"/>
          <cell r="G173"/>
          <cell r="H173"/>
        </row>
        <row r="174">
          <cell r="B174"/>
          <cell r="C174"/>
          <cell r="D174"/>
          <cell r="E174"/>
          <cell r="F174"/>
          <cell r="G174"/>
          <cell r="H174"/>
        </row>
        <row r="175">
          <cell r="B175"/>
          <cell r="C175"/>
          <cell r="D175"/>
          <cell r="E175"/>
          <cell r="F175"/>
          <cell r="G175"/>
          <cell r="H175"/>
        </row>
        <row r="176">
          <cell r="B176"/>
          <cell r="C176"/>
          <cell r="D176"/>
          <cell r="E176"/>
          <cell r="F176"/>
          <cell r="G176"/>
          <cell r="H176"/>
        </row>
        <row r="177">
          <cell r="B177"/>
          <cell r="C177"/>
          <cell r="D177"/>
          <cell r="E177"/>
          <cell r="F177"/>
          <cell r="G177"/>
          <cell r="H177"/>
        </row>
        <row r="178">
          <cell r="B178"/>
          <cell r="C178"/>
          <cell r="D178"/>
          <cell r="E178"/>
          <cell r="F178"/>
          <cell r="G178"/>
          <cell r="H178"/>
        </row>
        <row r="179">
          <cell r="B179"/>
          <cell r="C179"/>
          <cell r="D179"/>
          <cell r="E179"/>
          <cell r="F179"/>
          <cell r="G179"/>
          <cell r="H179"/>
        </row>
        <row r="180">
          <cell r="B180"/>
          <cell r="C180"/>
          <cell r="D180"/>
          <cell r="E180"/>
          <cell r="F180"/>
          <cell r="G180"/>
          <cell r="H180"/>
        </row>
        <row r="181">
          <cell r="B181"/>
          <cell r="C181"/>
          <cell r="D181"/>
          <cell r="E181"/>
          <cell r="F181"/>
          <cell r="G181"/>
          <cell r="H181"/>
        </row>
        <row r="182">
          <cell r="B182"/>
          <cell r="C182"/>
          <cell r="D182"/>
          <cell r="E182"/>
          <cell r="F182"/>
          <cell r="G182"/>
          <cell r="H182"/>
        </row>
        <row r="183">
          <cell r="B183"/>
          <cell r="C183"/>
          <cell r="D183"/>
          <cell r="E183"/>
          <cell r="F183"/>
          <cell r="G183"/>
          <cell r="H183"/>
        </row>
        <row r="184">
          <cell r="B184"/>
          <cell r="C184"/>
          <cell r="D184"/>
          <cell r="E184"/>
          <cell r="F184"/>
          <cell r="G184"/>
          <cell r="H184"/>
        </row>
        <row r="185">
          <cell r="B185"/>
          <cell r="C185"/>
          <cell r="D185"/>
          <cell r="E185"/>
          <cell r="F185"/>
          <cell r="G185"/>
          <cell r="H185"/>
        </row>
        <row r="186">
          <cell r="B186"/>
          <cell r="C186"/>
          <cell r="D186"/>
          <cell r="E186"/>
          <cell r="F186"/>
          <cell r="G186"/>
          <cell r="H186"/>
        </row>
        <row r="187">
          <cell r="B187"/>
          <cell r="C187"/>
          <cell r="D187"/>
          <cell r="E187"/>
          <cell r="F187"/>
          <cell r="G187"/>
          <cell r="H187"/>
        </row>
        <row r="188">
          <cell r="B188"/>
          <cell r="C188"/>
          <cell r="D188"/>
          <cell r="E188"/>
          <cell r="F188"/>
          <cell r="G188"/>
          <cell r="H188"/>
        </row>
        <row r="189">
          <cell r="B189"/>
          <cell r="C189"/>
          <cell r="D189"/>
          <cell r="E189"/>
          <cell r="F189"/>
          <cell r="G189"/>
          <cell r="H189"/>
        </row>
        <row r="190">
          <cell r="B190"/>
          <cell r="C190"/>
          <cell r="D190"/>
          <cell r="E190"/>
          <cell r="F190"/>
          <cell r="G190"/>
          <cell r="H190"/>
        </row>
        <row r="191">
          <cell r="B191"/>
          <cell r="C191"/>
          <cell r="D191"/>
          <cell r="E191"/>
          <cell r="F191"/>
          <cell r="G191"/>
          <cell r="H191"/>
        </row>
        <row r="192">
          <cell r="B192"/>
          <cell r="C192"/>
          <cell r="D192"/>
          <cell r="E192"/>
          <cell r="F192"/>
          <cell r="G192"/>
          <cell r="H192"/>
        </row>
        <row r="193">
          <cell r="B193"/>
          <cell r="C193"/>
          <cell r="D193"/>
          <cell r="E193"/>
          <cell r="F193"/>
          <cell r="G193"/>
          <cell r="H193"/>
        </row>
        <row r="194">
          <cell r="B194"/>
          <cell r="C194"/>
          <cell r="D194"/>
          <cell r="E194"/>
          <cell r="F194"/>
          <cell r="G194"/>
          <cell r="H194"/>
        </row>
        <row r="195">
          <cell r="B195"/>
          <cell r="C195"/>
          <cell r="D195"/>
          <cell r="E195"/>
          <cell r="F195"/>
          <cell r="G195"/>
          <cell r="H195"/>
        </row>
        <row r="196">
          <cell r="B196"/>
          <cell r="C196"/>
          <cell r="D196"/>
          <cell r="E196"/>
          <cell r="F196"/>
          <cell r="G196"/>
          <cell r="H196"/>
        </row>
        <row r="197">
          <cell r="B197"/>
          <cell r="C197"/>
          <cell r="D197"/>
          <cell r="E197"/>
          <cell r="F197"/>
          <cell r="G197"/>
          <cell r="H197"/>
        </row>
        <row r="198">
          <cell r="B198"/>
          <cell r="C198"/>
          <cell r="D198"/>
          <cell r="E198"/>
          <cell r="F198"/>
          <cell r="G198"/>
          <cell r="H198"/>
        </row>
        <row r="199">
          <cell r="B199"/>
          <cell r="C199"/>
          <cell r="D199"/>
          <cell r="E199"/>
          <cell r="F199"/>
          <cell r="G199"/>
          <cell r="H199"/>
        </row>
        <row r="200">
          <cell r="B200"/>
          <cell r="C200"/>
          <cell r="D200"/>
          <cell r="E200"/>
          <cell r="F200"/>
          <cell r="G200"/>
          <cell r="H200"/>
        </row>
        <row r="201">
          <cell r="B201"/>
          <cell r="C201"/>
          <cell r="D201"/>
          <cell r="E201"/>
          <cell r="F201"/>
          <cell r="G201"/>
          <cell r="H201"/>
        </row>
        <row r="202">
          <cell r="B202"/>
          <cell r="C202"/>
          <cell r="D202"/>
          <cell r="E202"/>
          <cell r="F202"/>
          <cell r="G202"/>
          <cell r="H202"/>
        </row>
        <row r="203">
          <cell r="B203"/>
          <cell r="C203"/>
          <cell r="D203"/>
          <cell r="E203"/>
          <cell r="F203"/>
          <cell r="G203"/>
          <cell r="H203"/>
        </row>
        <row r="204">
          <cell r="B204"/>
          <cell r="C204"/>
          <cell r="D204"/>
          <cell r="E204"/>
          <cell r="F204"/>
          <cell r="G204"/>
          <cell r="H204"/>
        </row>
        <row r="205">
          <cell r="B205"/>
          <cell r="C205"/>
          <cell r="D205"/>
          <cell r="E205"/>
          <cell r="F205"/>
          <cell r="G205"/>
          <cell r="H205"/>
        </row>
        <row r="206">
          <cell r="B206"/>
          <cell r="C206"/>
          <cell r="D206"/>
          <cell r="E206"/>
          <cell r="F206"/>
          <cell r="G206"/>
          <cell r="H206"/>
        </row>
        <row r="207">
          <cell r="B207"/>
          <cell r="C207"/>
          <cell r="D207"/>
          <cell r="E207"/>
          <cell r="F207"/>
          <cell r="G207"/>
          <cell r="H207"/>
        </row>
        <row r="208">
          <cell r="B208"/>
          <cell r="C208"/>
          <cell r="D208"/>
          <cell r="E208"/>
          <cell r="F208"/>
          <cell r="G208"/>
          <cell r="H208"/>
        </row>
        <row r="209">
          <cell r="B209"/>
          <cell r="C209"/>
          <cell r="D209"/>
          <cell r="E209"/>
          <cell r="F209"/>
          <cell r="G209"/>
          <cell r="H209"/>
        </row>
        <row r="210">
          <cell r="B210"/>
          <cell r="C210"/>
          <cell r="D210"/>
          <cell r="E210"/>
          <cell r="F210"/>
          <cell r="G210"/>
          <cell r="H210"/>
        </row>
        <row r="211">
          <cell r="B211"/>
          <cell r="C211"/>
          <cell r="D211"/>
          <cell r="E211"/>
          <cell r="F211"/>
          <cell r="G211"/>
          <cell r="H211"/>
        </row>
        <row r="212">
          <cell r="B212"/>
          <cell r="C212"/>
          <cell r="D212"/>
          <cell r="E212"/>
          <cell r="F212"/>
          <cell r="G212"/>
          <cell r="H212"/>
        </row>
        <row r="213">
          <cell r="B213"/>
          <cell r="C213"/>
          <cell r="D213"/>
          <cell r="E213"/>
          <cell r="F213"/>
          <cell r="G213"/>
          <cell r="H213"/>
        </row>
        <row r="214">
          <cell r="B214"/>
          <cell r="C214"/>
          <cell r="D214"/>
          <cell r="E214"/>
          <cell r="F214"/>
          <cell r="G214"/>
          <cell r="H214"/>
        </row>
        <row r="215">
          <cell r="B215"/>
          <cell r="C215"/>
          <cell r="D215"/>
          <cell r="E215"/>
          <cell r="F215"/>
          <cell r="G215"/>
          <cell r="H215"/>
        </row>
        <row r="216">
          <cell r="B216"/>
          <cell r="C216"/>
          <cell r="D216"/>
          <cell r="E216"/>
          <cell r="F216"/>
          <cell r="G216"/>
          <cell r="H216"/>
        </row>
        <row r="217">
          <cell r="B217"/>
          <cell r="C217"/>
          <cell r="D217"/>
          <cell r="E217"/>
          <cell r="F217"/>
          <cell r="G217"/>
          <cell r="H217"/>
        </row>
        <row r="218">
          <cell r="B218"/>
          <cell r="C218"/>
          <cell r="D218"/>
          <cell r="E218"/>
          <cell r="F218"/>
          <cell r="G218"/>
          <cell r="H218"/>
        </row>
        <row r="219">
          <cell r="B219"/>
          <cell r="C219"/>
          <cell r="D219"/>
          <cell r="E219"/>
          <cell r="F219"/>
          <cell r="G219"/>
          <cell r="H219"/>
        </row>
        <row r="220">
          <cell r="B220"/>
          <cell r="C220"/>
          <cell r="D220"/>
          <cell r="E220"/>
          <cell r="F220"/>
          <cell r="G220"/>
          <cell r="H220"/>
        </row>
        <row r="221">
          <cell r="B221"/>
          <cell r="C221"/>
          <cell r="D221"/>
          <cell r="E221"/>
          <cell r="F221"/>
          <cell r="G221"/>
          <cell r="H221"/>
        </row>
        <row r="222">
          <cell r="B222"/>
          <cell r="C222"/>
          <cell r="D222"/>
          <cell r="E222"/>
          <cell r="F222"/>
          <cell r="G222"/>
          <cell r="H222"/>
        </row>
        <row r="223">
          <cell r="B223"/>
          <cell r="C223"/>
          <cell r="D223"/>
          <cell r="E223"/>
          <cell r="F223"/>
          <cell r="G223"/>
          <cell r="H223"/>
        </row>
        <row r="224">
          <cell r="B224"/>
          <cell r="C224"/>
          <cell r="D224"/>
          <cell r="E224"/>
          <cell r="F224"/>
          <cell r="G224"/>
          <cell r="H224"/>
        </row>
        <row r="225">
          <cell r="B225"/>
          <cell r="C225"/>
          <cell r="D225"/>
          <cell r="E225"/>
          <cell r="F225"/>
          <cell r="G225"/>
          <cell r="H225"/>
        </row>
        <row r="226">
          <cell r="B226"/>
          <cell r="C226"/>
          <cell r="D226"/>
          <cell r="E226"/>
          <cell r="F226"/>
          <cell r="G226"/>
          <cell r="H226"/>
        </row>
        <row r="227">
          <cell r="B227"/>
          <cell r="C227"/>
          <cell r="D227"/>
          <cell r="E227"/>
          <cell r="F227"/>
          <cell r="G227"/>
          <cell r="H227"/>
        </row>
        <row r="228">
          <cell r="B228"/>
          <cell r="C228"/>
          <cell r="D228"/>
          <cell r="E228"/>
          <cell r="F228"/>
          <cell r="G228"/>
          <cell r="H228"/>
        </row>
        <row r="229">
          <cell r="B229"/>
          <cell r="C229"/>
          <cell r="D229"/>
          <cell r="E229"/>
          <cell r="F229"/>
          <cell r="G229"/>
          <cell r="H229"/>
        </row>
        <row r="230">
          <cell r="B230"/>
          <cell r="C230"/>
          <cell r="D230"/>
          <cell r="E230"/>
          <cell r="F230"/>
          <cell r="G230"/>
          <cell r="H230"/>
        </row>
        <row r="231">
          <cell r="B231"/>
          <cell r="C231"/>
          <cell r="D231"/>
          <cell r="E231"/>
          <cell r="F231"/>
          <cell r="G231"/>
          <cell r="H231"/>
        </row>
        <row r="232">
          <cell r="B232"/>
          <cell r="C232"/>
          <cell r="D232"/>
          <cell r="E232"/>
          <cell r="F232"/>
          <cell r="G232"/>
          <cell r="H232"/>
        </row>
        <row r="233">
          <cell r="B233"/>
          <cell r="C233"/>
          <cell r="D233"/>
          <cell r="E233"/>
          <cell r="F233"/>
          <cell r="G233"/>
          <cell r="H233"/>
        </row>
        <row r="234">
          <cell r="B234"/>
          <cell r="C234"/>
          <cell r="D234"/>
          <cell r="E234"/>
          <cell r="F234"/>
          <cell r="G234"/>
          <cell r="H234"/>
        </row>
        <row r="235">
          <cell r="B235"/>
          <cell r="C235"/>
          <cell r="D235"/>
          <cell r="E235"/>
          <cell r="F235"/>
          <cell r="G235"/>
          <cell r="H235"/>
        </row>
        <row r="236">
          <cell r="B236"/>
          <cell r="C236"/>
          <cell r="D236"/>
          <cell r="E236"/>
          <cell r="F236"/>
          <cell r="G236"/>
          <cell r="H236"/>
        </row>
        <row r="237">
          <cell r="B237"/>
          <cell r="C237"/>
          <cell r="D237"/>
          <cell r="E237"/>
          <cell r="F237"/>
          <cell r="G237"/>
          <cell r="H237"/>
        </row>
        <row r="238">
          <cell r="B238"/>
          <cell r="C238"/>
          <cell r="D238"/>
          <cell r="E238"/>
          <cell r="F238"/>
          <cell r="G238"/>
          <cell r="H238"/>
        </row>
        <row r="239">
          <cell r="B239"/>
          <cell r="C239"/>
          <cell r="D239"/>
          <cell r="E239"/>
          <cell r="F239"/>
          <cell r="G239"/>
          <cell r="H239"/>
        </row>
        <row r="240">
          <cell r="B240"/>
          <cell r="C240"/>
          <cell r="D240"/>
          <cell r="E240"/>
          <cell r="F240"/>
          <cell r="G240"/>
          <cell r="H240"/>
        </row>
        <row r="241">
          <cell r="B241"/>
          <cell r="C241"/>
          <cell r="D241"/>
          <cell r="E241"/>
          <cell r="F241"/>
          <cell r="G241"/>
          <cell r="H241"/>
        </row>
        <row r="242">
          <cell r="B242"/>
          <cell r="C242"/>
          <cell r="D242"/>
          <cell r="E242"/>
          <cell r="F242"/>
          <cell r="G242"/>
          <cell r="H242"/>
        </row>
        <row r="243">
          <cell r="B243"/>
          <cell r="C243"/>
          <cell r="D243"/>
          <cell r="E243"/>
          <cell r="F243"/>
          <cell r="G243"/>
          <cell r="H243"/>
        </row>
        <row r="244">
          <cell r="B244"/>
          <cell r="C244"/>
          <cell r="D244"/>
          <cell r="E244"/>
          <cell r="F244"/>
          <cell r="G244"/>
          <cell r="H244"/>
        </row>
        <row r="245">
          <cell r="B245"/>
          <cell r="C245"/>
          <cell r="D245"/>
          <cell r="E245"/>
          <cell r="F245"/>
          <cell r="G245"/>
          <cell r="H245"/>
        </row>
        <row r="246">
          <cell r="B246"/>
          <cell r="C246"/>
          <cell r="D246"/>
          <cell r="E246"/>
          <cell r="F246"/>
          <cell r="G246"/>
          <cell r="H246"/>
        </row>
        <row r="247">
          <cell r="B247"/>
          <cell r="C247"/>
          <cell r="D247"/>
          <cell r="E247"/>
          <cell r="F247"/>
          <cell r="G247"/>
          <cell r="H247"/>
        </row>
        <row r="248">
          <cell r="B248"/>
          <cell r="C248"/>
          <cell r="D248"/>
          <cell r="E248"/>
          <cell r="F248"/>
          <cell r="G248"/>
          <cell r="H248"/>
        </row>
        <row r="249">
          <cell r="B249"/>
          <cell r="C249"/>
          <cell r="D249"/>
          <cell r="E249"/>
          <cell r="F249"/>
          <cell r="G249"/>
          <cell r="H249"/>
        </row>
        <row r="250">
          <cell r="B250"/>
          <cell r="C250"/>
          <cell r="D250"/>
          <cell r="E250"/>
          <cell r="F250"/>
          <cell r="G250"/>
          <cell r="H250"/>
        </row>
        <row r="251">
          <cell r="B251"/>
          <cell r="C251"/>
          <cell r="D251"/>
          <cell r="E251"/>
          <cell r="F251"/>
          <cell r="G251"/>
          <cell r="H251"/>
        </row>
        <row r="252">
          <cell r="B252"/>
          <cell r="C252"/>
          <cell r="D252"/>
          <cell r="E252"/>
          <cell r="F252"/>
          <cell r="G252"/>
          <cell r="H252"/>
        </row>
        <row r="253">
          <cell r="B253"/>
          <cell r="C253"/>
          <cell r="D253"/>
          <cell r="E253"/>
          <cell r="F253"/>
          <cell r="G253"/>
          <cell r="H253"/>
        </row>
        <row r="254">
          <cell r="B254"/>
          <cell r="C254"/>
          <cell r="D254"/>
          <cell r="E254"/>
          <cell r="F254"/>
          <cell r="G254"/>
          <cell r="H254"/>
        </row>
        <row r="255">
          <cell r="B255"/>
          <cell r="C255"/>
          <cell r="D255"/>
          <cell r="E255"/>
          <cell r="F255"/>
          <cell r="G255"/>
          <cell r="H255"/>
        </row>
        <row r="256">
          <cell r="B256"/>
          <cell r="C256"/>
          <cell r="D256"/>
          <cell r="E256"/>
          <cell r="F256"/>
          <cell r="G256"/>
          <cell r="H256"/>
        </row>
        <row r="257">
          <cell r="B257"/>
          <cell r="C257"/>
          <cell r="D257"/>
          <cell r="E257"/>
          <cell r="F257"/>
          <cell r="G257"/>
          <cell r="H257"/>
        </row>
        <row r="258">
          <cell r="B258"/>
          <cell r="C258"/>
          <cell r="D258"/>
          <cell r="E258"/>
          <cell r="F258"/>
          <cell r="G258"/>
          <cell r="H258"/>
        </row>
        <row r="259">
          <cell r="B259"/>
          <cell r="C259"/>
          <cell r="D259"/>
          <cell r="E259"/>
          <cell r="F259"/>
          <cell r="G259"/>
          <cell r="H259"/>
        </row>
        <row r="260">
          <cell r="B260"/>
          <cell r="C260"/>
          <cell r="D260"/>
          <cell r="E260"/>
          <cell r="F260"/>
          <cell r="G260"/>
          <cell r="H260"/>
        </row>
        <row r="261">
          <cell r="B261"/>
          <cell r="C261"/>
          <cell r="D261"/>
          <cell r="E261"/>
          <cell r="F261"/>
          <cell r="G261"/>
          <cell r="H261"/>
        </row>
        <row r="262">
          <cell r="B262"/>
          <cell r="C262"/>
          <cell r="D262"/>
          <cell r="E262"/>
          <cell r="F262"/>
          <cell r="G262"/>
          <cell r="H262"/>
        </row>
        <row r="263">
          <cell r="B263"/>
          <cell r="C263"/>
          <cell r="D263"/>
          <cell r="E263"/>
          <cell r="F263"/>
          <cell r="G263"/>
          <cell r="H263"/>
        </row>
        <row r="264">
          <cell r="B264"/>
          <cell r="C264"/>
          <cell r="D264"/>
          <cell r="E264"/>
          <cell r="F264"/>
          <cell r="G264"/>
          <cell r="H264"/>
        </row>
        <row r="265">
          <cell r="B265"/>
          <cell r="C265"/>
          <cell r="D265"/>
          <cell r="E265"/>
          <cell r="F265"/>
          <cell r="G265"/>
          <cell r="H265"/>
        </row>
        <row r="266">
          <cell r="B266"/>
          <cell r="C266"/>
          <cell r="D266"/>
          <cell r="E266"/>
          <cell r="F266"/>
          <cell r="G266"/>
          <cell r="H266"/>
        </row>
        <row r="267">
          <cell r="B267"/>
          <cell r="C267"/>
          <cell r="D267"/>
          <cell r="E267"/>
          <cell r="F267"/>
          <cell r="G267"/>
          <cell r="H267"/>
        </row>
        <row r="268">
          <cell r="B268"/>
          <cell r="C268"/>
          <cell r="D268"/>
          <cell r="E268"/>
          <cell r="F268"/>
          <cell r="G268"/>
          <cell r="H268"/>
        </row>
        <row r="269">
          <cell r="B269"/>
          <cell r="C269"/>
          <cell r="D269"/>
          <cell r="E269"/>
          <cell r="F269"/>
          <cell r="G269"/>
          <cell r="H269"/>
        </row>
        <row r="270">
          <cell r="B270"/>
          <cell r="C270"/>
          <cell r="D270"/>
          <cell r="E270"/>
          <cell r="F270"/>
          <cell r="G270"/>
          <cell r="H270"/>
        </row>
        <row r="271">
          <cell r="B271"/>
          <cell r="C271"/>
          <cell r="D271"/>
          <cell r="E271"/>
          <cell r="F271"/>
          <cell r="G271"/>
          <cell r="H271"/>
        </row>
        <row r="272">
          <cell r="B272"/>
          <cell r="C272"/>
          <cell r="D272"/>
          <cell r="E272"/>
          <cell r="F272"/>
          <cell r="G272"/>
          <cell r="H272"/>
        </row>
        <row r="273">
          <cell r="B273"/>
          <cell r="C273"/>
          <cell r="D273"/>
          <cell r="E273"/>
          <cell r="F273"/>
          <cell r="G273"/>
          <cell r="H273"/>
        </row>
        <row r="274">
          <cell r="B274"/>
          <cell r="C274"/>
          <cell r="D274"/>
          <cell r="E274"/>
          <cell r="F274"/>
          <cell r="G274"/>
          <cell r="H274"/>
        </row>
        <row r="275">
          <cell r="B275"/>
          <cell r="C275"/>
          <cell r="D275"/>
          <cell r="E275"/>
          <cell r="F275"/>
          <cell r="G275"/>
          <cell r="H275"/>
        </row>
        <row r="276">
          <cell r="B276"/>
          <cell r="C276"/>
          <cell r="D276"/>
          <cell r="E276"/>
          <cell r="F276"/>
          <cell r="G276"/>
          <cell r="H276"/>
        </row>
        <row r="277">
          <cell r="B277"/>
          <cell r="C277"/>
          <cell r="D277"/>
          <cell r="E277"/>
          <cell r="F277"/>
          <cell r="G277"/>
          <cell r="H277"/>
        </row>
        <row r="278">
          <cell r="B278"/>
          <cell r="C278"/>
          <cell r="D278"/>
          <cell r="E278"/>
          <cell r="F278"/>
          <cell r="G278"/>
          <cell r="H278"/>
        </row>
        <row r="279">
          <cell r="B279"/>
          <cell r="C279"/>
          <cell r="D279"/>
          <cell r="E279"/>
          <cell r="F279"/>
          <cell r="G279"/>
          <cell r="H279"/>
        </row>
        <row r="280">
          <cell r="B280"/>
          <cell r="C280"/>
          <cell r="D280"/>
          <cell r="E280"/>
          <cell r="F280"/>
          <cell r="G280"/>
          <cell r="H280"/>
        </row>
        <row r="281">
          <cell r="B281"/>
          <cell r="C281"/>
          <cell r="D281"/>
          <cell r="E281"/>
          <cell r="F281"/>
          <cell r="G281"/>
          <cell r="H281"/>
        </row>
        <row r="282">
          <cell r="B282"/>
          <cell r="C282"/>
          <cell r="D282"/>
          <cell r="E282"/>
          <cell r="F282"/>
          <cell r="G282"/>
          <cell r="H282"/>
        </row>
        <row r="283">
          <cell r="B283"/>
          <cell r="C283"/>
          <cell r="D283"/>
          <cell r="E283"/>
          <cell r="F283"/>
          <cell r="G283"/>
          <cell r="H283"/>
        </row>
        <row r="284">
          <cell r="B284"/>
          <cell r="C284"/>
          <cell r="D284"/>
          <cell r="E284"/>
          <cell r="F284"/>
          <cell r="G284"/>
          <cell r="H284"/>
        </row>
        <row r="285">
          <cell r="B285"/>
          <cell r="C285"/>
          <cell r="D285"/>
          <cell r="E285"/>
          <cell r="F285"/>
          <cell r="G285"/>
          <cell r="H285"/>
        </row>
        <row r="286">
          <cell r="B286"/>
          <cell r="C286"/>
          <cell r="D286"/>
          <cell r="E286"/>
          <cell r="F286"/>
          <cell r="G286"/>
          <cell r="H286"/>
        </row>
        <row r="287">
          <cell r="B287"/>
          <cell r="C287"/>
          <cell r="D287"/>
          <cell r="E287"/>
          <cell r="F287"/>
          <cell r="G287"/>
          <cell r="H287"/>
        </row>
        <row r="288">
          <cell r="B288"/>
          <cell r="C288"/>
          <cell r="D288"/>
          <cell r="E288"/>
          <cell r="F288"/>
          <cell r="G288"/>
          <cell r="H288"/>
        </row>
        <row r="289">
          <cell r="B289"/>
          <cell r="C289"/>
          <cell r="D289"/>
          <cell r="E289"/>
          <cell r="F289"/>
          <cell r="G289"/>
          <cell r="H289"/>
        </row>
        <row r="290">
          <cell r="B290"/>
          <cell r="C290"/>
          <cell r="D290"/>
          <cell r="E290"/>
          <cell r="F290"/>
          <cell r="G290"/>
          <cell r="H290"/>
        </row>
        <row r="291">
          <cell r="B291"/>
          <cell r="C291"/>
          <cell r="D291"/>
          <cell r="E291"/>
          <cell r="F291"/>
          <cell r="G291"/>
          <cell r="H291"/>
        </row>
        <row r="292">
          <cell r="B292"/>
          <cell r="C292"/>
          <cell r="D292"/>
          <cell r="E292"/>
          <cell r="F292"/>
          <cell r="G292"/>
          <cell r="H292"/>
        </row>
        <row r="293">
          <cell r="B293"/>
          <cell r="C293"/>
          <cell r="D293"/>
          <cell r="E293"/>
          <cell r="F293"/>
          <cell r="G293"/>
          <cell r="H293"/>
        </row>
        <row r="294">
          <cell r="B294"/>
          <cell r="C294"/>
          <cell r="D294"/>
          <cell r="E294"/>
          <cell r="F294"/>
          <cell r="G294"/>
          <cell r="H294"/>
        </row>
        <row r="295">
          <cell r="B295"/>
          <cell r="C295"/>
          <cell r="D295"/>
          <cell r="E295"/>
          <cell r="F295"/>
          <cell r="G295"/>
          <cell r="H295"/>
        </row>
        <row r="296">
          <cell r="B296"/>
          <cell r="C296"/>
          <cell r="D296"/>
          <cell r="E296"/>
          <cell r="F296"/>
          <cell r="G296"/>
          <cell r="H296"/>
        </row>
        <row r="297">
          <cell r="B297"/>
          <cell r="C297"/>
          <cell r="D297"/>
          <cell r="E297"/>
          <cell r="F297"/>
          <cell r="G297"/>
          <cell r="H297"/>
        </row>
        <row r="298">
          <cell r="B298"/>
          <cell r="C298"/>
          <cell r="D298"/>
          <cell r="E298"/>
          <cell r="F298"/>
          <cell r="G298"/>
          <cell r="H298"/>
        </row>
        <row r="299">
          <cell r="B299"/>
          <cell r="C299"/>
          <cell r="D299"/>
          <cell r="E299"/>
          <cell r="F299"/>
          <cell r="G299"/>
          <cell r="H299"/>
        </row>
        <row r="300">
          <cell r="B300"/>
          <cell r="C300"/>
          <cell r="D300"/>
          <cell r="E300"/>
          <cell r="F300"/>
          <cell r="G300"/>
          <cell r="H300"/>
        </row>
        <row r="301">
          <cell r="B301"/>
          <cell r="C301"/>
          <cell r="D301"/>
          <cell r="E301"/>
          <cell r="F301"/>
          <cell r="G301"/>
          <cell r="H301"/>
        </row>
        <row r="302">
          <cell r="B302"/>
          <cell r="C302"/>
          <cell r="D302"/>
          <cell r="E302"/>
          <cell r="F302"/>
          <cell r="G302"/>
          <cell r="H302"/>
        </row>
        <row r="303">
          <cell r="B303"/>
          <cell r="C303"/>
          <cell r="D303"/>
          <cell r="E303"/>
          <cell r="F303"/>
          <cell r="G303"/>
          <cell r="H303"/>
        </row>
        <row r="304">
          <cell r="B304"/>
          <cell r="C304"/>
          <cell r="D304"/>
          <cell r="E304"/>
          <cell r="F304"/>
          <cell r="G304"/>
          <cell r="H304"/>
        </row>
        <row r="305">
          <cell r="B305"/>
          <cell r="C305"/>
          <cell r="D305"/>
          <cell r="E305"/>
          <cell r="F305"/>
          <cell r="G305"/>
          <cell r="H305"/>
        </row>
        <row r="306">
          <cell r="B306"/>
          <cell r="C306"/>
          <cell r="D306"/>
          <cell r="E306"/>
          <cell r="F306"/>
          <cell r="G306"/>
          <cell r="H306"/>
        </row>
        <row r="307">
          <cell r="B307"/>
          <cell r="C307"/>
          <cell r="D307"/>
          <cell r="E307"/>
          <cell r="F307"/>
          <cell r="G307"/>
          <cell r="H307"/>
        </row>
        <row r="308">
          <cell r="B308"/>
          <cell r="C308"/>
          <cell r="D308"/>
          <cell r="E308"/>
          <cell r="F308"/>
          <cell r="G308"/>
          <cell r="H308"/>
        </row>
        <row r="309">
          <cell r="B309"/>
          <cell r="C309"/>
          <cell r="D309"/>
          <cell r="E309"/>
          <cell r="F309"/>
          <cell r="G309"/>
          <cell r="H309"/>
        </row>
        <row r="310">
          <cell r="B310"/>
          <cell r="C310"/>
          <cell r="D310"/>
          <cell r="E310"/>
          <cell r="F310"/>
          <cell r="G310"/>
          <cell r="H310"/>
        </row>
        <row r="311">
          <cell r="B311"/>
          <cell r="C311"/>
          <cell r="D311"/>
          <cell r="E311"/>
          <cell r="F311"/>
          <cell r="G311"/>
          <cell r="H311"/>
        </row>
        <row r="312">
          <cell r="B312"/>
          <cell r="C312"/>
          <cell r="D312"/>
          <cell r="E312"/>
          <cell r="F312"/>
          <cell r="G312"/>
          <cell r="H312"/>
        </row>
        <row r="313">
          <cell r="B313"/>
          <cell r="C313"/>
          <cell r="D313"/>
          <cell r="E313"/>
          <cell r="F313"/>
          <cell r="G313"/>
          <cell r="H313"/>
        </row>
        <row r="314">
          <cell r="B314"/>
          <cell r="C314"/>
          <cell r="D314"/>
          <cell r="E314"/>
          <cell r="F314"/>
          <cell r="G314"/>
          <cell r="H314"/>
        </row>
        <row r="315">
          <cell r="B315"/>
          <cell r="C315"/>
          <cell r="D315"/>
          <cell r="E315"/>
          <cell r="F315"/>
          <cell r="G315"/>
          <cell r="H315"/>
        </row>
        <row r="316">
          <cell r="B316"/>
          <cell r="C316"/>
          <cell r="D316"/>
          <cell r="E316"/>
          <cell r="F316"/>
          <cell r="G316"/>
          <cell r="H316"/>
        </row>
        <row r="317">
          <cell r="B317"/>
          <cell r="C317"/>
          <cell r="D317"/>
          <cell r="E317"/>
          <cell r="F317"/>
          <cell r="G317"/>
          <cell r="H317"/>
        </row>
        <row r="318">
          <cell r="B318"/>
          <cell r="C318"/>
          <cell r="D318"/>
          <cell r="E318"/>
          <cell r="F318"/>
          <cell r="G318"/>
          <cell r="H318"/>
        </row>
        <row r="319">
          <cell r="B319"/>
          <cell r="C319"/>
          <cell r="D319"/>
          <cell r="E319"/>
          <cell r="F319"/>
          <cell r="G319"/>
          <cell r="H319"/>
        </row>
        <row r="320">
          <cell r="B320"/>
          <cell r="C320"/>
          <cell r="D320"/>
          <cell r="E320"/>
          <cell r="F320"/>
          <cell r="G320"/>
          <cell r="H320"/>
        </row>
        <row r="321">
          <cell r="B321"/>
          <cell r="C321"/>
          <cell r="D321"/>
          <cell r="E321"/>
          <cell r="F321"/>
          <cell r="G321"/>
          <cell r="H321"/>
        </row>
        <row r="322">
          <cell r="B322"/>
          <cell r="C322"/>
          <cell r="D322"/>
          <cell r="E322"/>
          <cell r="F322"/>
          <cell r="G322"/>
          <cell r="H322"/>
        </row>
        <row r="323">
          <cell r="B323"/>
          <cell r="C323"/>
          <cell r="D323"/>
          <cell r="E323"/>
          <cell r="F323"/>
          <cell r="G323"/>
          <cell r="H323"/>
        </row>
        <row r="324">
          <cell r="B324"/>
          <cell r="C324"/>
          <cell r="D324"/>
          <cell r="E324"/>
          <cell r="F324"/>
          <cell r="G324"/>
          <cell r="H324"/>
        </row>
        <row r="325">
          <cell r="B325"/>
          <cell r="C325"/>
          <cell r="D325"/>
          <cell r="E325"/>
          <cell r="F325"/>
          <cell r="G325"/>
          <cell r="H325"/>
        </row>
        <row r="326">
          <cell r="B326"/>
          <cell r="C326"/>
          <cell r="D326"/>
          <cell r="E326"/>
          <cell r="F326"/>
          <cell r="G326"/>
          <cell r="H326"/>
        </row>
        <row r="327">
          <cell r="B327"/>
          <cell r="C327"/>
          <cell r="D327"/>
          <cell r="E327"/>
          <cell r="F327"/>
          <cell r="G327"/>
          <cell r="H327"/>
        </row>
        <row r="328">
          <cell r="B328"/>
          <cell r="C328"/>
          <cell r="D328"/>
          <cell r="E328"/>
          <cell r="F328"/>
          <cell r="G328"/>
          <cell r="H328"/>
        </row>
        <row r="329">
          <cell r="B329"/>
          <cell r="C329"/>
          <cell r="D329"/>
          <cell r="E329"/>
          <cell r="F329"/>
          <cell r="G329"/>
          <cell r="H329"/>
        </row>
        <row r="330">
          <cell r="B330"/>
          <cell r="C330"/>
          <cell r="D330"/>
          <cell r="E330"/>
          <cell r="F330"/>
          <cell r="G330"/>
          <cell r="H330"/>
        </row>
        <row r="331">
          <cell r="B331"/>
          <cell r="C331"/>
          <cell r="D331"/>
          <cell r="E331"/>
          <cell r="F331"/>
          <cell r="G331"/>
          <cell r="H331"/>
        </row>
        <row r="332">
          <cell r="B332"/>
          <cell r="C332"/>
          <cell r="D332"/>
          <cell r="E332"/>
          <cell r="F332"/>
          <cell r="G332"/>
          <cell r="H332"/>
        </row>
        <row r="333">
          <cell r="B333"/>
          <cell r="C333"/>
          <cell r="D333"/>
          <cell r="E333"/>
          <cell r="F333"/>
          <cell r="G333"/>
          <cell r="H333"/>
        </row>
        <row r="334">
          <cell r="B334"/>
          <cell r="C334"/>
          <cell r="D334"/>
          <cell r="E334"/>
          <cell r="F334"/>
          <cell r="G334"/>
          <cell r="H334"/>
        </row>
        <row r="335">
          <cell r="B335"/>
          <cell r="C335"/>
          <cell r="D335"/>
          <cell r="E335"/>
          <cell r="F335"/>
          <cell r="G335"/>
          <cell r="H335"/>
        </row>
        <row r="336">
          <cell r="B336"/>
          <cell r="C336"/>
          <cell r="D336"/>
          <cell r="E336"/>
          <cell r="F336"/>
          <cell r="G336"/>
          <cell r="H336"/>
        </row>
        <row r="337">
          <cell r="B337"/>
          <cell r="C337"/>
          <cell r="D337"/>
          <cell r="E337"/>
          <cell r="F337"/>
          <cell r="G337"/>
          <cell r="H337"/>
        </row>
        <row r="338">
          <cell r="B338"/>
          <cell r="C338"/>
          <cell r="D338"/>
          <cell r="E338"/>
          <cell r="F338"/>
          <cell r="G338"/>
          <cell r="H338"/>
        </row>
        <row r="339">
          <cell r="B339"/>
          <cell r="C339"/>
          <cell r="D339"/>
          <cell r="E339"/>
          <cell r="F339"/>
          <cell r="G339"/>
          <cell r="H339"/>
        </row>
        <row r="340">
          <cell r="B340"/>
          <cell r="C340"/>
          <cell r="D340"/>
          <cell r="E340"/>
          <cell r="F340"/>
          <cell r="G340"/>
          <cell r="H340"/>
        </row>
        <row r="341">
          <cell r="B341"/>
          <cell r="C341"/>
          <cell r="D341"/>
          <cell r="E341"/>
          <cell r="F341"/>
          <cell r="G341"/>
          <cell r="H341"/>
        </row>
        <row r="342">
          <cell r="B342"/>
          <cell r="C342"/>
          <cell r="D342"/>
          <cell r="E342"/>
          <cell r="F342"/>
          <cell r="G342"/>
          <cell r="H342"/>
        </row>
        <row r="343">
          <cell r="B343"/>
          <cell r="C343"/>
          <cell r="D343"/>
          <cell r="E343"/>
          <cell r="F343"/>
          <cell r="G343"/>
          <cell r="H343"/>
        </row>
        <row r="344">
          <cell r="B344"/>
          <cell r="C344"/>
          <cell r="D344"/>
          <cell r="E344"/>
          <cell r="F344"/>
          <cell r="G344"/>
          <cell r="H344"/>
        </row>
        <row r="345">
          <cell r="B345"/>
          <cell r="C345"/>
          <cell r="D345"/>
          <cell r="E345"/>
          <cell r="F345"/>
          <cell r="G345"/>
          <cell r="H345"/>
        </row>
        <row r="346">
          <cell r="B346"/>
          <cell r="C346"/>
          <cell r="D346"/>
          <cell r="E346"/>
          <cell r="F346"/>
          <cell r="G346"/>
          <cell r="H346"/>
        </row>
        <row r="347">
          <cell r="B347"/>
          <cell r="C347"/>
          <cell r="D347"/>
          <cell r="E347"/>
          <cell r="F347"/>
          <cell r="G347"/>
          <cell r="H347"/>
        </row>
        <row r="348">
          <cell r="B348"/>
          <cell r="C348"/>
          <cell r="D348"/>
          <cell r="E348"/>
          <cell r="F348"/>
          <cell r="G348"/>
          <cell r="H348"/>
        </row>
        <row r="349">
          <cell r="B349"/>
          <cell r="C349"/>
          <cell r="D349"/>
          <cell r="E349"/>
          <cell r="F349"/>
          <cell r="G349"/>
          <cell r="H349"/>
        </row>
        <row r="350">
          <cell r="B350"/>
          <cell r="C350"/>
          <cell r="D350"/>
          <cell r="E350"/>
          <cell r="F350"/>
          <cell r="G350"/>
          <cell r="H350"/>
        </row>
        <row r="351">
          <cell r="B351"/>
          <cell r="C351"/>
          <cell r="D351"/>
          <cell r="E351"/>
          <cell r="F351"/>
          <cell r="G351"/>
          <cell r="H351"/>
        </row>
        <row r="352">
          <cell r="B352"/>
          <cell r="C352"/>
          <cell r="D352"/>
          <cell r="E352"/>
          <cell r="F352"/>
          <cell r="G352"/>
          <cell r="H352"/>
        </row>
        <row r="353">
          <cell r="B353"/>
          <cell r="C353"/>
          <cell r="D353"/>
          <cell r="E353"/>
          <cell r="F353"/>
          <cell r="G353"/>
          <cell r="H353"/>
        </row>
        <row r="354">
          <cell r="B354"/>
          <cell r="C354"/>
          <cell r="D354"/>
          <cell r="E354"/>
          <cell r="F354"/>
          <cell r="G354"/>
          <cell r="H354"/>
        </row>
        <row r="355">
          <cell r="B355"/>
          <cell r="C355"/>
          <cell r="D355"/>
          <cell r="E355"/>
          <cell r="F355"/>
          <cell r="G355"/>
          <cell r="H355"/>
        </row>
        <row r="356">
          <cell r="B356"/>
          <cell r="C356"/>
          <cell r="D356"/>
          <cell r="E356"/>
          <cell r="F356"/>
          <cell r="G356"/>
          <cell r="H356"/>
        </row>
        <row r="357">
          <cell r="B357"/>
          <cell r="C357"/>
          <cell r="D357"/>
          <cell r="E357"/>
          <cell r="F357"/>
          <cell r="G357"/>
          <cell r="H357"/>
        </row>
        <row r="358">
          <cell r="B358"/>
          <cell r="C358"/>
          <cell r="D358"/>
          <cell r="E358"/>
          <cell r="F358"/>
          <cell r="G358"/>
          <cell r="H358"/>
        </row>
        <row r="359">
          <cell r="B359"/>
          <cell r="C359"/>
          <cell r="D359"/>
          <cell r="E359"/>
          <cell r="F359"/>
          <cell r="G359"/>
          <cell r="H359"/>
        </row>
        <row r="360">
          <cell r="B360"/>
          <cell r="C360"/>
          <cell r="D360"/>
          <cell r="E360"/>
          <cell r="F360"/>
          <cell r="G360"/>
          <cell r="H360"/>
        </row>
        <row r="361">
          <cell r="B361"/>
          <cell r="C361"/>
          <cell r="D361"/>
          <cell r="E361"/>
          <cell r="F361"/>
          <cell r="G361"/>
          <cell r="H361"/>
        </row>
        <row r="362">
          <cell r="B362"/>
          <cell r="C362"/>
          <cell r="D362"/>
          <cell r="E362"/>
          <cell r="F362"/>
          <cell r="G362"/>
          <cell r="H362"/>
        </row>
        <row r="363">
          <cell r="B363"/>
          <cell r="C363"/>
          <cell r="D363"/>
          <cell r="E363"/>
          <cell r="F363"/>
          <cell r="G363"/>
          <cell r="H363"/>
        </row>
        <row r="364">
          <cell r="B364"/>
          <cell r="C364"/>
          <cell r="D364"/>
          <cell r="E364"/>
          <cell r="F364"/>
          <cell r="G364"/>
          <cell r="H364"/>
        </row>
        <row r="365">
          <cell r="B365"/>
          <cell r="C365"/>
          <cell r="D365"/>
          <cell r="E365"/>
          <cell r="F365"/>
          <cell r="G365"/>
          <cell r="H365"/>
        </row>
        <row r="366">
          <cell r="B366"/>
          <cell r="C366"/>
          <cell r="D366"/>
          <cell r="E366"/>
          <cell r="F366"/>
          <cell r="G366"/>
          <cell r="H366"/>
        </row>
        <row r="367">
          <cell r="B367"/>
          <cell r="C367"/>
          <cell r="D367"/>
          <cell r="E367"/>
          <cell r="F367"/>
          <cell r="G367"/>
          <cell r="H367"/>
        </row>
        <row r="368">
          <cell r="B368"/>
          <cell r="C368"/>
          <cell r="D368"/>
          <cell r="E368"/>
          <cell r="F368"/>
          <cell r="G368"/>
          <cell r="H368"/>
        </row>
        <row r="369">
          <cell r="B369"/>
          <cell r="C369"/>
          <cell r="D369"/>
          <cell r="E369"/>
          <cell r="F369"/>
          <cell r="G369"/>
          <cell r="H369"/>
        </row>
        <row r="370">
          <cell r="B370"/>
          <cell r="C370"/>
          <cell r="D370"/>
          <cell r="E370"/>
          <cell r="F370"/>
          <cell r="G370"/>
          <cell r="H370"/>
        </row>
        <row r="371">
          <cell r="B371"/>
          <cell r="C371"/>
          <cell r="D371"/>
          <cell r="E371"/>
          <cell r="F371"/>
          <cell r="G371"/>
          <cell r="H371"/>
        </row>
        <row r="372">
          <cell r="B372"/>
          <cell r="C372"/>
          <cell r="D372"/>
          <cell r="E372"/>
          <cell r="F372"/>
          <cell r="G372"/>
          <cell r="H372"/>
        </row>
        <row r="373">
          <cell r="B373"/>
          <cell r="C373"/>
          <cell r="D373"/>
          <cell r="E373"/>
          <cell r="F373"/>
          <cell r="G373"/>
          <cell r="H373"/>
        </row>
        <row r="374">
          <cell r="B374"/>
          <cell r="C374"/>
          <cell r="D374"/>
          <cell r="E374"/>
          <cell r="F374"/>
          <cell r="G374"/>
          <cell r="H374"/>
        </row>
        <row r="375">
          <cell r="B375"/>
          <cell r="C375"/>
          <cell r="D375"/>
          <cell r="E375"/>
          <cell r="F375"/>
          <cell r="G375"/>
          <cell r="H375"/>
        </row>
        <row r="376">
          <cell r="B376"/>
          <cell r="C376"/>
          <cell r="D376"/>
          <cell r="E376"/>
          <cell r="F376"/>
          <cell r="G376"/>
          <cell r="H376"/>
        </row>
        <row r="377">
          <cell r="B377"/>
          <cell r="C377"/>
          <cell r="D377"/>
          <cell r="E377"/>
          <cell r="F377"/>
          <cell r="G377"/>
          <cell r="H377"/>
        </row>
        <row r="378">
          <cell r="B378"/>
          <cell r="C378"/>
          <cell r="D378"/>
          <cell r="E378"/>
          <cell r="F378"/>
          <cell r="G378"/>
          <cell r="H378"/>
        </row>
        <row r="379">
          <cell r="B379"/>
          <cell r="C379"/>
          <cell r="D379"/>
          <cell r="E379"/>
          <cell r="F379"/>
          <cell r="G379"/>
          <cell r="H379"/>
        </row>
        <row r="380">
          <cell r="B380"/>
          <cell r="C380"/>
          <cell r="D380"/>
          <cell r="E380"/>
          <cell r="F380"/>
          <cell r="G380"/>
          <cell r="H380"/>
        </row>
        <row r="381">
          <cell r="B381"/>
          <cell r="C381"/>
          <cell r="D381"/>
          <cell r="E381"/>
          <cell r="F381"/>
          <cell r="G381"/>
          <cell r="H381"/>
        </row>
        <row r="382">
          <cell r="B382"/>
          <cell r="C382"/>
          <cell r="D382"/>
          <cell r="E382"/>
          <cell r="F382"/>
          <cell r="G382"/>
          <cell r="H382"/>
        </row>
        <row r="383">
          <cell r="B383"/>
          <cell r="C383"/>
          <cell r="D383"/>
          <cell r="E383"/>
          <cell r="F383"/>
          <cell r="G383"/>
          <cell r="H383"/>
        </row>
        <row r="384">
          <cell r="B384"/>
          <cell r="C384"/>
          <cell r="D384"/>
          <cell r="E384"/>
          <cell r="F384"/>
          <cell r="G384"/>
          <cell r="H384"/>
        </row>
        <row r="385">
          <cell r="B385"/>
          <cell r="C385"/>
          <cell r="D385"/>
          <cell r="E385"/>
          <cell r="F385"/>
          <cell r="G385"/>
          <cell r="H385"/>
        </row>
        <row r="386">
          <cell r="B386"/>
          <cell r="C386"/>
          <cell r="D386"/>
          <cell r="E386"/>
          <cell r="F386"/>
          <cell r="G386"/>
          <cell r="H386"/>
        </row>
        <row r="387">
          <cell r="B387"/>
          <cell r="C387"/>
          <cell r="D387"/>
          <cell r="E387"/>
          <cell r="F387"/>
          <cell r="G387"/>
          <cell r="H387"/>
        </row>
        <row r="388">
          <cell r="B388"/>
          <cell r="C388"/>
          <cell r="D388"/>
          <cell r="E388"/>
          <cell r="F388"/>
          <cell r="G388"/>
          <cell r="H388"/>
        </row>
        <row r="389">
          <cell r="B389"/>
          <cell r="C389"/>
          <cell r="D389"/>
          <cell r="E389"/>
          <cell r="F389"/>
          <cell r="G389"/>
          <cell r="H389"/>
        </row>
        <row r="390">
          <cell r="B390"/>
          <cell r="C390"/>
          <cell r="D390"/>
          <cell r="E390"/>
          <cell r="F390"/>
          <cell r="G390"/>
          <cell r="H390"/>
        </row>
        <row r="391">
          <cell r="B391"/>
          <cell r="C391"/>
          <cell r="D391"/>
          <cell r="E391"/>
          <cell r="F391"/>
          <cell r="G391"/>
          <cell r="H391"/>
        </row>
        <row r="392">
          <cell r="B392"/>
          <cell r="C392"/>
          <cell r="D392"/>
          <cell r="E392"/>
          <cell r="F392"/>
          <cell r="G392"/>
          <cell r="H392"/>
        </row>
        <row r="393">
          <cell r="B393"/>
          <cell r="C393"/>
          <cell r="D393"/>
          <cell r="E393"/>
          <cell r="F393"/>
          <cell r="G393"/>
          <cell r="H393"/>
        </row>
        <row r="394">
          <cell r="B394"/>
          <cell r="C394"/>
          <cell r="D394"/>
          <cell r="E394"/>
          <cell r="F394"/>
          <cell r="G394"/>
          <cell r="H394"/>
        </row>
        <row r="395">
          <cell r="B395"/>
          <cell r="C395"/>
          <cell r="D395"/>
          <cell r="E395"/>
          <cell r="F395"/>
          <cell r="G395"/>
          <cell r="H395"/>
        </row>
        <row r="396">
          <cell r="B396"/>
          <cell r="C396"/>
          <cell r="D396"/>
          <cell r="E396"/>
          <cell r="F396"/>
          <cell r="G396"/>
          <cell r="H396"/>
        </row>
        <row r="397">
          <cell r="B397"/>
          <cell r="C397"/>
          <cell r="D397"/>
          <cell r="E397"/>
          <cell r="F397"/>
          <cell r="G397"/>
          <cell r="H397"/>
        </row>
        <row r="398">
          <cell r="B398"/>
          <cell r="C398"/>
          <cell r="D398"/>
          <cell r="E398"/>
          <cell r="F398"/>
          <cell r="G398"/>
          <cell r="H398"/>
        </row>
        <row r="399">
          <cell r="B399"/>
          <cell r="C399"/>
          <cell r="D399"/>
          <cell r="E399"/>
          <cell r="F399"/>
          <cell r="G399"/>
          <cell r="H399"/>
        </row>
        <row r="400">
          <cell r="B400"/>
          <cell r="C400"/>
          <cell r="D400"/>
          <cell r="E400"/>
          <cell r="F400"/>
          <cell r="G400"/>
          <cell r="H400"/>
        </row>
        <row r="401">
          <cell r="B401"/>
          <cell r="C401"/>
          <cell r="D401"/>
          <cell r="E401"/>
          <cell r="F401"/>
          <cell r="G401"/>
          <cell r="H401"/>
        </row>
        <row r="402">
          <cell r="B402"/>
          <cell r="C402"/>
          <cell r="D402"/>
          <cell r="E402"/>
          <cell r="F402"/>
          <cell r="G402"/>
          <cell r="H402"/>
        </row>
        <row r="403">
          <cell r="B403"/>
          <cell r="C403"/>
          <cell r="D403"/>
          <cell r="E403"/>
          <cell r="F403"/>
          <cell r="G403"/>
          <cell r="H403"/>
        </row>
        <row r="404">
          <cell r="B404"/>
          <cell r="C404"/>
          <cell r="D404"/>
          <cell r="E404"/>
          <cell r="F404"/>
          <cell r="G404"/>
          <cell r="H404"/>
        </row>
        <row r="405">
          <cell r="B405"/>
          <cell r="C405"/>
          <cell r="D405"/>
          <cell r="E405"/>
          <cell r="F405"/>
          <cell r="G405"/>
          <cell r="H405"/>
        </row>
        <row r="406">
          <cell r="B406"/>
          <cell r="C406"/>
          <cell r="D406"/>
          <cell r="E406"/>
          <cell r="F406"/>
          <cell r="G406"/>
          <cell r="H406"/>
        </row>
        <row r="407">
          <cell r="B407"/>
          <cell r="C407"/>
          <cell r="D407"/>
          <cell r="E407"/>
          <cell r="F407"/>
          <cell r="G407"/>
          <cell r="H407"/>
        </row>
        <row r="408">
          <cell r="B408"/>
          <cell r="C408"/>
          <cell r="D408"/>
          <cell r="E408"/>
          <cell r="F408"/>
          <cell r="G408"/>
          <cell r="H408"/>
        </row>
        <row r="409">
          <cell r="B409"/>
          <cell r="C409"/>
          <cell r="D409"/>
          <cell r="E409"/>
          <cell r="F409"/>
          <cell r="G409"/>
          <cell r="H409"/>
        </row>
        <row r="410">
          <cell r="B410"/>
          <cell r="C410"/>
          <cell r="D410"/>
          <cell r="E410"/>
          <cell r="F410"/>
          <cell r="G410"/>
          <cell r="H410"/>
        </row>
        <row r="411">
          <cell r="B411"/>
          <cell r="C411"/>
          <cell r="D411"/>
          <cell r="E411"/>
          <cell r="F411"/>
          <cell r="G411"/>
          <cell r="H411"/>
        </row>
        <row r="412">
          <cell r="B412"/>
          <cell r="C412"/>
          <cell r="D412"/>
          <cell r="E412"/>
          <cell r="F412"/>
          <cell r="G412"/>
          <cell r="H412"/>
        </row>
        <row r="413">
          <cell r="B413"/>
          <cell r="C413"/>
          <cell r="D413"/>
          <cell r="E413"/>
          <cell r="F413"/>
          <cell r="G413"/>
          <cell r="H413"/>
        </row>
        <row r="414">
          <cell r="B414"/>
          <cell r="C414"/>
          <cell r="D414"/>
          <cell r="E414"/>
          <cell r="F414"/>
          <cell r="G414"/>
          <cell r="H414"/>
        </row>
        <row r="415">
          <cell r="B415"/>
          <cell r="C415"/>
          <cell r="D415"/>
          <cell r="E415"/>
          <cell r="F415"/>
          <cell r="G415"/>
          <cell r="H415"/>
        </row>
        <row r="416">
          <cell r="B416"/>
          <cell r="C416"/>
          <cell r="D416"/>
          <cell r="E416"/>
          <cell r="F416"/>
          <cell r="G416"/>
          <cell r="H416"/>
        </row>
        <row r="417">
          <cell r="B417"/>
          <cell r="C417"/>
          <cell r="D417"/>
          <cell r="E417"/>
          <cell r="F417"/>
          <cell r="G417"/>
          <cell r="H417"/>
        </row>
        <row r="418">
          <cell r="B418"/>
          <cell r="C418"/>
          <cell r="D418"/>
          <cell r="E418"/>
          <cell r="F418"/>
          <cell r="G418"/>
          <cell r="H418"/>
        </row>
        <row r="419">
          <cell r="B419"/>
          <cell r="C419"/>
          <cell r="D419"/>
          <cell r="E419"/>
          <cell r="F419"/>
          <cell r="G419"/>
          <cell r="H419"/>
        </row>
        <row r="420">
          <cell r="B420"/>
          <cell r="C420"/>
          <cell r="D420"/>
          <cell r="E420"/>
          <cell r="F420"/>
          <cell r="G420"/>
          <cell r="H420"/>
        </row>
        <row r="421">
          <cell r="B421"/>
          <cell r="C421"/>
          <cell r="D421"/>
          <cell r="E421"/>
          <cell r="F421"/>
          <cell r="G421"/>
          <cell r="H421"/>
        </row>
        <row r="422">
          <cell r="B422"/>
          <cell r="C422"/>
          <cell r="D422"/>
          <cell r="E422"/>
          <cell r="F422"/>
          <cell r="G422"/>
          <cell r="H422"/>
        </row>
        <row r="423">
          <cell r="B423"/>
          <cell r="C423"/>
          <cell r="D423"/>
          <cell r="E423"/>
          <cell r="F423"/>
          <cell r="G423"/>
          <cell r="H423"/>
        </row>
        <row r="424">
          <cell r="B424"/>
          <cell r="C424"/>
          <cell r="D424"/>
          <cell r="E424"/>
          <cell r="F424"/>
          <cell r="G424"/>
          <cell r="H424"/>
        </row>
        <row r="425">
          <cell r="B425"/>
          <cell r="C425"/>
          <cell r="D425"/>
          <cell r="E425"/>
          <cell r="F425"/>
          <cell r="G425"/>
          <cell r="H425"/>
        </row>
        <row r="426">
          <cell r="B426"/>
          <cell r="C426"/>
          <cell r="D426"/>
          <cell r="E426"/>
          <cell r="F426"/>
          <cell r="G426"/>
          <cell r="H426"/>
        </row>
        <row r="427">
          <cell r="B427"/>
          <cell r="C427"/>
          <cell r="D427"/>
          <cell r="E427"/>
          <cell r="F427"/>
          <cell r="G427"/>
          <cell r="H427"/>
        </row>
        <row r="428">
          <cell r="B428"/>
          <cell r="C428"/>
          <cell r="D428"/>
          <cell r="E428"/>
          <cell r="F428"/>
          <cell r="G428"/>
          <cell r="H428"/>
        </row>
        <row r="429">
          <cell r="B429"/>
          <cell r="C429"/>
          <cell r="D429"/>
          <cell r="E429"/>
          <cell r="F429"/>
          <cell r="G429"/>
          <cell r="H429"/>
        </row>
        <row r="430">
          <cell r="B430"/>
          <cell r="C430"/>
          <cell r="D430"/>
          <cell r="E430"/>
          <cell r="F430"/>
          <cell r="G430"/>
          <cell r="H430"/>
        </row>
        <row r="431">
          <cell r="B431"/>
          <cell r="C431"/>
          <cell r="D431"/>
          <cell r="E431"/>
          <cell r="F431"/>
          <cell r="G431"/>
          <cell r="H431"/>
        </row>
        <row r="432">
          <cell r="B432"/>
          <cell r="C432"/>
          <cell r="D432"/>
          <cell r="E432"/>
          <cell r="F432"/>
          <cell r="G432"/>
          <cell r="H432"/>
        </row>
        <row r="433">
          <cell r="B433"/>
          <cell r="C433"/>
          <cell r="D433"/>
          <cell r="E433"/>
          <cell r="F433"/>
          <cell r="G433"/>
          <cell r="H433"/>
        </row>
        <row r="434">
          <cell r="B434"/>
          <cell r="C434"/>
          <cell r="D434"/>
          <cell r="E434"/>
          <cell r="F434"/>
          <cell r="G434"/>
          <cell r="H434"/>
        </row>
        <row r="435">
          <cell r="B435"/>
          <cell r="C435"/>
          <cell r="D435"/>
          <cell r="E435"/>
          <cell r="F435"/>
          <cell r="G435"/>
          <cell r="H435"/>
        </row>
        <row r="436">
          <cell r="B436"/>
          <cell r="C436"/>
          <cell r="D436"/>
          <cell r="E436"/>
          <cell r="F436"/>
          <cell r="G436"/>
          <cell r="H436"/>
        </row>
        <row r="437">
          <cell r="B437"/>
          <cell r="C437"/>
          <cell r="D437"/>
          <cell r="E437"/>
          <cell r="F437"/>
          <cell r="G437"/>
          <cell r="H437"/>
        </row>
        <row r="438">
          <cell r="B438"/>
          <cell r="C438"/>
          <cell r="D438"/>
          <cell r="E438"/>
          <cell r="F438"/>
          <cell r="G438"/>
          <cell r="H438"/>
        </row>
        <row r="439">
          <cell r="B439"/>
          <cell r="C439"/>
          <cell r="D439"/>
          <cell r="E439"/>
          <cell r="F439"/>
          <cell r="G439"/>
          <cell r="H439"/>
        </row>
        <row r="440">
          <cell r="B440"/>
          <cell r="C440"/>
          <cell r="D440"/>
          <cell r="E440"/>
          <cell r="F440"/>
          <cell r="G440"/>
          <cell r="H440"/>
        </row>
        <row r="441">
          <cell r="B441"/>
          <cell r="C441"/>
          <cell r="D441"/>
          <cell r="E441"/>
          <cell r="F441"/>
          <cell r="G441"/>
          <cell r="H441"/>
        </row>
        <row r="442">
          <cell r="B442"/>
          <cell r="C442"/>
          <cell r="D442"/>
          <cell r="E442"/>
          <cell r="F442"/>
          <cell r="G442"/>
          <cell r="H442"/>
        </row>
        <row r="443">
          <cell r="B443"/>
          <cell r="C443"/>
          <cell r="D443"/>
          <cell r="E443"/>
          <cell r="F443"/>
          <cell r="G443"/>
          <cell r="H443"/>
        </row>
        <row r="444">
          <cell r="B444"/>
          <cell r="C444"/>
          <cell r="D444"/>
          <cell r="E444"/>
          <cell r="F444"/>
          <cell r="G444"/>
          <cell r="H444"/>
        </row>
        <row r="445">
          <cell r="B445"/>
          <cell r="C445"/>
          <cell r="D445"/>
          <cell r="E445"/>
          <cell r="F445"/>
          <cell r="G445"/>
          <cell r="H445"/>
        </row>
        <row r="446">
          <cell r="B446"/>
          <cell r="C446"/>
          <cell r="D446"/>
          <cell r="E446"/>
          <cell r="F446"/>
          <cell r="G446"/>
          <cell r="H446"/>
        </row>
        <row r="447">
          <cell r="B447"/>
          <cell r="C447"/>
          <cell r="D447"/>
          <cell r="E447"/>
          <cell r="F447"/>
          <cell r="G447"/>
          <cell r="H447"/>
        </row>
        <row r="448">
          <cell r="B448"/>
          <cell r="C448"/>
          <cell r="D448"/>
          <cell r="E448"/>
          <cell r="F448"/>
          <cell r="G448"/>
          <cell r="H448"/>
        </row>
        <row r="449">
          <cell r="B449"/>
          <cell r="C449"/>
          <cell r="D449"/>
          <cell r="E449"/>
          <cell r="F449"/>
          <cell r="G449"/>
          <cell r="H449"/>
        </row>
        <row r="450">
          <cell r="B450"/>
          <cell r="C450"/>
          <cell r="D450"/>
          <cell r="E450"/>
          <cell r="F450"/>
          <cell r="G450"/>
          <cell r="H450"/>
        </row>
        <row r="451">
          <cell r="B451"/>
          <cell r="C451"/>
          <cell r="D451"/>
          <cell r="E451"/>
          <cell r="F451"/>
          <cell r="G451"/>
          <cell r="H451"/>
        </row>
        <row r="452">
          <cell r="B452"/>
          <cell r="C452"/>
          <cell r="D452"/>
          <cell r="E452"/>
          <cell r="F452"/>
          <cell r="G452"/>
          <cell r="H452"/>
        </row>
        <row r="453">
          <cell r="B453"/>
          <cell r="C453"/>
          <cell r="D453"/>
          <cell r="E453"/>
          <cell r="F453"/>
          <cell r="G453"/>
          <cell r="H453"/>
        </row>
        <row r="454">
          <cell r="B454"/>
          <cell r="C454"/>
          <cell r="D454"/>
          <cell r="E454"/>
          <cell r="F454"/>
          <cell r="G454"/>
          <cell r="H454"/>
        </row>
        <row r="455">
          <cell r="B455"/>
          <cell r="C455"/>
          <cell r="D455"/>
          <cell r="E455"/>
          <cell r="F455"/>
          <cell r="G455"/>
          <cell r="H455"/>
        </row>
        <row r="456">
          <cell r="B456"/>
          <cell r="C456"/>
          <cell r="D456"/>
          <cell r="E456"/>
          <cell r="F456"/>
          <cell r="G456"/>
          <cell r="H456"/>
        </row>
        <row r="457">
          <cell r="B457"/>
          <cell r="C457"/>
          <cell r="D457"/>
          <cell r="E457"/>
          <cell r="F457"/>
          <cell r="G457"/>
          <cell r="H457"/>
        </row>
        <row r="458">
          <cell r="B458"/>
          <cell r="C458"/>
          <cell r="D458"/>
          <cell r="E458"/>
          <cell r="F458"/>
          <cell r="G458"/>
          <cell r="H458"/>
        </row>
        <row r="459">
          <cell r="B459"/>
          <cell r="C459"/>
          <cell r="D459"/>
          <cell r="E459"/>
          <cell r="F459"/>
          <cell r="G459"/>
          <cell r="H459"/>
        </row>
        <row r="460">
          <cell r="B460"/>
          <cell r="C460"/>
          <cell r="D460"/>
          <cell r="E460"/>
          <cell r="F460"/>
          <cell r="G460"/>
          <cell r="H460"/>
        </row>
        <row r="461">
          <cell r="B461"/>
          <cell r="C461"/>
          <cell r="D461"/>
          <cell r="E461"/>
          <cell r="F461"/>
          <cell r="G461"/>
          <cell r="H461"/>
        </row>
        <row r="462">
          <cell r="B462"/>
          <cell r="C462"/>
          <cell r="D462"/>
          <cell r="E462"/>
          <cell r="F462"/>
          <cell r="G462"/>
          <cell r="H462"/>
        </row>
        <row r="463">
          <cell r="B463"/>
          <cell r="C463"/>
          <cell r="D463"/>
          <cell r="E463"/>
          <cell r="F463"/>
          <cell r="G463"/>
          <cell r="H463"/>
        </row>
        <row r="464">
          <cell r="B464"/>
          <cell r="C464"/>
          <cell r="D464"/>
          <cell r="E464"/>
          <cell r="F464"/>
          <cell r="G464"/>
          <cell r="H464"/>
        </row>
        <row r="465">
          <cell r="B465"/>
          <cell r="C465"/>
          <cell r="D465"/>
          <cell r="E465"/>
          <cell r="F465"/>
          <cell r="G465"/>
          <cell r="H465"/>
        </row>
        <row r="466">
          <cell r="B466"/>
          <cell r="C466"/>
          <cell r="D466"/>
          <cell r="E466"/>
          <cell r="F466"/>
          <cell r="G466"/>
          <cell r="H466"/>
        </row>
        <row r="467">
          <cell r="B467"/>
          <cell r="C467"/>
          <cell r="D467"/>
          <cell r="E467"/>
          <cell r="F467"/>
          <cell r="G467"/>
          <cell r="H467"/>
        </row>
        <row r="468">
          <cell r="B468"/>
          <cell r="C468"/>
          <cell r="D468"/>
          <cell r="E468"/>
          <cell r="F468"/>
          <cell r="G468"/>
          <cell r="H468"/>
        </row>
        <row r="469">
          <cell r="B469"/>
          <cell r="C469"/>
          <cell r="D469"/>
          <cell r="E469"/>
          <cell r="F469"/>
          <cell r="G469"/>
          <cell r="H469"/>
        </row>
        <row r="470">
          <cell r="B470"/>
          <cell r="C470"/>
          <cell r="D470"/>
          <cell r="E470"/>
          <cell r="F470"/>
          <cell r="G470"/>
          <cell r="H470"/>
        </row>
        <row r="471">
          <cell r="B471"/>
          <cell r="C471"/>
          <cell r="D471"/>
          <cell r="E471"/>
          <cell r="F471"/>
          <cell r="G471"/>
          <cell r="H471"/>
        </row>
        <row r="472">
          <cell r="B472"/>
          <cell r="C472"/>
          <cell r="D472"/>
          <cell r="E472"/>
          <cell r="F472"/>
          <cell r="G472"/>
          <cell r="H472"/>
        </row>
        <row r="473">
          <cell r="B473"/>
          <cell r="C473"/>
          <cell r="D473"/>
          <cell r="E473"/>
          <cell r="F473"/>
          <cell r="G473"/>
          <cell r="H473"/>
        </row>
        <row r="474">
          <cell r="B474"/>
          <cell r="C474"/>
          <cell r="D474"/>
          <cell r="E474"/>
          <cell r="F474"/>
          <cell r="G474"/>
          <cell r="H474"/>
        </row>
        <row r="475">
          <cell r="B475"/>
          <cell r="C475"/>
          <cell r="D475"/>
          <cell r="E475"/>
          <cell r="F475"/>
          <cell r="G475"/>
          <cell r="H475"/>
        </row>
        <row r="476">
          <cell r="B476"/>
          <cell r="C476"/>
          <cell r="D476"/>
          <cell r="E476"/>
          <cell r="F476"/>
          <cell r="G476"/>
          <cell r="H476"/>
        </row>
        <row r="477">
          <cell r="B477"/>
          <cell r="C477"/>
          <cell r="D477"/>
          <cell r="E477"/>
          <cell r="F477"/>
          <cell r="G477"/>
          <cell r="H477"/>
        </row>
        <row r="478">
          <cell r="B478"/>
          <cell r="C478"/>
          <cell r="D478"/>
          <cell r="E478"/>
          <cell r="F478"/>
          <cell r="G478"/>
          <cell r="H478"/>
        </row>
        <row r="479">
          <cell r="B479"/>
          <cell r="C479"/>
          <cell r="D479"/>
          <cell r="E479"/>
          <cell r="F479"/>
          <cell r="G479"/>
          <cell r="H479"/>
        </row>
        <row r="480">
          <cell r="B480"/>
          <cell r="C480"/>
          <cell r="D480"/>
          <cell r="E480"/>
          <cell r="F480"/>
          <cell r="G480"/>
          <cell r="H480"/>
        </row>
        <row r="481">
          <cell r="B481"/>
          <cell r="C481"/>
          <cell r="D481"/>
          <cell r="E481"/>
          <cell r="F481"/>
          <cell r="G481"/>
          <cell r="H481"/>
        </row>
        <row r="482">
          <cell r="B482"/>
          <cell r="C482"/>
          <cell r="D482"/>
          <cell r="E482"/>
          <cell r="F482"/>
          <cell r="G482"/>
          <cell r="H482"/>
        </row>
        <row r="483">
          <cell r="B483"/>
          <cell r="C483"/>
          <cell r="D483"/>
          <cell r="E483"/>
          <cell r="F483"/>
          <cell r="G483"/>
          <cell r="H483"/>
        </row>
        <row r="484">
          <cell r="B484"/>
          <cell r="C484"/>
          <cell r="D484"/>
          <cell r="E484"/>
          <cell r="F484"/>
          <cell r="G484"/>
          <cell r="H484"/>
        </row>
        <row r="485">
          <cell r="B485"/>
          <cell r="C485"/>
          <cell r="D485"/>
          <cell r="E485"/>
          <cell r="F485"/>
          <cell r="G485"/>
          <cell r="H485"/>
        </row>
        <row r="486">
          <cell r="B486"/>
          <cell r="C486"/>
          <cell r="D486"/>
          <cell r="E486"/>
          <cell r="F486"/>
          <cell r="G486"/>
          <cell r="H486"/>
        </row>
        <row r="487">
          <cell r="B487"/>
          <cell r="C487"/>
          <cell r="D487"/>
          <cell r="E487"/>
          <cell r="F487"/>
          <cell r="G487"/>
          <cell r="H487"/>
        </row>
        <row r="488">
          <cell r="B488"/>
          <cell r="C488"/>
          <cell r="D488"/>
          <cell r="E488"/>
          <cell r="F488"/>
          <cell r="G488"/>
          <cell r="H488"/>
        </row>
        <row r="489">
          <cell r="B489"/>
          <cell r="C489"/>
          <cell r="D489"/>
          <cell r="E489"/>
          <cell r="F489"/>
          <cell r="G489"/>
          <cell r="H489"/>
        </row>
        <row r="490">
          <cell r="B490"/>
          <cell r="C490"/>
          <cell r="D490"/>
          <cell r="E490"/>
          <cell r="F490"/>
          <cell r="G490"/>
          <cell r="H490"/>
        </row>
        <row r="491">
          <cell r="B491"/>
          <cell r="C491"/>
          <cell r="D491"/>
          <cell r="E491"/>
          <cell r="F491"/>
          <cell r="G491"/>
          <cell r="H491"/>
        </row>
        <row r="492">
          <cell r="B492"/>
          <cell r="C492"/>
          <cell r="D492"/>
          <cell r="E492"/>
          <cell r="F492"/>
          <cell r="G492"/>
          <cell r="H492"/>
        </row>
        <row r="493">
          <cell r="B493"/>
          <cell r="C493"/>
          <cell r="D493"/>
          <cell r="E493"/>
          <cell r="F493"/>
          <cell r="G493"/>
          <cell r="H493"/>
        </row>
        <row r="494">
          <cell r="B494"/>
          <cell r="C494"/>
          <cell r="D494"/>
          <cell r="E494"/>
          <cell r="F494"/>
          <cell r="G494"/>
          <cell r="H494"/>
        </row>
        <row r="495">
          <cell r="B495"/>
          <cell r="C495"/>
          <cell r="D495"/>
          <cell r="E495"/>
          <cell r="F495"/>
          <cell r="G495"/>
          <cell r="H495"/>
        </row>
        <row r="496">
          <cell r="B496"/>
          <cell r="C496"/>
          <cell r="D496"/>
          <cell r="E496"/>
          <cell r="F496"/>
          <cell r="G496"/>
          <cell r="H496"/>
        </row>
        <row r="497">
          <cell r="B497"/>
          <cell r="C497"/>
          <cell r="D497"/>
          <cell r="E497"/>
          <cell r="F497"/>
          <cell r="G497"/>
          <cell r="H497"/>
        </row>
        <row r="498">
          <cell r="B498"/>
          <cell r="C498"/>
          <cell r="D498"/>
          <cell r="E498"/>
          <cell r="F498"/>
          <cell r="G498"/>
          <cell r="H498"/>
        </row>
        <row r="499">
          <cell r="B499"/>
          <cell r="C499"/>
          <cell r="D499"/>
          <cell r="E499"/>
          <cell r="F499"/>
          <cell r="G499"/>
          <cell r="H499"/>
        </row>
        <row r="500">
          <cell r="B500"/>
          <cell r="C500"/>
          <cell r="D500"/>
          <cell r="E500"/>
          <cell r="F500"/>
          <cell r="G500"/>
          <cell r="H500"/>
        </row>
        <row r="501">
          <cell r="B501"/>
          <cell r="C501"/>
          <cell r="D501"/>
          <cell r="E501"/>
          <cell r="F501"/>
          <cell r="G501"/>
          <cell r="H501"/>
        </row>
        <row r="502">
          <cell r="B502"/>
          <cell r="C502"/>
          <cell r="D502"/>
          <cell r="E502"/>
          <cell r="F502"/>
          <cell r="G502"/>
          <cell r="H502"/>
        </row>
        <row r="503">
          <cell r="B503"/>
          <cell r="C503"/>
          <cell r="D503"/>
          <cell r="E503"/>
          <cell r="F503"/>
          <cell r="G503"/>
          <cell r="H503"/>
        </row>
        <row r="504">
          <cell r="B504"/>
          <cell r="C504"/>
          <cell r="D504"/>
          <cell r="E504"/>
          <cell r="F504"/>
          <cell r="G504"/>
          <cell r="H504"/>
        </row>
        <row r="505">
          <cell r="B505"/>
          <cell r="C505"/>
          <cell r="D505"/>
          <cell r="E505"/>
          <cell r="F505"/>
          <cell r="G505"/>
          <cell r="H505"/>
        </row>
        <row r="506">
          <cell r="B506"/>
          <cell r="C506"/>
          <cell r="D506"/>
          <cell r="E506"/>
          <cell r="F506"/>
          <cell r="G506"/>
          <cell r="H506"/>
        </row>
        <row r="507">
          <cell r="B507"/>
          <cell r="C507"/>
          <cell r="D507"/>
          <cell r="E507"/>
          <cell r="F507"/>
          <cell r="G507"/>
          <cell r="H507"/>
        </row>
        <row r="508">
          <cell r="B508"/>
          <cell r="C508"/>
          <cell r="D508"/>
          <cell r="E508"/>
          <cell r="F508"/>
          <cell r="G508"/>
          <cell r="H508"/>
        </row>
        <row r="509">
          <cell r="B509"/>
          <cell r="C509"/>
          <cell r="D509"/>
          <cell r="E509"/>
          <cell r="F509"/>
          <cell r="G509"/>
          <cell r="H509"/>
        </row>
        <row r="510">
          <cell r="B510"/>
          <cell r="C510"/>
          <cell r="D510"/>
          <cell r="E510"/>
          <cell r="F510"/>
          <cell r="G510"/>
          <cell r="H510"/>
        </row>
        <row r="511">
          <cell r="B511"/>
          <cell r="C511"/>
          <cell r="D511"/>
          <cell r="E511"/>
          <cell r="F511"/>
          <cell r="G511"/>
          <cell r="H511"/>
        </row>
        <row r="512">
          <cell r="B512"/>
          <cell r="C512"/>
          <cell r="D512"/>
          <cell r="E512"/>
          <cell r="F512"/>
          <cell r="G512"/>
          <cell r="H512"/>
        </row>
        <row r="513">
          <cell r="B513"/>
          <cell r="C513"/>
          <cell r="D513"/>
          <cell r="E513"/>
          <cell r="F513"/>
          <cell r="G513"/>
          <cell r="H513"/>
        </row>
        <row r="514">
          <cell r="B514"/>
          <cell r="C514"/>
          <cell r="D514"/>
          <cell r="E514"/>
          <cell r="F514"/>
          <cell r="G514"/>
          <cell r="H514"/>
        </row>
        <row r="515">
          <cell r="B515"/>
          <cell r="C515"/>
          <cell r="D515"/>
          <cell r="E515"/>
          <cell r="F515"/>
          <cell r="G515"/>
          <cell r="H515"/>
        </row>
        <row r="516">
          <cell r="B516"/>
          <cell r="C516"/>
          <cell r="D516"/>
          <cell r="E516"/>
          <cell r="F516"/>
          <cell r="G516"/>
          <cell r="H516"/>
        </row>
        <row r="517">
          <cell r="B517"/>
          <cell r="C517"/>
          <cell r="D517"/>
          <cell r="E517"/>
          <cell r="F517"/>
          <cell r="G517"/>
          <cell r="H517"/>
        </row>
        <row r="518">
          <cell r="B518"/>
          <cell r="C518"/>
          <cell r="D518"/>
          <cell r="E518"/>
          <cell r="F518"/>
          <cell r="G518"/>
          <cell r="H518"/>
        </row>
        <row r="519">
          <cell r="B519"/>
          <cell r="C519"/>
          <cell r="D519"/>
          <cell r="E519"/>
          <cell r="F519"/>
          <cell r="G519"/>
          <cell r="H519"/>
        </row>
        <row r="520">
          <cell r="B520"/>
          <cell r="C520"/>
          <cell r="D520"/>
          <cell r="E520"/>
          <cell r="F520"/>
          <cell r="G520"/>
          <cell r="H520"/>
        </row>
        <row r="521">
          <cell r="B521"/>
          <cell r="C521"/>
          <cell r="D521"/>
          <cell r="E521"/>
          <cell r="F521"/>
          <cell r="G521"/>
          <cell r="H521"/>
        </row>
        <row r="522">
          <cell r="B522"/>
          <cell r="C522"/>
          <cell r="D522"/>
          <cell r="E522"/>
          <cell r="F522"/>
          <cell r="G522"/>
          <cell r="H522"/>
        </row>
        <row r="523">
          <cell r="B523"/>
          <cell r="C523"/>
          <cell r="D523"/>
          <cell r="E523"/>
          <cell r="F523"/>
          <cell r="G523"/>
          <cell r="H523"/>
        </row>
        <row r="524">
          <cell r="B524"/>
          <cell r="C524"/>
          <cell r="D524"/>
          <cell r="E524"/>
          <cell r="F524"/>
          <cell r="G524"/>
          <cell r="H524"/>
        </row>
        <row r="525">
          <cell r="B525"/>
          <cell r="C525"/>
          <cell r="D525"/>
          <cell r="E525"/>
          <cell r="F525"/>
          <cell r="G525"/>
          <cell r="H525"/>
        </row>
        <row r="526">
          <cell r="B526"/>
          <cell r="C526"/>
          <cell r="D526"/>
          <cell r="E526"/>
          <cell r="F526"/>
          <cell r="G526"/>
          <cell r="H526"/>
        </row>
        <row r="527">
          <cell r="B527"/>
          <cell r="C527"/>
          <cell r="D527"/>
          <cell r="E527"/>
          <cell r="F527"/>
          <cell r="G527"/>
          <cell r="H527"/>
        </row>
        <row r="528">
          <cell r="B528"/>
          <cell r="C528"/>
          <cell r="D528"/>
          <cell r="E528"/>
          <cell r="F528"/>
          <cell r="G528"/>
          <cell r="H528"/>
        </row>
        <row r="529">
          <cell r="B529"/>
          <cell r="C529"/>
          <cell r="D529"/>
          <cell r="E529"/>
          <cell r="F529"/>
          <cell r="G529"/>
          <cell r="H529"/>
        </row>
        <row r="530">
          <cell r="B530"/>
          <cell r="C530"/>
          <cell r="D530"/>
          <cell r="E530"/>
          <cell r="F530"/>
          <cell r="G530"/>
          <cell r="H530"/>
        </row>
        <row r="531">
          <cell r="B531"/>
          <cell r="C531"/>
          <cell r="D531"/>
          <cell r="E531"/>
          <cell r="F531"/>
          <cell r="G531"/>
          <cell r="H531"/>
        </row>
        <row r="532">
          <cell r="B532"/>
          <cell r="C532"/>
          <cell r="D532"/>
          <cell r="E532"/>
          <cell r="F532"/>
          <cell r="G532"/>
          <cell r="H532"/>
        </row>
        <row r="533">
          <cell r="B533"/>
          <cell r="C533"/>
          <cell r="D533"/>
          <cell r="E533"/>
          <cell r="F533"/>
          <cell r="G533"/>
          <cell r="H533"/>
        </row>
        <row r="534">
          <cell r="B534"/>
          <cell r="C534"/>
          <cell r="D534"/>
          <cell r="E534"/>
          <cell r="F534"/>
          <cell r="G534"/>
          <cell r="H534"/>
        </row>
        <row r="535">
          <cell r="B535"/>
          <cell r="C535"/>
          <cell r="D535"/>
          <cell r="E535"/>
          <cell r="F535"/>
          <cell r="G535"/>
          <cell r="H535"/>
        </row>
        <row r="536">
          <cell r="B536"/>
          <cell r="C536"/>
          <cell r="D536"/>
          <cell r="E536"/>
          <cell r="F536"/>
          <cell r="G536"/>
          <cell r="H536"/>
        </row>
        <row r="537">
          <cell r="B537"/>
          <cell r="C537"/>
          <cell r="D537"/>
          <cell r="E537"/>
          <cell r="F537"/>
          <cell r="G537"/>
          <cell r="H537"/>
        </row>
        <row r="538">
          <cell r="B538"/>
          <cell r="C538"/>
          <cell r="D538"/>
          <cell r="E538"/>
          <cell r="F538"/>
          <cell r="G538"/>
          <cell r="H538"/>
        </row>
        <row r="539">
          <cell r="B539"/>
          <cell r="C539"/>
          <cell r="D539"/>
          <cell r="E539"/>
          <cell r="F539"/>
          <cell r="G539"/>
          <cell r="H539"/>
        </row>
        <row r="540">
          <cell r="B540"/>
          <cell r="C540"/>
          <cell r="D540"/>
          <cell r="E540"/>
          <cell r="F540"/>
          <cell r="G540"/>
          <cell r="H540"/>
        </row>
        <row r="541">
          <cell r="B541"/>
          <cell r="C541"/>
          <cell r="D541"/>
          <cell r="E541"/>
          <cell r="F541"/>
          <cell r="G541"/>
          <cell r="H541"/>
        </row>
        <row r="542">
          <cell r="B542"/>
          <cell r="C542"/>
          <cell r="D542"/>
          <cell r="E542"/>
          <cell r="F542"/>
          <cell r="G542"/>
          <cell r="H542"/>
        </row>
        <row r="543">
          <cell r="B543"/>
          <cell r="C543"/>
          <cell r="D543"/>
          <cell r="E543"/>
          <cell r="F543"/>
          <cell r="G543"/>
          <cell r="H543"/>
        </row>
        <row r="544">
          <cell r="B544"/>
          <cell r="C544"/>
          <cell r="D544"/>
          <cell r="E544"/>
          <cell r="F544"/>
          <cell r="G544"/>
          <cell r="H544"/>
        </row>
        <row r="545">
          <cell r="B545"/>
          <cell r="C545"/>
          <cell r="D545"/>
          <cell r="E545"/>
          <cell r="F545"/>
          <cell r="G545"/>
          <cell r="H545"/>
        </row>
        <row r="546">
          <cell r="B546"/>
          <cell r="C546"/>
          <cell r="D546"/>
          <cell r="E546"/>
          <cell r="F546"/>
          <cell r="G546"/>
          <cell r="H546"/>
        </row>
        <row r="547">
          <cell r="B547"/>
          <cell r="C547"/>
          <cell r="D547"/>
          <cell r="E547"/>
          <cell r="F547"/>
          <cell r="G547"/>
          <cell r="H547"/>
        </row>
        <row r="548">
          <cell r="B548"/>
          <cell r="C548"/>
          <cell r="D548"/>
          <cell r="E548"/>
          <cell r="F548"/>
          <cell r="G548"/>
          <cell r="H548"/>
        </row>
        <row r="549">
          <cell r="B549"/>
          <cell r="C549"/>
          <cell r="D549"/>
          <cell r="E549"/>
          <cell r="F549"/>
          <cell r="G549"/>
          <cell r="H549"/>
        </row>
        <row r="550">
          <cell r="B550"/>
          <cell r="C550"/>
          <cell r="D550"/>
          <cell r="E550"/>
          <cell r="F550"/>
          <cell r="G550"/>
          <cell r="H550"/>
        </row>
        <row r="551">
          <cell r="B551"/>
          <cell r="C551"/>
          <cell r="D551"/>
          <cell r="E551"/>
          <cell r="F551"/>
          <cell r="G551"/>
          <cell r="H551"/>
        </row>
        <row r="552">
          <cell r="B552"/>
          <cell r="C552"/>
          <cell r="D552"/>
          <cell r="E552"/>
          <cell r="F552"/>
          <cell r="G552"/>
          <cell r="H552"/>
        </row>
        <row r="553">
          <cell r="B553"/>
          <cell r="C553"/>
          <cell r="D553"/>
          <cell r="E553"/>
          <cell r="F553"/>
          <cell r="G553"/>
          <cell r="H553"/>
        </row>
        <row r="554">
          <cell r="B554"/>
          <cell r="C554"/>
          <cell r="D554"/>
          <cell r="E554"/>
          <cell r="F554"/>
          <cell r="G554"/>
          <cell r="H554"/>
        </row>
        <row r="555">
          <cell r="B555"/>
          <cell r="C555"/>
          <cell r="D555"/>
          <cell r="E555"/>
          <cell r="F555"/>
          <cell r="G555"/>
          <cell r="H555"/>
        </row>
        <row r="556">
          <cell r="B556"/>
          <cell r="C556"/>
          <cell r="D556"/>
          <cell r="E556"/>
          <cell r="F556"/>
          <cell r="G556"/>
          <cell r="H556"/>
        </row>
        <row r="557">
          <cell r="B557"/>
          <cell r="C557"/>
          <cell r="D557"/>
          <cell r="E557"/>
          <cell r="F557"/>
          <cell r="G557"/>
          <cell r="H557"/>
        </row>
        <row r="558">
          <cell r="B558"/>
          <cell r="C558"/>
          <cell r="D558"/>
          <cell r="E558"/>
          <cell r="F558"/>
          <cell r="G558"/>
          <cell r="H558"/>
        </row>
        <row r="559">
          <cell r="B559"/>
          <cell r="C559"/>
          <cell r="D559"/>
          <cell r="E559"/>
          <cell r="F559"/>
          <cell r="G559"/>
          <cell r="H559"/>
        </row>
        <row r="560">
          <cell r="B560"/>
          <cell r="C560"/>
          <cell r="D560"/>
          <cell r="E560"/>
          <cell r="F560"/>
          <cell r="G560"/>
          <cell r="H560"/>
        </row>
        <row r="561">
          <cell r="B561"/>
          <cell r="C561"/>
          <cell r="D561"/>
          <cell r="E561"/>
          <cell r="F561"/>
          <cell r="G561"/>
          <cell r="H561"/>
        </row>
        <row r="562">
          <cell r="B562"/>
          <cell r="C562"/>
          <cell r="D562"/>
          <cell r="E562"/>
          <cell r="F562"/>
          <cell r="G562"/>
          <cell r="H562"/>
        </row>
        <row r="563">
          <cell r="B563"/>
          <cell r="C563"/>
          <cell r="D563"/>
          <cell r="E563"/>
          <cell r="F563"/>
          <cell r="G563"/>
          <cell r="H563"/>
        </row>
        <row r="564">
          <cell r="B564"/>
          <cell r="C564"/>
          <cell r="D564"/>
          <cell r="E564"/>
          <cell r="F564"/>
          <cell r="G564"/>
          <cell r="H564"/>
        </row>
        <row r="565">
          <cell r="B565"/>
          <cell r="C565"/>
          <cell r="D565"/>
          <cell r="E565"/>
          <cell r="F565"/>
          <cell r="G565"/>
          <cell r="H565"/>
        </row>
        <row r="566">
          <cell r="B566"/>
          <cell r="C566"/>
          <cell r="D566"/>
          <cell r="E566"/>
          <cell r="F566"/>
          <cell r="G566"/>
          <cell r="H566"/>
        </row>
        <row r="567">
          <cell r="B567"/>
          <cell r="C567"/>
          <cell r="D567"/>
          <cell r="E567"/>
          <cell r="F567"/>
          <cell r="G567"/>
          <cell r="H567"/>
        </row>
        <row r="568">
          <cell r="B568"/>
          <cell r="C568"/>
          <cell r="D568"/>
          <cell r="E568"/>
          <cell r="F568"/>
          <cell r="G568"/>
          <cell r="H568"/>
        </row>
        <row r="569">
          <cell r="B569"/>
          <cell r="C569"/>
          <cell r="D569"/>
          <cell r="E569"/>
          <cell r="F569"/>
          <cell r="G569"/>
          <cell r="H569"/>
        </row>
        <row r="570">
          <cell r="B570"/>
          <cell r="C570"/>
          <cell r="D570"/>
          <cell r="E570"/>
          <cell r="F570"/>
          <cell r="G570"/>
          <cell r="H570"/>
        </row>
        <row r="571">
          <cell r="B571"/>
          <cell r="C571"/>
          <cell r="D571"/>
          <cell r="E571"/>
          <cell r="F571"/>
          <cell r="G571"/>
          <cell r="H571"/>
        </row>
        <row r="572">
          <cell r="B572"/>
          <cell r="C572"/>
          <cell r="D572"/>
          <cell r="E572"/>
          <cell r="F572"/>
          <cell r="G572"/>
          <cell r="H572"/>
        </row>
        <row r="573">
          <cell r="B573"/>
          <cell r="C573"/>
          <cell r="D573"/>
          <cell r="E573"/>
          <cell r="F573"/>
          <cell r="G573"/>
          <cell r="H573"/>
        </row>
        <row r="574">
          <cell r="B574"/>
          <cell r="C574"/>
          <cell r="D574"/>
          <cell r="E574"/>
          <cell r="F574"/>
          <cell r="G574"/>
          <cell r="H574"/>
        </row>
        <row r="575">
          <cell r="B575"/>
          <cell r="C575"/>
          <cell r="D575"/>
          <cell r="E575"/>
          <cell r="F575"/>
          <cell r="G575"/>
          <cell r="H575"/>
        </row>
        <row r="576">
          <cell r="B576"/>
          <cell r="C576"/>
          <cell r="D576"/>
          <cell r="E576"/>
          <cell r="F576"/>
          <cell r="G576"/>
          <cell r="H576"/>
        </row>
        <row r="577">
          <cell r="B577"/>
          <cell r="C577"/>
          <cell r="D577"/>
          <cell r="E577"/>
          <cell r="F577"/>
          <cell r="G577"/>
          <cell r="H577"/>
        </row>
        <row r="578">
          <cell r="B578"/>
          <cell r="C578"/>
          <cell r="D578"/>
          <cell r="E578"/>
          <cell r="F578"/>
          <cell r="G578"/>
          <cell r="H578"/>
        </row>
        <row r="579">
          <cell r="B579"/>
          <cell r="C579"/>
          <cell r="D579"/>
          <cell r="E579"/>
          <cell r="F579"/>
          <cell r="G579"/>
          <cell r="H579"/>
        </row>
        <row r="580">
          <cell r="B580"/>
          <cell r="C580"/>
          <cell r="D580"/>
          <cell r="E580"/>
          <cell r="F580"/>
          <cell r="G580"/>
          <cell r="H580"/>
        </row>
        <row r="581">
          <cell r="B581"/>
          <cell r="C581"/>
          <cell r="D581"/>
          <cell r="E581"/>
          <cell r="F581"/>
          <cell r="G581"/>
          <cell r="H581"/>
        </row>
        <row r="582">
          <cell r="B582"/>
          <cell r="C582"/>
          <cell r="D582"/>
          <cell r="E582"/>
          <cell r="F582"/>
          <cell r="G582"/>
          <cell r="H582"/>
        </row>
        <row r="583">
          <cell r="B583"/>
          <cell r="C583"/>
          <cell r="D583"/>
          <cell r="E583"/>
          <cell r="F583"/>
          <cell r="G583"/>
          <cell r="H583"/>
        </row>
        <row r="584">
          <cell r="B584"/>
          <cell r="C584"/>
          <cell r="D584"/>
          <cell r="E584"/>
          <cell r="F584"/>
          <cell r="G584"/>
          <cell r="H584"/>
        </row>
        <row r="585">
          <cell r="B585"/>
          <cell r="C585"/>
          <cell r="D585"/>
          <cell r="E585"/>
          <cell r="F585"/>
          <cell r="G585"/>
          <cell r="H585"/>
        </row>
        <row r="586">
          <cell r="B586"/>
          <cell r="C586"/>
          <cell r="D586"/>
          <cell r="E586"/>
          <cell r="F586"/>
          <cell r="G586"/>
          <cell r="H586"/>
        </row>
        <row r="587">
          <cell r="B587"/>
          <cell r="C587"/>
          <cell r="D587"/>
          <cell r="E587"/>
          <cell r="F587"/>
          <cell r="G587"/>
          <cell r="H587"/>
        </row>
        <row r="588">
          <cell r="B588"/>
          <cell r="C588"/>
          <cell r="D588"/>
          <cell r="E588"/>
          <cell r="F588"/>
          <cell r="G588"/>
          <cell r="H588"/>
        </row>
        <row r="589">
          <cell r="B589"/>
          <cell r="C589"/>
          <cell r="D589"/>
          <cell r="E589"/>
          <cell r="F589"/>
          <cell r="G589"/>
          <cell r="H589"/>
        </row>
        <row r="590">
          <cell r="B590"/>
          <cell r="C590"/>
          <cell r="D590"/>
          <cell r="E590"/>
          <cell r="F590"/>
          <cell r="G590"/>
          <cell r="H590"/>
        </row>
        <row r="591">
          <cell r="B591"/>
          <cell r="C591"/>
          <cell r="D591"/>
          <cell r="E591"/>
          <cell r="F591"/>
          <cell r="G591"/>
          <cell r="H591"/>
        </row>
        <row r="592">
          <cell r="B592"/>
          <cell r="C592"/>
          <cell r="D592"/>
          <cell r="E592"/>
          <cell r="F592"/>
          <cell r="G592"/>
          <cell r="H592"/>
        </row>
        <row r="593">
          <cell r="B593"/>
          <cell r="C593"/>
          <cell r="D593"/>
          <cell r="E593"/>
          <cell r="F593"/>
          <cell r="G593"/>
          <cell r="H593"/>
        </row>
        <row r="594">
          <cell r="B594"/>
          <cell r="C594"/>
          <cell r="D594"/>
          <cell r="E594"/>
          <cell r="F594"/>
          <cell r="G594"/>
          <cell r="H594"/>
        </row>
        <row r="595">
          <cell r="B595"/>
          <cell r="C595"/>
          <cell r="D595"/>
          <cell r="E595"/>
          <cell r="F595"/>
          <cell r="G595"/>
          <cell r="H595"/>
        </row>
        <row r="596">
          <cell r="B596"/>
          <cell r="C596"/>
          <cell r="D596"/>
          <cell r="E596"/>
          <cell r="F596"/>
          <cell r="G596"/>
          <cell r="H596"/>
        </row>
        <row r="597">
          <cell r="B597"/>
          <cell r="C597"/>
          <cell r="D597"/>
          <cell r="E597"/>
          <cell r="F597"/>
          <cell r="G597"/>
          <cell r="H597"/>
        </row>
        <row r="598">
          <cell r="B598"/>
          <cell r="C598"/>
          <cell r="D598"/>
          <cell r="E598"/>
          <cell r="F598"/>
          <cell r="G598"/>
          <cell r="H598"/>
        </row>
        <row r="599">
          <cell r="B599"/>
          <cell r="C599"/>
          <cell r="D599"/>
          <cell r="E599"/>
          <cell r="F599"/>
          <cell r="G599"/>
          <cell r="H599"/>
        </row>
        <row r="600">
          <cell r="B600"/>
          <cell r="C600"/>
          <cell r="D600"/>
          <cell r="E600"/>
          <cell r="F600"/>
          <cell r="G600"/>
          <cell r="H600"/>
        </row>
        <row r="601">
          <cell r="B601"/>
          <cell r="C601"/>
          <cell r="D601"/>
          <cell r="E601"/>
          <cell r="F601"/>
          <cell r="G601"/>
          <cell r="H601"/>
        </row>
        <row r="602">
          <cell r="B602"/>
          <cell r="C602"/>
          <cell r="D602"/>
          <cell r="E602"/>
          <cell r="F602"/>
          <cell r="G602"/>
          <cell r="H602"/>
        </row>
        <row r="603">
          <cell r="B603"/>
          <cell r="C603"/>
          <cell r="D603"/>
          <cell r="E603"/>
          <cell r="F603"/>
          <cell r="G603"/>
          <cell r="H603"/>
        </row>
        <row r="604">
          <cell r="B604"/>
          <cell r="C604"/>
          <cell r="D604"/>
          <cell r="E604"/>
          <cell r="F604"/>
          <cell r="G604"/>
          <cell r="H604"/>
        </row>
        <row r="605">
          <cell r="B605"/>
          <cell r="C605"/>
          <cell r="D605"/>
          <cell r="E605"/>
          <cell r="F605"/>
          <cell r="G605"/>
          <cell r="H605"/>
        </row>
        <row r="606">
          <cell r="B606"/>
          <cell r="C606"/>
          <cell r="D606"/>
          <cell r="E606"/>
          <cell r="F606"/>
          <cell r="G606"/>
          <cell r="H606"/>
        </row>
        <row r="607">
          <cell r="B607"/>
          <cell r="C607"/>
          <cell r="D607"/>
          <cell r="E607"/>
          <cell r="F607"/>
          <cell r="G607"/>
          <cell r="H607"/>
        </row>
        <row r="608">
          <cell r="B608"/>
          <cell r="C608"/>
          <cell r="D608"/>
          <cell r="E608"/>
          <cell r="F608"/>
          <cell r="G608"/>
          <cell r="H608"/>
        </row>
        <row r="609">
          <cell r="B609"/>
          <cell r="C609"/>
          <cell r="D609"/>
          <cell r="E609"/>
          <cell r="F609"/>
          <cell r="G609"/>
          <cell r="H609"/>
        </row>
        <row r="610">
          <cell r="B610"/>
          <cell r="C610"/>
          <cell r="D610"/>
          <cell r="E610"/>
          <cell r="F610"/>
          <cell r="G610"/>
          <cell r="H610"/>
        </row>
        <row r="611">
          <cell r="B611"/>
          <cell r="C611"/>
          <cell r="D611"/>
          <cell r="E611"/>
          <cell r="F611"/>
          <cell r="G611"/>
          <cell r="H611"/>
        </row>
        <row r="612">
          <cell r="B612"/>
          <cell r="C612"/>
          <cell r="D612"/>
          <cell r="E612"/>
          <cell r="F612"/>
          <cell r="G612"/>
          <cell r="H612"/>
        </row>
        <row r="613">
          <cell r="B613"/>
          <cell r="C613"/>
          <cell r="D613"/>
          <cell r="E613"/>
          <cell r="F613"/>
          <cell r="G613"/>
          <cell r="H613"/>
        </row>
        <row r="614">
          <cell r="B614"/>
          <cell r="C614"/>
          <cell r="D614"/>
          <cell r="E614"/>
          <cell r="F614"/>
          <cell r="G614"/>
          <cell r="H614"/>
        </row>
        <row r="615">
          <cell r="B615"/>
          <cell r="C615"/>
          <cell r="D615"/>
          <cell r="E615"/>
          <cell r="F615"/>
          <cell r="G615"/>
          <cell r="H615"/>
        </row>
        <row r="616">
          <cell r="B616"/>
          <cell r="C616"/>
          <cell r="D616"/>
          <cell r="E616"/>
          <cell r="F616"/>
          <cell r="G616"/>
          <cell r="H616"/>
        </row>
        <row r="617">
          <cell r="B617"/>
          <cell r="C617"/>
          <cell r="D617"/>
          <cell r="E617"/>
          <cell r="F617"/>
          <cell r="G617"/>
          <cell r="H617"/>
        </row>
        <row r="618">
          <cell r="B618"/>
          <cell r="C618"/>
          <cell r="D618"/>
          <cell r="E618"/>
          <cell r="F618"/>
          <cell r="G618"/>
          <cell r="H618"/>
        </row>
        <row r="619">
          <cell r="B619"/>
          <cell r="C619"/>
          <cell r="D619"/>
          <cell r="E619"/>
          <cell r="F619"/>
          <cell r="G619"/>
          <cell r="H619"/>
        </row>
        <row r="620">
          <cell r="B620"/>
          <cell r="C620"/>
          <cell r="D620"/>
          <cell r="E620"/>
          <cell r="F620"/>
          <cell r="G620"/>
          <cell r="H620"/>
        </row>
        <row r="621">
          <cell r="B621"/>
          <cell r="C621"/>
          <cell r="D621"/>
          <cell r="E621"/>
          <cell r="F621"/>
          <cell r="G621"/>
          <cell r="H621"/>
        </row>
        <row r="622">
          <cell r="B622"/>
          <cell r="C622"/>
          <cell r="D622"/>
          <cell r="E622"/>
          <cell r="F622"/>
          <cell r="G622"/>
          <cell r="H622"/>
        </row>
        <row r="623">
          <cell r="B623"/>
          <cell r="C623"/>
          <cell r="D623"/>
          <cell r="E623"/>
          <cell r="F623"/>
          <cell r="G623"/>
          <cell r="H623"/>
        </row>
        <row r="624">
          <cell r="B624"/>
          <cell r="C624"/>
          <cell r="D624"/>
          <cell r="E624"/>
          <cell r="F624"/>
          <cell r="G624"/>
          <cell r="H624"/>
        </row>
        <row r="625">
          <cell r="B625"/>
          <cell r="C625"/>
          <cell r="D625"/>
          <cell r="E625"/>
          <cell r="F625"/>
          <cell r="G625"/>
          <cell r="H625"/>
        </row>
        <row r="626">
          <cell r="B626"/>
          <cell r="C626"/>
          <cell r="D626"/>
          <cell r="E626"/>
          <cell r="F626"/>
          <cell r="G626"/>
          <cell r="H626"/>
        </row>
        <row r="627">
          <cell r="B627"/>
          <cell r="C627"/>
          <cell r="D627"/>
          <cell r="E627"/>
          <cell r="F627"/>
          <cell r="G627"/>
          <cell r="H627"/>
        </row>
        <row r="628">
          <cell r="B628"/>
          <cell r="C628"/>
          <cell r="D628"/>
          <cell r="E628"/>
          <cell r="F628"/>
          <cell r="G628"/>
          <cell r="H628"/>
        </row>
        <row r="629">
          <cell r="B629"/>
          <cell r="C629"/>
          <cell r="D629"/>
          <cell r="E629"/>
          <cell r="F629"/>
          <cell r="G629"/>
          <cell r="H629"/>
        </row>
        <row r="630">
          <cell r="B630"/>
          <cell r="C630"/>
          <cell r="D630"/>
          <cell r="E630"/>
          <cell r="F630"/>
          <cell r="G630"/>
          <cell r="H630"/>
        </row>
        <row r="631">
          <cell r="B631"/>
          <cell r="C631"/>
          <cell r="D631"/>
          <cell r="E631"/>
          <cell r="F631"/>
          <cell r="G631"/>
          <cell r="H631"/>
        </row>
        <row r="632">
          <cell r="B632"/>
          <cell r="C632"/>
          <cell r="D632"/>
          <cell r="E632"/>
          <cell r="F632"/>
          <cell r="G632"/>
          <cell r="H632"/>
        </row>
        <row r="633">
          <cell r="B633"/>
          <cell r="C633"/>
          <cell r="D633"/>
          <cell r="E633"/>
          <cell r="F633"/>
          <cell r="G633"/>
          <cell r="H633"/>
        </row>
        <row r="634">
          <cell r="B634"/>
          <cell r="C634"/>
          <cell r="D634"/>
          <cell r="E634"/>
          <cell r="F634"/>
          <cell r="G634"/>
          <cell r="H634"/>
        </row>
        <row r="635">
          <cell r="B635"/>
          <cell r="C635"/>
          <cell r="D635"/>
          <cell r="E635"/>
          <cell r="F635"/>
          <cell r="G635"/>
          <cell r="H635"/>
        </row>
        <row r="636">
          <cell r="B636"/>
          <cell r="C636"/>
          <cell r="D636"/>
          <cell r="E636"/>
          <cell r="F636"/>
          <cell r="G636"/>
          <cell r="H636"/>
        </row>
        <row r="637">
          <cell r="B637"/>
          <cell r="C637"/>
          <cell r="D637"/>
          <cell r="E637"/>
          <cell r="F637"/>
          <cell r="G637"/>
          <cell r="H637"/>
        </row>
        <row r="638">
          <cell r="B638"/>
          <cell r="C638"/>
          <cell r="D638"/>
          <cell r="E638"/>
          <cell r="F638"/>
          <cell r="G638"/>
          <cell r="H638"/>
        </row>
        <row r="639">
          <cell r="B639"/>
          <cell r="C639"/>
          <cell r="D639"/>
          <cell r="E639"/>
          <cell r="F639"/>
          <cell r="G639"/>
          <cell r="H639"/>
        </row>
        <row r="640">
          <cell r="B640"/>
          <cell r="C640"/>
          <cell r="D640"/>
          <cell r="E640"/>
          <cell r="F640"/>
          <cell r="G640"/>
          <cell r="H640"/>
        </row>
        <row r="641">
          <cell r="B641"/>
          <cell r="C641"/>
          <cell r="D641"/>
          <cell r="E641"/>
          <cell r="F641"/>
          <cell r="G641"/>
          <cell r="H641"/>
        </row>
        <row r="642">
          <cell r="B642"/>
          <cell r="C642"/>
          <cell r="D642"/>
          <cell r="E642"/>
          <cell r="F642"/>
          <cell r="G642"/>
          <cell r="H642"/>
        </row>
        <row r="643">
          <cell r="B643"/>
          <cell r="C643"/>
          <cell r="D643"/>
          <cell r="E643"/>
          <cell r="F643"/>
          <cell r="G643"/>
          <cell r="H643"/>
        </row>
        <row r="644">
          <cell r="B644"/>
          <cell r="C644"/>
          <cell r="D644"/>
          <cell r="E644"/>
          <cell r="F644"/>
          <cell r="G644"/>
          <cell r="H644"/>
        </row>
        <row r="645">
          <cell r="B645"/>
          <cell r="C645"/>
          <cell r="D645"/>
          <cell r="E645"/>
          <cell r="F645"/>
          <cell r="G645"/>
          <cell r="H645"/>
        </row>
        <row r="646">
          <cell r="B646"/>
          <cell r="C646"/>
          <cell r="D646"/>
          <cell r="E646"/>
          <cell r="F646"/>
          <cell r="G646"/>
          <cell r="H646"/>
        </row>
        <row r="647">
          <cell r="B647"/>
          <cell r="C647"/>
          <cell r="D647"/>
          <cell r="E647"/>
          <cell r="F647"/>
          <cell r="G647"/>
          <cell r="H647"/>
        </row>
        <row r="648">
          <cell r="B648"/>
          <cell r="C648"/>
          <cell r="D648"/>
          <cell r="E648"/>
          <cell r="F648"/>
          <cell r="G648"/>
          <cell r="H648"/>
        </row>
        <row r="649">
          <cell r="B649"/>
          <cell r="C649"/>
          <cell r="D649"/>
          <cell r="E649"/>
          <cell r="F649"/>
          <cell r="G649"/>
          <cell r="H649"/>
        </row>
        <row r="650">
          <cell r="B650"/>
          <cell r="C650"/>
          <cell r="D650"/>
          <cell r="E650"/>
          <cell r="F650"/>
          <cell r="G650"/>
          <cell r="H650"/>
        </row>
        <row r="651">
          <cell r="B651"/>
          <cell r="C651"/>
          <cell r="D651"/>
          <cell r="E651"/>
          <cell r="F651"/>
          <cell r="G651"/>
          <cell r="H651"/>
        </row>
        <row r="652">
          <cell r="B652"/>
          <cell r="C652"/>
          <cell r="D652"/>
          <cell r="E652"/>
          <cell r="F652"/>
          <cell r="G652"/>
          <cell r="H652"/>
        </row>
        <row r="653">
          <cell r="B653"/>
          <cell r="C653"/>
          <cell r="D653"/>
          <cell r="E653"/>
          <cell r="F653"/>
          <cell r="G653"/>
          <cell r="H653"/>
        </row>
        <row r="654">
          <cell r="B654"/>
          <cell r="C654"/>
          <cell r="D654"/>
          <cell r="E654"/>
          <cell r="F654"/>
          <cell r="G654"/>
          <cell r="H654"/>
        </row>
        <row r="655">
          <cell r="B655"/>
          <cell r="C655"/>
          <cell r="D655"/>
          <cell r="E655"/>
          <cell r="F655"/>
          <cell r="G655"/>
          <cell r="H655"/>
        </row>
        <row r="656">
          <cell r="B656"/>
          <cell r="C656"/>
          <cell r="D656"/>
          <cell r="E656"/>
          <cell r="F656"/>
          <cell r="G656"/>
          <cell r="H656"/>
        </row>
        <row r="657">
          <cell r="B657"/>
          <cell r="C657"/>
          <cell r="D657"/>
          <cell r="E657"/>
          <cell r="F657"/>
          <cell r="G657"/>
          <cell r="H657"/>
        </row>
        <row r="658">
          <cell r="B658"/>
          <cell r="C658"/>
          <cell r="D658"/>
          <cell r="E658"/>
          <cell r="F658"/>
          <cell r="G658"/>
          <cell r="H658"/>
        </row>
        <row r="659">
          <cell r="B659"/>
          <cell r="C659"/>
          <cell r="D659"/>
          <cell r="E659"/>
          <cell r="F659"/>
          <cell r="G659"/>
          <cell r="H659"/>
        </row>
        <row r="660">
          <cell r="B660"/>
          <cell r="C660"/>
          <cell r="D660"/>
          <cell r="E660"/>
          <cell r="F660"/>
          <cell r="G660"/>
          <cell r="H660"/>
        </row>
        <row r="661">
          <cell r="B661"/>
          <cell r="C661"/>
          <cell r="D661"/>
          <cell r="E661"/>
          <cell r="F661"/>
          <cell r="G661"/>
          <cell r="H661"/>
        </row>
        <row r="662">
          <cell r="B662"/>
          <cell r="C662"/>
          <cell r="D662"/>
          <cell r="E662"/>
          <cell r="F662"/>
          <cell r="G662"/>
          <cell r="H662"/>
        </row>
        <row r="663">
          <cell r="B663"/>
          <cell r="C663"/>
          <cell r="D663"/>
          <cell r="E663"/>
          <cell r="F663"/>
          <cell r="G663"/>
          <cell r="H663"/>
        </row>
        <row r="664">
          <cell r="B664"/>
          <cell r="C664"/>
          <cell r="D664"/>
          <cell r="E664"/>
          <cell r="F664"/>
          <cell r="G664"/>
          <cell r="H664"/>
        </row>
        <row r="665">
          <cell r="B665"/>
          <cell r="C665"/>
          <cell r="D665"/>
          <cell r="E665"/>
          <cell r="F665"/>
          <cell r="G665"/>
          <cell r="H665"/>
        </row>
        <row r="666">
          <cell r="B666"/>
          <cell r="C666"/>
          <cell r="D666"/>
          <cell r="E666"/>
          <cell r="F666"/>
          <cell r="G666"/>
          <cell r="H666"/>
        </row>
        <row r="667">
          <cell r="B667"/>
          <cell r="C667"/>
          <cell r="D667"/>
          <cell r="E667"/>
          <cell r="F667"/>
          <cell r="G667"/>
          <cell r="H667"/>
        </row>
        <row r="668">
          <cell r="B668"/>
          <cell r="C668"/>
          <cell r="D668"/>
          <cell r="E668"/>
          <cell r="F668"/>
          <cell r="G668"/>
          <cell r="H668"/>
        </row>
        <row r="669">
          <cell r="B669"/>
          <cell r="C669"/>
          <cell r="D669"/>
          <cell r="E669"/>
          <cell r="F669"/>
          <cell r="G669"/>
          <cell r="H669"/>
        </row>
        <row r="670">
          <cell r="B670"/>
          <cell r="C670"/>
          <cell r="D670"/>
          <cell r="E670"/>
          <cell r="F670"/>
          <cell r="G670"/>
          <cell r="H670"/>
        </row>
        <row r="671">
          <cell r="B671"/>
          <cell r="C671"/>
          <cell r="D671"/>
          <cell r="E671"/>
          <cell r="F671"/>
          <cell r="G671"/>
          <cell r="H671"/>
        </row>
        <row r="672">
          <cell r="B672"/>
          <cell r="C672"/>
          <cell r="D672"/>
          <cell r="E672"/>
          <cell r="F672"/>
          <cell r="G672"/>
          <cell r="H672"/>
        </row>
        <row r="673">
          <cell r="B673"/>
          <cell r="C673"/>
          <cell r="D673"/>
          <cell r="E673"/>
          <cell r="F673"/>
          <cell r="G673"/>
          <cell r="H673"/>
        </row>
        <row r="674">
          <cell r="B674"/>
          <cell r="C674"/>
          <cell r="D674"/>
          <cell r="E674"/>
          <cell r="F674"/>
          <cell r="G674"/>
          <cell r="H674"/>
        </row>
        <row r="675">
          <cell r="B675"/>
          <cell r="C675"/>
          <cell r="D675"/>
          <cell r="E675"/>
          <cell r="F675"/>
          <cell r="G675"/>
          <cell r="H675"/>
        </row>
        <row r="676">
          <cell r="B676"/>
          <cell r="C676"/>
          <cell r="D676"/>
          <cell r="E676"/>
          <cell r="F676"/>
          <cell r="G676"/>
          <cell r="H676"/>
        </row>
        <row r="677">
          <cell r="B677"/>
          <cell r="C677"/>
          <cell r="D677"/>
          <cell r="E677"/>
          <cell r="F677"/>
          <cell r="G677"/>
          <cell r="H677"/>
        </row>
        <row r="678">
          <cell r="B678"/>
          <cell r="C678"/>
          <cell r="D678"/>
          <cell r="E678"/>
          <cell r="F678"/>
          <cell r="G678"/>
          <cell r="H678"/>
        </row>
        <row r="679">
          <cell r="B679"/>
          <cell r="C679"/>
          <cell r="D679"/>
          <cell r="E679"/>
          <cell r="F679"/>
          <cell r="G679"/>
          <cell r="H679"/>
        </row>
        <row r="680">
          <cell r="B680"/>
          <cell r="C680"/>
          <cell r="D680"/>
          <cell r="E680"/>
          <cell r="F680"/>
          <cell r="G680"/>
          <cell r="H680"/>
        </row>
        <row r="681">
          <cell r="B681"/>
          <cell r="C681"/>
          <cell r="D681"/>
          <cell r="E681"/>
          <cell r="F681"/>
          <cell r="G681"/>
          <cell r="H681"/>
        </row>
        <row r="682">
          <cell r="B682"/>
          <cell r="C682"/>
          <cell r="D682"/>
          <cell r="E682"/>
          <cell r="F682"/>
          <cell r="G682"/>
          <cell r="H682"/>
        </row>
        <row r="683">
          <cell r="B683"/>
          <cell r="C683"/>
          <cell r="D683"/>
          <cell r="E683"/>
          <cell r="F683"/>
          <cell r="G683"/>
          <cell r="H683"/>
        </row>
        <row r="684">
          <cell r="B684"/>
          <cell r="C684"/>
          <cell r="D684"/>
          <cell r="E684"/>
          <cell r="F684"/>
          <cell r="G684"/>
          <cell r="H684"/>
        </row>
        <row r="685">
          <cell r="B685"/>
          <cell r="C685"/>
          <cell r="D685"/>
          <cell r="E685"/>
          <cell r="F685"/>
          <cell r="G685"/>
          <cell r="H685"/>
        </row>
        <row r="686">
          <cell r="B686"/>
          <cell r="C686"/>
          <cell r="D686"/>
          <cell r="E686"/>
          <cell r="F686"/>
          <cell r="G686"/>
          <cell r="H686"/>
        </row>
        <row r="687">
          <cell r="B687"/>
          <cell r="C687"/>
          <cell r="D687"/>
          <cell r="E687"/>
          <cell r="F687"/>
          <cell r="G687"/>
          <cell r="H687"/>
        </row>
        <row r="688">
          <cell r="B688"/>
          <cell r="C688"/>
          <cell r="D688"/>
          <cell r="E688"/>
          <cell r="F688"/>
          <cell r="G688"/>
          <cell r="H688"/>
        </row>
        <row r="689">
          <cell r="B689"/>
          <cell r="C689"/>
          <cell r="D689"/>
          <cell r="E689"/>
          <cell r="F689"/>
          <cell r="G689"/>
          <cell r="H689"/>
        </row>
        <row r="690">
          <cell r="B690"/>
          <cell r="C690"/>
          <cell r="D690"/>
          <cell r="E690"/>
          <cell r="F690"/>
          <cell r="G690"/>
          <cell r="H690"/>
        </row>
        <row r="691">
          <cell r="B691"/>
          <cell r="C691"/>
          <cell r="D691"/>
          <cell r="E691"/>
          <cell r="F691"/>
          <cell r="G691"/>
          <cell r="H691"/>
        </row>
        <row r="692">
          <cell r="B692"/>
          <cell r="C692"/>
          <cell r="D692"/>
          <cell r="E692"/>
          <cell r="F692"/>
          <cell r="G692"/>
          <cell r="H692"/>
        </row>
        <row r="693">
          <cell r="B693"/>
          <cell r="C693"/>
          <cell r="D693"/>
          <cell r="E693"/>
          <cell r="F693"/>
          <cell r="G693"/>
          <cell r="H693"/>
        </row>
        <row r="694">
          <cell r="B694"/>
          <cell r="C694"/>
          <cell r="D694"/>
          <cell r="E694"/>
          <cell r="F694"/>
          <cell r="G694"/>
          <cell r="H694"/>
        </row>
        <row r="695">
          <cell r="B695"/>
          <cell r="C695"/>
          <cell r="D695"/>
          <cell r="E695"/>
          <cell r="F695"/>
          <cell r="G695"/>
          <cell r="H695"/>
        </row>
        <row r="696">
          <cell r="B696"/>
          <cell r="C696"/>
          <cell r="D696"/>
          <cell r="E696"/>
          <cell r="F696"/>
          <cell r="G696"/>
          <cell r="H696"/>
        </row>
        <row r="697">
          <cell r="B697"/>
          <cell r="C697"/>
          <cell r="D697"/>
          <cell r="E697"/>
          <cell r="F697"/>
          <cell r="G697"/>
          <cell r="H697"/>
        </row>
        <row r="698">
          <cell r="B698"/>
          <cell r="C698"/>
          <cell r="D698"/>
          <cell r="E698"/>
          <cell r="F698"/>
          <cell r="G698"/>
          <cell r="H698"/>
        </row>
        <row r="699">
          <cell r="B699"/>
          <cell r="C699"/>
          <cell r="D699"/>
          <cell r="E699"/>
          <cell r="F699"/>
          <cell r="G699"/>
          <cell r="H699"/>
        </row>
        <row r="700">
          <cell r="B700"/>
          <cell r="C700"/>
          <cell r="D700"/>
          <cell r="E700"/>
          <cell r="F700"/>
          <cell r="G700"/>
          <cell r="H700"/>
        </row>
        <row r="701">
          <cell r="B701"/>
          <cell r="C701"/>
          <cell r="D701"/>
          <cell r="E701"/>
          <cell r="F701"/>
          <cell r="G701"/>
          <cell r="H701"/>
        </row>
        <row r="702">
          <cell r="B702"/>
          <cell r="C702"/>
          <cell r="D702"/>
          <cell r="E702"/>
          <cell r="F702"/>
          <cell r="G702"/>
          <cell r="H702"/>
        </row>
        <row r="703">
          <cell r="B703"/>
          <cell r="C703"/>
          <cell r="D703"/>
          <cell r="E703"/>
          <cell r="F703"/>
          <cell r="G703"/>
          <cell r="H703"/>
        </row>
        <row r="704">
          <cell r="B704"/>
          <cell r="C704"/>
          <cell r="D704"/>
          <cell r="E704"/>
          <cell r="F704"/>
          <cell r="G704"/>
          <cell r="H704"/>
        </row>
        <row r="705">
          <cell r="B705"/>
          <cell r="C705"/>
          <cell r="D705"/>
          <cell r="E705"/>
          <cell r="F705"/>
          <cell r="G705"/>
          <cell r="H705"/>
        </row>
        <row r="706">
          <cell r="B706"/>
          <cell r="C706"/>
          <cell r="D706"/>
          <cell r="E706"/>
          <cell r="F706"/>
          <cell r="G706"/>
          <cell r="H706"/>
        </row>
        <row r="707">
          <cell r="B707"/>
          <cell r="C707"/>
          <cell r="D707"/>
          <cell r="E707"/>
          <cell r="F707"/>
          <cell r="G707"/>
          <cell r="H707"/>
        </row>
        <row r="708">
          <cell r="B708"/>
          <cell r="C708"/>
          <cell r="D708"/>
          <cell r="E708"/>
          <cell r="F708"/>
          <cell r="G708"/>
          <cell r="H708"/>
        </row>
        <row r="709">
          <cell r="B709"/>
          <cell r="C709"/>
          <cell r="D709"/>
          <cell r="E709"/>
          <cell r="F709"/>
          <cell r="G709"/>
          <cell r="H709"/>
        </row>
        <row r="710">
          <cell r="B710"/>
          <cell r="C710"/>
          <cell r="D710"/>
          <cell r="E710"/>
          <cell r="F710"/>
          <cell r="G710"/>
          <cell r="H710"/>
        </row>
        <row r="711">
          <cell r="B711"/>
          <cell r="C711"/>
          <cell r="D711"/>
          <cell r="E711"/>
          <cell r="F711"/>
          <cell r="G711"/>
          <cell r="H711"/>
        </row>
        <row r="712">
          <cell r="B712"/>
          <cell r="C712"/>
          <cell r="D712"/>
          <cell r="E712"/>
          <cell r="F712"/>
          <cell r="G712"/>
          <cell r="H712"/>
        </row>
        <row r="713">
          <cell r="B713"/>
          <cell r="C713"/>
          <cell r="D713"/>
          <cell r="E713"/>
          <cell r="F713"/>
          <cell r="G713"/>
          <cell r="H713"/>
        </row>
        <row r="714">
          <cell r="B714"/>
          <cell r="C714"/>
          <cell r="D714"/>
          <cell r="E714"/>
          <cell r="F714"/>
          <cell r="G714"/>
          <cell r="H714"/>
        </row>
        <row r="715">
          <cell r="B715"/>
          <cell r="C715"/>
          <cell r="D715"/>
          <cell r="E715"/>
          <cell r="F715"/>
          <cell r="G715"/>
          <cell r="H715"/>
        </row>
        <row r="716">
          <cell r="B716"/>
          <cell r="C716"/>
          <cell r="D716"/>
          <cell r="E716"/>
          <cell r="F716"/>
          <cell r="G716"/>
          <cell r="H716"/>
        </row>
        <row r="717">
          <cell r="B717"/>
          <cell r="C717"/>
          <cell r="D717"/>
          <cell r="E717"/>
          <cell r="F717"/>
          <cell r="G717"/>
          <cell r="H717"/>
        </row>
        <row r="718">
          <cell r="B718"/>
          <cell r="C718"/>
          <cell r="D718"/>
          <cell r="E718"/>
          <cell r="F718"/>
          <cell r="G718"/>
          <cell r="H718"/>
        </row>
        <row r="719">
          <cell r="B719"/>
          <cell r="C719"/>
          <cell r="D719"/>
          <cell r="E719"/>
          <cell r="F719"/>
          <cell r="G719"/>
          <cell r="H719"/>
        </row>
        <row r="720">
          <cell r="B720"/>
          <cell r="C720"/>
          <cell r="D720"/>
          <cell r="E720"/>
          <cell r="F720"/>
          <cell r="G720"/>
          <cell r="H720"/>
        </row>
        <row r="721">
          <cell r="B721"/>
          <cell r="C721"/>
          <cell r="D721"/>
          <cell r="E721"/>
          <cell r="F721"/>
          <cell r="G721"/>
          <cell r="H721"/>
        </row>
        <row r="722">
          <cell r="B722"/>
          <cell r="C722"/>
          <cell r="D722"/>
          <cell r="E722"/>
          <cell r="F722"/>
          <cell r="G722"/>
          <cell r="H722"/>
        </row>
        <row r="723">
          <cell r="B723"/>
          <cell r="C723"/>
          <cell r="D723"/>
          <cell r="E723"/>
          <cell r="F723"/>
          <cell r="G723"/>
          <cell r="H723"/>
        </row>
        <row r="724">
          <cell r="B724"/>
          <cell r="C724"/>
          <cell r="D724"/>
          <cell r="E724"/>
          <cell r="F724"/>
          <cell r="G724"/>
          <cell r="H724"/>
        </row>
        <row r="725">
          <cell r="B725"/>
          <cell r="C725"/>
          <cell r="D725"/>
          <cell r="E725"/>
          <cell r="F725"/>
          <cell r="G725"/>
          <cell r="H725"/>
        </row>
        <row r="726">
          <cell r="B726"/>
          <cell r="C726"/>
          <cell r="D726"/>
          <cell r="E726"/>
          <cell r="F726"/>
          <cell r="G726"/>
          <cell r="H726"/>
        </row>
        <row r="727">
          <cell r="B727"/>
          <cell r="C727"/>
          <cell r="D727"/>
          <cell r="E727"/>
          <cell r="F727"/>
          <cell r="G727"/>
          <cell r="H727"/>
        </row>
        <row r="728">
          <cell r="B728"/>
          <cell r="C728"/>
          <cell r="D728"/>
          <cell r="E728"/>
          <cell r="F728"/>
          <cell r="G728"/>
          <cell r="H728"/>
        </row>
        <row r="729">
          <cell r="B729"/>
          <cell r="C729"/>
          <cell r="D729"/>
          <cell r="E729"/>
          <cell r="F729"/>
          <cell r="G729"/>
          <cell r="H729"/>
        </row>
        <row r="730">
          <cell r="B730"/>
          <cell r="C730"/>
          <cell r="D730"/>
          <cell r="E730"/>
          <cell r="F730"/>
          <cell r="G730"/>
          <cell r="H730"/>
        </row>
        <row r="731">
          <cell r="B731"/>
          <cell r="C731"/>
          <cell r="D731"/>
          <cell r="E731"/>
          <cell r="F731"/>
          <cell r="G731"/>
          <cell r="H731"/>
        </row>
        <row r="732">
          <cell r="B732"/>
          <cell r="C732"/>
          <cell r="D732"/>
          <cell r="E732"/>
          <cell r="F732"/>
          <cell r="G732"/>
          <cell r="H732"/>
        </row>
        <row r="733">
          <cell r="B733"/>
          <cell r="C733"/>
          <cell r="D733"/>
          <cell r="E733"/>
          <cell r="F733"/>
          <cell r="G733"/>
          <cell r="H733"/>
        </row>
        <row r="734">
          <cell r="B734"/>
          <cell r="C734"/>
          <cell r="D734"/>
          <cell r="E734"/>
          <cell r="F734"/>
          <cell r="G734"/>
          <cell r="H734"/>
        </row>
        <row r="735">
          <cell r="B735"/>
          <cell r="C735"/>
          <cell r="D735"/>
          <cell r="E735"/>
          <cell r="F735"/>
          <cell r="G735"/>
          <cell r="H735"/>
        </row>
        <row r="736">
          <cell r="B736"/>
          <cell r="C736"/>
          <cell r="D736"/>
          <cell r="E736"/>
          <cell r="F736"/>
          <cell r="G736"/>
          <cell r="H736"/>
        </row>
        <row r="737">
          <cell r="B737"/>
          <cell r="C737"/>
          <cell r="D737"/>
          <cell r="E737"/>
          <cell r="F737"/>
          <cell r="G737"/>
          <cell r="H737"/>
        </row>
        <row r="738">
          <cell r="B738"/>
          <cell r="C738"/>
          <cell r="D738"/>
          <cell r="E738"/>
          <cell r="F738"/>
          <cell r="G738"/>
          <cell r="H738"/>
        </row>
        <row r="739">
          <cell r="B739"/>
          <cell r="C739"/>
          <cell r="D739"/>
          <cell r="E739"/>
          <cell r="F739"/>
          <cell r="G739"/>
          <cell r="H739"/>
        </row>
        <row r="740">
          <cell r="B740"/>
          <cell r="C740"/>
          <cell r="D740"/>
          <cell r="E740"/>
          <cell r="F740"/>
          <cell r="G740"/>
          <cell r="H740"/>
        </row>
        <row r="741">
          <cell r="B741"/>
          <cell r="C741"/>
          <cell r="D741"/>
          <cell r="E741"/>
          <cell r="F741"/>
          <cell r="G741"/>
          <cell r="H741"/>
        </row>
        <row r="742">
          <cell r="B742"/>
          <cell r="C742"/>
          <cell r="D742"/>
          <cell r="E742"/>
          <cell r="F742"/>
          <cell r="G742"/>
          <cell r="H742"/>
        </row>
        <row r="743">
          <cell r="B743"/>
          <cell r="C743"/>
          <cell r="D743"/>
          <cell r="E743"/>
          <cell r="F743"/>
          <cell r="G743"/>
          <cell r="H743"/>
        </row>
        <row r="744">
          <cell r="B744"/>
          <cell r="C744"/>
          <cell r="D744"/>
          <cell r="E744"/>
          <cell r="F744"/>
          <cell r="G744"/>
          <cell r="H744"/>
        </row>
        <row r="745">
          <cell r="B745"/>
          <cell r="C745"/>
          <cell r="D745"/>
          <cell r="E745"/>
          <cell r="F745"/>
          <cell r="G745"/>
          <cell r="H745"/>
        </row>
        <row r="746">
          <cell r="B746"/>
          <cell r="C746"/>
          <cell r="D746"/>
          <cell r="E746"/>
          <cell r="F746"/>
          <cell r="G746"/>
          <cell r="H746"/>
        </row>
        <row r="747">
          <cell r="B747"/>
          <cell r="C747"/>
          <cell r="D747"/>
          <cell r="E747"/>
          <cell r="F747"/>
          <cell r="G747"/>
          <cell r="H747"/>
        </row>
        <row r="748">
          <cell r="B748"/>
          <cell r="C748"/>
          <cell r="D748"/>
          <cell r="E748"/>
          <cell r="F748"/>
          <cell r="G748"/>
          <cell r="H748"/>
        </row>
        <row r="749">
          <cell r="B749"/>
          <cell r="C749"/>
          <cell r="D749"/>
          <cell r="E749"/>
          <cell r="F749"/>
          <cell r="G749"/>
          <cell r="H749"/>
        </row>
        <row r="750">
          <cell r="B750"/>
          <cell r="C750"/>
          <cell r="D750"/>
          <cell r="E750"/>
          <cell r="F750"/>
          <cell r="G750"/>
          <cell r="H750"/>
        </row>
        <row r="751">
          <cell r="B751"/>
          <cell r="C751"/>
          <cell r="D751"/>
          <cell r="E751"/>
          <cell r="F751"/>
          <cell r="G751"/>
          <cell r="H751"/>
        </row>
        <row r="752">
          <cell r="B752"/>
          <cell r="C752"/>
          <cell r="D752"/>
          <cell r="E752"/>
          <cell r="F752"/>
          <cell r="G752"/>
          <cell r="H752"/>
        </row>
        <row r="753">
          <cell r="B753"/>
          <cell r="C753"/>
          <cell r="D753"/>
          <cell r="E753"/>
          <cell r="F753"/>
          <cell r="G753"/>
          <cell r="H753"/>
        </row>
        <row r="754">
          <cell r="B754"/>
          <cell r="C754"/>
          <cell r="D754"/>
          <cell r="E754"/>
          <cell r="F754"/>
          <cell r="G754"/>
          <cell r="H754"/>
        </row>
        <row r="755">
          <cell r="B755"/>
          <cell r="C755"/>
          <cell r="D755"/>
          <cell r="E755"/>
          <cell r="F755"/>
          <cell r="G755"/>
          <cell r="H755"/>
        </row>
        <row r="756">
          <cell r="B756"/>
          <cell r="C756"/>
          <cell r="D756"/>
          <cell r="E756"/>
          <cell r="F756"/>
          <cell r="G756"/>
          <cell r="H756"/>
        </row>
        <row r="757">
          <cell r="B757"/>
          <cell r="C757"/>
          <cell r="D757"/>
          <cell r="E757"/>
          <cell r="F757"/>
          <cell r="G757"/>
          <cell r="H757"/>
        </row>
        <row r="758">
          <cell r="B758"/>
          <cell r="C758"/>
          <cell r="D758"/>
          <cell r="E758"/>
          <cell r="F758"/>
          <cell r="G758"/>
          <cell r="H758"/>
        </row>
        <row r="759">
          <cell r="B759"/>
          <cell r="C759"/>
          <cell r="D759"/>
          <cell r="E759"/>
          <cell r="F759"/>
          <cell r="G759"/>
          <cell r="H759"/>
        </row>
        <row r="760">
          <cell r="B760"/>
          <cell r="C760"/>
          <cell r="D760"/>
          <cell r="E760"/>
          <cell r="F760"/>
          <cell r="G760"/>
          <cell r="H760"/>
        </row>
        <row r="761">
          <cell r="B761"/>
          <cell r="C761"/>
          <cell r="D761"/>
          <cell r="E761"/>
          <cell r="F761"/>
          <cell r="G761"/>
          <cell r="H761"/>
        </row>
        <row r="762">
          <cell r="B762"/>
          <cell r="C762"/>
          <cell r="D762"/>
          <cell r="E762"/>
          <cell r="F762"/>
          <cell r="G762"/>
          <cell r="H762"/>
        </row>
        <row r="763">
          <cell r="B763"/>
          <cell r="C763"/>
          <cell r="D763"/>
          <cell r="E763"/>
          <cell r="F763"/>
          <cell r="G763"/>
          <cell r="H763"/>
        </row>
        <row r="764">
          <cell r="B764"/>
          <cell r="C764"/>
          <cell r="D764"/>
          <cell r="E764"/>
          <cell r="F764"/>
          <cell r="G764"/>
          <cell r="H764"/>
        </row>
        <row r="765">
          <cell r="B765"/>
          <cell r="C765"/>
          <cell r="D765"/>
          <cell r="E765"/>
          <cell r="F765"/>
          <cell r="G765"/>
          <cell r="H765"/>
        </row>
        <row r="766">
          <cell r="B766"/>
          <cell r="C766"/>
          <cell r="D766"/>
          <cell r="E766"/>
          <cell r="F766"/>
          <cell r="G766"/>
          <cell r="H766"/>
        </row>
        <row r="767">
          <cell r="B767"/>
          <cell r="C767"/>
          <cell r="D767"/>
          <cell r="E767"/>
          <cell r="F767"/>
          <cell r="G767"/>
          <cell r="H767"/>
        </row>
        <row r="768">
          <cell r="B768"/>
          <cell r="C768"/>
          <cell r="D768"/>
          <cell r="E768"/>
          <cell r="F768"/>
          <cell r="G768"/>
          <cell r="H768"/>
        </row>
        <row r="769">
          <cell r="B769"/>
          <cell r="C769"/>
          <cell r="D769"/>
          <cell r="E769"/>
          <cell r="F769"/>
          <cell r="G769"/>
          <cell r="H769"/>
        </row>
        <row r="770">
          <cell r="B770"/>
          <cell r="C770"/>
          <cell r="D770"/>
          <cell r="E770"/>
          <cell r="F770"/>
          <cell r="G770"/>
          <cell r="H770"/>
        </row>
        <row r="771">
          <cell r="B771"/>
          <cell r="C771"/>
          <cell r="D771"/>
          <cell r="E771"/>
          <cell r="F771"/>
          <cell r="G771"/>
          <cell r="H771"/>
        </row>
        <row r="772">
          <cell r="B772"/>
          <cell r="C772"/>
          <cell r="D772"/>
          <cell r="E772"/>
          <cell r="F772"/>
          <cell r="G772"/>
          <cell r="H772"/>
        </row>
        <row r="773">
          <cell r="B773"/>
          <cell r="C773"/>
          <cell r="D773"/>
          <cell r="E773"/>
          <cell r="F773"/>
          <cell r="G773"/>
          <cell r="H773"/>
        </row>
        <row r="774">
          <cell r="B774"/>
          <cell r="C774"/>
          <cell r="D774"/>
          <cell r="E774"/>
          <cell r="F774"/>
          <cell r="G774"/>
          <cell r="H774"/>
        </row>
        <row r="775">
          <cell r="B775"/>
          <cell r="C775"/>
          <cell r="D775"/>
          <cell r="E775"/>
          <cell r="F775"/>
          <cell r="G775"/>
          <cell r="H775"/>
        </row>
        <row r="776">
          <cell r="B776"/>
          <cell r="C776"/>
          <cell r="D776"/>
          <cell r="E776"/>
          <cell r="F776"/>
          <cell r="G776"/>
          <cell r="H776"/>
        </row>
        <row r="777">
          <cell r="B777"/>
          <cell r="C777"/>
          <cell r="D777"/>
          <cell r="E777"/>
          <cell r="F777"/>
          <cell r="G777"/>
          <cell r="H777"/>
        </row>
        <row r="778">
          <cell r="B778"/>
          <cell r="C778"/>
          <cell r="D778"/>
          <cell r="E778"/>
          <cell r="F778"/>
          <cell r="G778"/>
          <cell r="H778"/>
        </row>
        <row r="779">
          <cell r="B779"/>
          <cell r="C779"/>
          <cell r="D779"/>
          <cell r="E779"/>
          <cell r="F779"/>
          <cell r="G779"/>
          <cell r="H779"/>
        </row>
        <row r="780">
          <cell r="B780"/>
          <cell r="C780"/>
          <cell r="D780"/>
          <cell r="E780"/>
          <cell r="F780"/>
          <cell r="G780"/>
          <cell r="H780"/>
        </row>
        <row r="781">
          <cell r="B781"/>
          <cell r="C781"/>
          <cell r="D781"/>
          <cell r="E781"/>
          <cell r="F781"/>
          <cell r="G781"/>
          <cell r="H781"/>
        </row>
        <row r="782">
          <cell r="B782"/>
          <cell r="C782"/>
          <cell r="D782"/>
          <cell r="E782"/>
          <cell r="F782"/>
          <cell r="G782"/>
          <cell r="H782"/>
        </row>
        <row r="783">
          <cell r="B783"/>
          <cell r="C783"/>
          <cell r="D783"/>
          <cell r="E783"/>
          <cell r="F783"/>
          <cell r="G783"/>
          <cell r="H783"/>
        </row>
        <row r="784">
          <cell r="B784"/>
          <cell r="C784"/>
          <cell r="D784"/>
          <cell r="E784"/>
          <cell r="F784"/>
          <cell r="G784"/>
          <cell r="H784"/>
        </row>
        <row r="785">
          <cell r="B785"/>
          <cell r="C785"/>
          <cell r="D785"/>
          <cell r="E785"/>
          <cell r="F785"/>
          <cell r="G785"/>
          <cell r="H785"/>
        </row>
        <row r="786">
          <cell r="B786"/>
          <cell r="C786"/>
          <cell r="D786"/>
          <cell r="E786"/>
          <cell r="F786"/>
          <cell r="G786"/>
          <cell r="H786"/>
        </row>
        <row r="787">
          <cell r="B787"/>
          <cell r="C787"/>
          <cell r="D787"/>
          <cell r="E787"/>
          <cell r="F787"/>
          <cell r="G787"/>
          <cell r="H787"/>
        </row>
        <row r="788">
          <cell r="B788"/>
          <cell r="C788"/>
          <cell r="D788"/>
          <cell r="E788"/>
          <cell r="F788"/>
          <cell r="G788"/>
          <cell r="H788"/>
        </row>
        <row r="789">
          <cell r="B789"/>
          <cell r="C789"/>
          <cell r="D789"/>
          <cell r="E789"/>
          <cell r="F789"/>
          <cell r="G789"/>
          <cell r="H789"/>
        </row>
        <row r="790">
          <cell r="B790"/>
          <cell r="C790"/>
          <cell r="D790"/>
          <cell r="E790"/>
          <cell r="F790"/>
          <cell r="G790"/>
          <cell r="H790"/>
        </row>
        <row r="791">
          <cell r="B791"/>
          <cell r="C791"/>
          <cell r="D791"/>
          <cell r="E791"/>
          <cell r="F791"/>
          <cell r="G791"/>
          <cell r="H791"/>
        </row>
        <row r="792">
          <cell r="B792"/>
          <cell r="C792"/>
          <cell r="D792"/>
          <cell r="E792"/>
          <cell r="F792"/>
          <cell r="G792"/>
          <cell r="H792"/>
        </row>
        <row r="793">
          <cell r="B793"/>
          <cell r="C793"/>
          <cell r="D793"/>
          <cell r="E793"/>
          <cell r="F793"/>
          <cell r="G793"/>
          <cell r="H793"/>
        </row>
        <row r="794">
          <cell r="B794"/>
          <cell r="C794"/>
          <cell r="D794"/>
          <cell r="E794"/>
          <cell r="F794"/>
          <cell r="G794"/>
          <cell r="H794"/>
        </row>
        <row r="795">
          <cell r="B795"/>
          <cell r="C795"/>
          <cell r="D795"/>
          <cell r="E795"/>
          <cell r="F795"/>
          <cell r="G795"/>
          <cell r="H795"/>
        </row>
        <row r="796">
          <cell r="B796"/>
          <cell r="C796"/>
          <cell r="D796"/>
          <cell r="E796"/>
          <cell r="F796"/>
          <cell r="G796"/>
          <cell r="H796"/>
        </row>
        <row r="797">
          <cell r="B797"/>
          <cell r="C797"/>
          <cell r="D797"/>
          <cell r="E797"/>
          <cell r="F797"/>
          <cell r="G797"/>
          <cell r="H797"/>
        </row>
        <row r="798">
          <cell r="B798"/>
          <cell r="C798"/>
          <cell r="D798"/>
          <cell r="E798"/>
          <cell r="F798"/>
          <cell r="G798"/>
          <cell r="H798"/>
        </row>
        <row r="799">
          <cell r="B799"/>
          <cell r="C799"/>
          <cell r="D799"/>
          <cell r="E799"/>
          <cell r="F799"/>
          <cell r="G799"/>
          <cell r="H799"/>
        </row>
        <row r="800">
          <cell r="B800"/>
          <cell r="C800"/>
          <cell r="D800"/>
          <cell r="E800"/>
          <cell r="F800"/>
          <cell r="G800"/>
          <cell r="H800"/>
        </row>
        <row r="801">
          <cell r="B801"/>
          <cell r="C801"/>
          <cell r="D801"/>
          <cell r="E801"/>
          <cell r="F801"/>
          <cell r="G801"/>
          <cell r="H801"/>
        </row>
        <row r="802">
          <cell r="B802"/>
          <cell r="C802"/>
          <cell r="D802"/>
          <cell r="E802"/>
          <cell r="F802"/>
          <cell r="G802"/>
          <cell r="H802"/>
        </row>
        <row r="803">
          <cell r="B803"/>
          <cell r="C803"/>
          <cell r="D803"/>
          <cell r="E803"/>
          <cell r="F803"/>
          <cell r="G803"/>
          <cell r="H803"/>
        </row>
        <row r="804">
          <cell r="B804"/>
          <cell r="C804"/>
          <cell r="D804"/>
          <cell r="E804"/>
          <cell r="F804"/>
          <cell r="G804"/>
          <cell r="H804"/>
        </row>
        <row r="805">
          <cell r="B805"/>
          <cell r="C805"/>
          <cell r="D805"/>
          <cell r="E805"/>
          <cell r="F805"/>
          <cell r="G805"/>
          <cell r="H805"/>
        </row>
        <row r="806">
          <cell r="B806"/>
          <cell r="C806"/>
          <cell r="D806"/>
          <cell r="E806"/>
          <cell r="F806"/>
          <cell r="G806"/>
          <cell r="H806"/>
        </row>
        <row r="807">
          <cell r="B807"/>
          <cell r="C807"/>
          <cell r="D807"/>
          <cell r="E807"/>
          <cell r="F807"/>
          <cell r="G807"/>
          <cell r="H807"/>
        </row>
        <row r="808">
          <cell r="B808"/>
          <cell r="C808"/>
          <cell r="D808"/>
          <cell r="E808"/>
          <cell r="F808"/>
          <cell r="G808"/>
          <cell r="H808"/>
        </row>
        <row r="809">
          <cell r="B809"/>
          <cell r="C809"/>
          <cell r="D809"/>
          <cell r="E809"/>
          <cell r="F809"/>
          <cell r="G809"/>
          <cell r="H809"/>
        </row>
        <row r="810">
          <cell r="B810"/>
          <cell r="C810"/>
          <cell r="D810"/>
          <cell r="E810"/>
          <cell r="F810"/>
          <cell r="G810"/>
          <cell r="H810"/>
        </row>
        <row r="811">
          <cell r="B811"/>
          <cell r="C811"/>
          <cell r="D811"/>
          <cell r="E811"/>
          <cell r="F811"/>
          <cell r="G811"/>
          <cell r="H811"/>
        </row>
        <row r="812">
          <cell r="B812"/>
          <cell r="C812"/>
          <cell r="D812"/>
          <cell r="E812"/>
          <cell r="F812"/>
          <cell r="G812"/>
          <cell r="H812"/>
        </row>
        <row r="813">
          <cell r="B813"/>
          <cell r="C813"/>
          <cell r="D813"/>
          <cell r="E813"/>
          <cell r="F813"/>
          <cell r="G813"/>
          <cell r="H813"/>
        </row>
        <row r="814">
          <cell r="B814"/>
          <cell r="C814"/>
          <cell r="D814"/>
          <cell r="E814"/>
          <cell r="F814"/>
          <cell r="G814"/>
          <cell r="H814"/>
        </row>
        <row r="815">
          <cell r="B815"/>
          <cell r="C815"/>
          <cell r="D815"/>
          <cell r="E815"/>
          <cell r="F815"/>
          <cell r="G815"/>
          <cell r="H815"/>
        </row>
        <row r="816">
          <cell r="B816"/>
          <cell r="C816"/>
          <cell r="D816"/>
          <cell r="E816"/>
          <cell r="F816"/>
          <cell r="G816"/>
          <cell r="H816"/>
        </row>
        <row r="817">
          <cell r="B817"/>
          <cell r="C817"/>
          <cell r="D817"/>
          <cell r="E817"/>
          <cell r="F817"/>
          <cell r="G817"/>
          <cell r="H817"/>
        </row>
        <row r="818">
          <cell r="B818"/>
          <cell r="C818"/>
          <cell r="D818"/>
          <cell r="E818"/>
          <cell r="F818"/>
          <cell r="G818"/>
          <cell r="H818"/>
        </row>
        <row r="819">
          <cell r="B819"/>
          <cell r="C819"/>
          <cell r="D819"/>
          <cell r="E819"/>
          <cell r="F819"/>
          <cell r="G819"/>
          <cell r="H819"/>
        </row>
        <row r="820">
          <cell r="B820"/>
          <cell r="C820"/>
          <cell r="D820"/>
          <cell r="E820"/>
          <cell r="F820"/>
          <cell r="G820"/>
          <cell r="H820"/>
        </row>
        <row r="821">
          <cell r="B821"/>
          <cell r="C821"/>
          <cell r="D821"/>
          <cell r="E821"/>
          <cell r="F821"/>
          <cell r="G821"/>
          <cell r="H821"/>
        </row>
        <row r="822">
          <cell r="B822"/>
          <cell r="C822"/>
          <cell r="D822"/>
          <cell r="E822"/>
          <cell r="F822"/>
          <cell r="G822"/>
          <cell r="H822"/>
        </row>
        <row r="823">
          <cell r="B823"/>
          <cell r="C823"/>
          <cell r="D823"/>
          <cell r="E823"/>
          <cell r="F823"/>
          <cell r="G823"/>
          <cell r="H823"/>
        </row>
        <row r="824">
          <cell r="B824"/>
          <cell r="C824"/>
          <cell r="D824"/>
          <cell r="E824"/>
          <cell r="F824"/>
          <cell r="G824"/>
          <cell r="H824"/>
        </row>
        <row r="825">
          <cell r="B825"/>
          <cell r="C825"/>
          <cell r="D825"/>
          <cell r="E825"/>
          <cell r="F825"/>
          <cell r="G825"/>
          <cell r="H825"/>
        </row>
        <row r="826">
          <cell r="B826"/>
          <cell r="C826"/>
          <cell r="D826"/>
          <cell r="E826"/>
          <cell r="F826"/>
          <cell r="G826"/>
          <cell r="H826"/>
        </row>
        <row r="827">
          <cell r="B827"/>
          <cell r="C827"/>
          <cell r="D827"/>
          <cell r="E827"/>
          <cell r="F827"/>
          <cell r="G827"/>
          <cell r="H827"/>
        </row>
        <row r="828">
          <cell r="B828"/>
          <cell r="C828"/>
          <cell r="D828"/>
          <cell r="E828"/>
          <cell r="F828"/>
          <cell r="G828"/>
          <cell r="H828"/>
        </row>
        <row r="829">
          <cell r="B829"/>
          <cell r="C829"/>
          <cell r="D829"/>
          <cell r="E829"/>
          <cell r="F829"/>
          <cell r="G829"/>
          <cell r="H829"/>
        </row>
        <row r="830">
          <cell r="B830"/>
          <cell r="C830"/>
          <cell r="D830"/>
          <cell r="E830"/>
          <cell r="F830"/>
          <cell r="G830"/>
          <cell r="H830"/>
        </row>
        <row r="831">
          <cell r="B831"/>
          <cell r="C831"/>
          <cell r="D831"/>
          <cell r="E831"/>
          <cell r="F831"/>
          <cell r="G831"/>
          <cell r="H831"/>
        </row>
        <row r="832">
          <cell r="B832"/>
          <cell r="C832"/>
          <cell r="D832"/>
          <cell r="E832"/>
          <cell r="F832"/>
          <cell r="G832"/>
          <cell r="H832"/>
        </row>
        <row r="833">
          <cell r="B833"/>
          <cell r="C833"/>
          <cell r="D833"/>
          <cell r="E833"/>
          <cell r="F833"/>
          <cell r="G833"/>
          <cell r="H833"/>
        </row>
        <row r="834">
          <cell r="B834"/>
          <cell r="C834"/>
          <cell r="D834"/>
          <cell r="E834"/>
          <cell r="F834"/>
          <cell r="G834"/>
          <cell r="H834"/>
        </row>
        <row r="835">
          <cell r="B835"/>
          <cell r="C835"/>
          <cell r="D835"/>
          <cell r="E835"/>
          <cell r="F835"/>
          <cell r="G835"/>
          <cell r="H835"/>
        </row>
        <row r="836">
          <cell r="B836"/>
          <cell r="C836"/>
          <cell r="D836"/>
          <cell r="E836"/>
          <cell r="F836"/>
          <cell r="G836"/>
          <cell r="H836"/>
        </row>
        <row r="837">
          <cell r="B837"/>
          <cell r="C837"/>
          <cell r="D837"/>
          <cell r="E837"/>
          <cell r="F837"/>
          <cell r="G837"/>
          <cell r="H837"/>
        </row>
        <row r="838">
          <cell r="B838"/>
          <cell r="C838"/>
          <cell r="D838"/>
          <cell r="E838"/>
          <cell r="F838"/>
          <cell r="G838"/>
          <cell r="H838"/>
        </row>
        <row r="839">
          <cell r="B839"/>
          <cell r="C839"/>
          <cell r="D839"/>
          <cell r="E839"/>
          <cell r="F839"/>
          <cell r="G839"/>
          <cell r="H839"/>
        </row>
        <row r="840">
          <cell r="B840"/>
          <cell r="C840"/>
          <cell r="D840"/>
          <cell r="E840"/>
          <cell r="F840"/>
          <cell r="G840"/>
          <cell r="H840"/>
        </row>
        <row r="841">
          <cell r="B841"/>
          <cell r="C841"/>
          <cell r="D841"/>
          <cell r="E841"/>
          <cell r="F841"/>
          <cell r="G841"/>
          <cell r="H841"/>
        </row>
        <row r="842">
          <cell r="B842"/>
          <cell r="C842"/>
          <cell r="D842"/>
          <cell r="E842"/>
          <cell r="F842"/>
          <cell r="G842"/>
          <cell r="H842"/>
        </row>
        <row r="843">
          <cell r="B843"/>
          <cell r="C843"/>
          <cell r="D843"/>
          <cell r="E843"/>
          <cell r="F843"/>
          <cell r="G843"/>
          <cell r="H843"/>
        </row>
        <row r="844">
          <cell r="B844"/>
          <cell r="C844"/>
          <cell r="D844"/>
          <cell r="E844"/>
          <cell r="F844"/>
          <cell r="G844"/>
          <cell r="H844"/>
        </row>
        <row r="845">
          <cell r="B845"/>
          <cell r="C845"/>
          <cell r="D845"/>
          <cell r="E845"/>
          <cell r="F845"/>
          <cell r="G845"/>
          <cell r="H845"/>
        </row>
        <row r="846">
          <cell r="B846"/>
          <cell r="C846"/>
          <cell r="D846"/>
          <cell r="E846"/>
          <cell r="F846"/>
          <cell r="G846"/>
          <cell r="H846"/>
        </row>
        <row r="847">
          <cell r="B847"/>
          <cell r="C847"/>
          <cell r="D847"/>
          <cell r="E847"/>
          <cell r="F847"/>
          <cell r="G847"/>
          <cell r="H847"/>
        </row>
        <row r="848">
          <cell r="B848"/>
          <cell r="C848"/>
          <cell r="D848"/>
          <cell r="E848"/>
          <cell r="F848"/>
          <cell r="G848"/>
          <cell r="H848"/>
        </row>
        <row r="849">
          <cell r="B849"/>
          <cell r="C849"/>
          <cell r="D849"/>
          <cell r="E849"/>
          <cell r="F849"/>
          <cell r="G849"/>
          <cell r="H849"/>
        </row>
        <row r="850">
          <cell r="B850"/>
          <cell r="C850"/>
          <cell r="D850"/>
          <cell r="E850"/>
          <cell r="F850"/>
          <cell r="G850"/>
          <cell r="H850"/>
        </row>
        <row r="851">
          <cell r="B851"/>
          <cell r="C851"/>
          <cell r="D851"/>
          <cell r="E851"/>
          <cell r="F851"/>
          <cell r="G851"/>
          <cell r="H851"/>
        </row>
        <row r="852">
          <cell r="B852"/>
          <cell r="C852"/>
          <cell r="D852"/>
          <cell r="E852"/>
          <cell r="F852"/>
          <cell r="G852"/>
          <cell r="H852"/>
        </row>
        <row r="853">
          <cell r="B853"/>
          <cell r="C853"/>
          <cell r="D853"/>
          <cell r="E853"/>
          <cell r="F853"/>
          <cell r="G853"/>
          <cell r="H853"/>
        </row>
        <row r="854">
          <cell r="B854"/>
          <cell r="C854"/>
          <cell r="D854"/>
          <cell r="E854"/>
          <cell r="F854"/>
          <cell r="G854"/>
          <cell r="H854"/>
        </row>
        <row r="855">
          <cell r="B855"/>
          <cell r="C855"/>
          <cell r="D855"/>
          <cell r="E855"/>
          <cell r="F855"/>
          <cell r="G855"/>
          <cell r="H855"/>
        </row>
        <row r="856">
          <cell r="B856"/>
          <cell r="C856"/>
          <cell r="D856"/>
          <cell r="E856"/>
          <cell r="F856"/>
          <cell r="G856"/>
          <cell r="H856"/>
        </row>
        <row r="857">
          <cell r="B857"/>
          <cell r="C857"/>
          <cell r="D857"/>
          <cell r="E857"/>
          <cell r="F857"/>
          <cell r="G857"/>
          <cell r="H857"/>
        </row>
        <row r="858">
          <cell r="B858"/>
          <cell r="C858"/>
          <cell r="D858"/>
          <cell r="E858"/>
          <cell r="F858"/>
          <cell r="G858"/>
          <cell r="H858"/>
        </row>
        <row r="859">
          <cell r="B859"/>
          <cell r="C859"/>
          <cell r="D859"/>
          <cell r="E859"/>
          <cell r="F859"/>
          <cell r="G859"/>
          <cell r="H859"/>
        </row>
        <row r="860">
          <cell r="B860"/>
          <cell r="C860"/>
          <cell r="D860"/>
          <cell r="E860"/>
          <cell r="F860"/>
          <cell r="G860"/>
          <cell r="H860"/>
        </row>
        <row r="861">
          <cell r="B861"/>
          <cell r="C861"/>
          <cell r="D861"/>
          <cell r="E861"/>
          <cell r="F861"/>
          <cell r="G861"/>
          <cell r="H861"/>
        </row>
        <row r="862">
          <cell r="B862"/>
          <cell r="C862"/>
          <cell r="D862"/>
          <cell r="E862"/>
          <cell r="F862"/>
          <cell r="G862"/>
          <cell r="H862"/>
        </row>
        <row r="863">
          <cell r="B863"/>
          <cell r="C863"/>
          <cell r="D863"/>
          <cell r="E863"/>
          <cell r="F863"/>
          <cell r="G863"/>
          <cell r="H863"/>
        </row>
        <row r="864">
          <cell r="B864"/>
          <cell r="C864"/>
          <cell r="D864"/>
          <cell r="E864"/>
          <cell r="F864"/>
          <cell r="G864"/>
          <cell r="H864"/>
        </row>
        <row r="865">
          <cell r="B865"/>
          <cell r="C865"/>
          <cell r="D865"/>
          <cell r="E865"/>
          <cell r="F865"/>
          <cell r="G865"/>
          <cell r="H865"/>
        </row>
        <row r="866">
          <cell r="B866"/>
          <cell r="C866"/>
          <cell r="D866"/>
          <cell r="E866"/>
          <cell r="F866"/>
          <cell r="G866"/>
          <cell r="H866"/>
        </row>
        <row r="867">
          <cell r="B867"/>
          <cell r="C867"/>
          <cell r="D867"/>
          <cell r="E867"/>
          <cell r="F867"/>
          <cell r="G867"/>
          <cell r="H867"/>
        </row>
        <row r="868">
          <cell r="B868"/>
          <cell r="C868"/>
          <cell r="D868"/>
          <cell r="E868"/>
          <cell r="F868"/>
          <cell r="G868"/>
          <cell r="H868"/>
        </row>
        <row r="869">
          <cell r="B869"/>
          <cell r="C869"/>
          <cell r="D869"/>
          <cell r="E869"/>
          <cell r="F869"/>
          <cell r="G869"/>
          <cell r="H869"/>
        </row>
        <row r="870">
          <cell r="B870"/>
          <cell r="C870"/>
          <cell r="D870"/>
          <cell r="E870"/>
          <cell r="F870"/>
          <cell r="G870"/>
          <cell r="H870"/>
        </row>
        <row r="871">
          <cell r="B871"/>
          <cell r="C871"/>
          <cell r="D871"/>
          <cell r="E871"/>
          <cell r="F871"/>
          <cell r="G871"/>
          <cell r="H871"/>
        </row>
        <row r="872">
          <cell r="B872"/>
          <cell r="C872"/>
          <cell r="D872"/>
          <cell r="E872"/>
          <cell r="F872"/>
          <cell r="G872"/>
          <cell r="H872"/>
        </row>
        <row r="873">
          <cell r="B873"/>
          <cell r="C873"/>
          <cell r="D873"/>
          <cell r="E873"/>
          <cell r="F873"/>
          <cell r="G873"/>
          <cell r="H873"/>
        </row>
        <row r="874">
          <cell r="B874"/>
          <cell r="C874"/>
          <cell r="D874"/>
          <cell r="E874"/>
          <cell r="F874"/>
          <cell r="G874"/>
          <cell r="H874"/>
        </row>
        <row r="875">
          <cell r="B875"/>
          <cell r="C875"/>
          <cell r="D875"/>
          <cell r="E875"/>
          <cell r="F875"/>
          <cell r="G875"/>
          <cell r="H875"/>
        </row>
        <row r="876">
          <cell r="B876"/>
          <cell r="C876"/>
          <cell r="D876"/>
          <cell r="E876"/>
          <cell r="F876"/>
          <cell r="G876"/>
          <cell r="H876"/>
        </row>
        <row r="877">
          <cell r="B877"/>
          <cell r="C877"/>
          <cell r="D877"/>
          <cell r="E877"/>
          <cell r="F877"/>
          <cell r="G877"/>
          <cell r="H877"/>
        </row>
        <row r="878">
          <cell r="B878"/>
          <cell r="C878"/>
          <cell r="D878"/>
          <cell r="E878"/>
          <cell r="F878"/>
          <cell r="G878"/>
          <cell r="H878"/>
        </row>
        <row r="879">
          <cell r="B879"/>
          <cell r="C879"/>
          <cell r="D879"/>
          <cell r="E879"/>
          <cell r="F879"/>
          <cell r="G879"/>
          <cell r="H879"/>
        </row>
        <row r="880">
          <cell r="B880"/>
          <cell r="C880"/>
          <cell r="D880"/>
          <cell r="E880"/>
          <cell r="F880"/>
          <cell r="G880"/>
          <cell r="H880"/>
        </row>
        <row r="881">
          <cell r="B881"/>
          <cell r="C881"/>
          <cell r="D881"/>
          <cell r="E881"/>
          <cell r="F881"/>
          <cell r="G881"/>
          <cell r="H881"/>
        </row>
        <row r="882">
          <cell r="B882"/>
          <cell r="C882"/>
          <cell r="D882"/>
          <cell r="E882"/>
          <cell r="F882"/>
          <cell r="G882"/>
          <cell r="H882"/>
        </row>
        <row r="883">
          <cell r="B883"/>
          <cell r="C883"/>
          <cell r="D883"/>
          <cell r="E883"/>
          <cell r="F883"/>
          <cell r="G883"/>
          <cell r="H883"/>
        </row>
        <row r="884">
          <cell r="B884"/>
          <cell r="C884"/>
          <cell r="D884"/>
          <cell r="E884"/>
          <cell r="F884"/>
          <cell r="G884"/>
          <cell r="H884"/>
        </row>
        <row r="885">
          <cell r="B885"/>
          <cell r="C885"/>
          <cell r="D885"/>
          <cell r="E885"/>
          <cell r="F885"/>
          <cell r="G885"/>
          <cell r="H885"/>
        </row>
        <row r="886">
          <cell r="B886"/>
          <cell r="C886"/>
          <cell r="D886"/>
          <cell r="E886"/>
          <cell r="F886"/>
          <cell r="G886"/>
          <cell r="H886"/>
        </row>
        <row r="887">
          <cell r="B887"/>
          <cell r="C887"/>
          <cell r="D887"/>
          <cell r="E887"/>
          <cell r="F887"/>
          <cell r="G887"/>
          <cell r="H887"/>
        </row>
        <row r="888">
          <cell r="B888"/>
          <cell r="C888"/>
          <cell r="D888"/>
          <cell r="E888"/>
          <cell r="F888"/>
          <cell r="G888"/>
          <cell r="H888"/>
        </row>
        <row r="889">
          <cell r="B889"/>
          <cell r="C889"/>
          <cell r="D889"/>
          <cell r="E889"/>
          <cell r="F889"/>
          <cell r="G889"/>
          <cell r="H889"/>
        </row>
        <row r="890">
          <cell r="B890"/>
          <cell r="C890"/>
          <cell r="D890"/>
          <cell r="E890"/>
          <cell r="F890"/>
          <cell r="G890"/>
          <cell r="H890"/>
        </row>
        <row r="891">
          <cell r="B891"/>
          <cell r="C891"/>
          <cell r="D891"/>
          <cell r="E891"/>
          <cell r="F891"/>
          <cell r="G891"/>
          <cell r="H891"/>
        </row>
        <row r="892">
          <cell r="B892"/>
          <cell r="C892"/>
          <cell r="D892"/>
          <cell r="E892"/>
          <cell r="F892"/>
          <cell r="G892"/>
          <cell r="H892"/>
        </row>
        <row r="893">
          <cell r="B893"/>
          <cell r="C893"/>
          <cell r="D893"/>
          <cell r="E893"/>
          <cell r="F893"/>
          <cell r="G893"/>
          <cell r="H893"/>
        </row>
        <row r="894">
          <cell r="B894"/>
          <cell r="C894"/>
          <cell r="D894"/>
          <cell r="E894"/>
          <cell r="F894"/>
          <cell r="G894"/>
          <cell r="H894"/>
        </row>
        <row r="895">
          <cell r="B895"/>
          <cell r="C895"/>
          <cell r="D895"/>
          <cell r="E895"/>
          <cell r="F895"/>
          <cell r="G895"/>
          <cell r="H895"/>
        </row>
        <row r="896">
          <cell r="B896"/>
          <cell r="C896"/>
          <cell r="D896"/>
          <cell r="E896"/>
          <cell r="F896"/>
          <cell r="G896"/>
          <cell r="H896"/>
        </row>
        <row r="897">
          <cell r="B897"/>
          <cell r="C897"/>
          <cell r="D897"/>
          <cell r="E897"/>
          <cell r="F897"/>
          <cell r="G897"/>
          <cell r="H897"/>
        </row>
        <row r="898">
          <cell r="B898"/>
          <cell r="C898"/>
          <cell r="D898"/>
          <cell r="E898"/>
          <cell r="F898"/>
          <cell r="G898"/>
          <cell r="H898"/>
        </row>
        <row r="899">
          <cell r="B899"/>
          <cell r="C899"/>
          <cell r="D899"/>
          <cell r="E899"/>
          <cell r="F899"/>
          <cell r="G899"/>
          <cell r="H899"/>
        </row>
        <row r="900">
          <cell r="B900"/>
          <cell r="C900"/>
          <cell r="D900"/>
          <cell r="E900"/>
          <cell r="F900"/>
          <cell r="G900"/>
          <cell r="H900"/>
        </row>
        <row r="901">
          <cell r="B901"/>
          <cell r="C901"/>
          <cell r="D901"/>
          <cell r="E901"/>
          <cell r="F901"/>
          <cell r="G901"/>
          <cell r="H901"/>
        </row>
        <row r="902">
          <cell r="B902"/>
          <cell r="C902"/>
          <cell r="D902"/>
          <cell r="E902"/>
          <cell r="F902"/>
          <cell r="G902"/>
          <cell r="H902"/>
        </row>
        <row r="903">
          <cell r="B903"/>
          <cell r="C903"/>
          <cell r="D903"/>
          <cell r="E903"/>
          <cell r="F903"/>
          <cell r="G903"/>
          <cell r="H903"/>
        </row>
        <row r="904">
          <cell r="B904"/>
          <cell r="C904"/>
          <cell r="D904"/>
          <cell r="E904"/>
          <cell r="F904"/>
          <cell r="G904"/>
          <cell r="H904"/>
        </row>
        <row r="905">
          <cell r="B905"/>
          <cell r="C905"/>
          <cell r="D905"/>
          <cell r="E905"/>
          <cell r="F905"/>
          <cell r="G905"/>
          <cell r="H905"/>
        </row>
        <row r="906">
          <cell r="B906"/>
          <cell r="C906"/>
          <cell r="D906"/>
          <cell r="E906"/>
          <cell r="F906"/>
          <cell r="G906"/>
          <cell r="H906"/>
        </row>
        <row r="907">
          <cell r="B907"/>
          <cell r="C907"/>
          <cell r="D907"/>
          <cell r="E907"/>
          <cell r="F907"/>
          <cell r="G907"/>
          <cell r="H907"/>
        </row>
        <row r="908">
          <cell r="B908"/>
          <cell r="C908"/>
          <cell r="D908"/>
          <cell r="E908"/>
          <cell r="F908"/>
          <cell r="G908"/>
          <cell r="H908"/>
        </row>
        <row r="909">
          <cell r="B909"/>
          <cell r="C909"/>
          <cell r="D909"/>
          <cell r="E909"/>
          <cell r="F909"/>
          <cell r="G909"/>
          <cell r="H909"/>
        </row>
        <row r="910">
          <cell r="B910"/>
          <cell r="C910"/>
          <cell r="D910"/>
          <cell r="E910"/>
          <cell r="F910"/>
          <cell r="G910"/>
          <cell r="H910"/>
        </row>
        <row r="911">
          <cell r="B911"/>
          <cell r="C911"/>
          <cell r="D911"/>
          <cell r="E911"/>
          <cell r="F911"/>
          <cell r="G911"/>
          <cell r="H911"/>
        </row>
        <row r="912">
          <cell r="B912"/>
          <cell r="C912"/>
          <cell r="D912"/>
          <cell r="E912"/>
          <cell r="F912"/>
          <cell r="G912"/>
          <cell r="H912"/>
        </row>
        <row r="913">
          <cell r="B913"/>
          <cell r="C913"/>
          <cell r="D913"/>
          <cell r="E913"/>
          <cell r="F913"/>
          <cell r="G913"/>
          <cell r="H913"/>
        </row>
        <row r="914">
          <cell r="B914"/>
          <cell r="C914"/>
          <cell r="D914"/>
          <cell r="E914"/>
          <cell r="F914"/>
          <cell r="G914"/>
          <cell r="H914"/>
        </row>
        <row r="915">
          <cell r="B915"/>
          <cell r="C915"/>
          <cell r="D915"/>
          <cell r="E915"/>
          <cell r="F915"/>
          <cell r="G915"/>
          <cell r="H915"/>
        </row>
        <row r="916">
          <cell r="B916"/>
          <cell r="C916"/>
          <cell r="D916"/>
          <cell r="E916"/>
          <cell r="F916"/>
          <cell r="G916"/>
          <cell r="H916"/>
        </row>
        <row r="917">
          <cell r="B917"/>
          <cell r="C917"/>
          <cell r="D917"/>
          <cell r="E917"/>
          <cell r="F917"/>
          <cell r="G917"/>
          <cell r="H917"/>
        </row>
        <row r="918">
          <cell r="B918"/>
          <cell r="C918"/>
          <cell r="D918"/>
          <cell r="E918"/>
          <cell r="F918"/>
          <cell r="G918"/>
          <cell r="H918"/>
        </row>
        <row r="919">
          <cell r="B919"/>
          <cell r="C919"/>
          <cell r="D919"/>
          <cell r="E919"/>
          <cell r="F919"/>
          <cell r="G919"/>
          <cell r="H919"/>
        </row>
        <row r="920">
          <cell r="B920"/>
          <cell r="C920"/>
          <cell r="D920"/>
          <cell r="E920"/>
          <cell r="F920"/>
          <cell r="G920"/>
          <cell r="H920"/>
        </row>
        <row r="921">
          <cell r="B921"/>
          <cell r="C921"/>
          <cell r="D921"/>
          <cell r="E921"/>
          <cell r="F921"/>
          <cell r="G921"/>
          <cell r="H921"/>
        </row>
        <row r="922">
          <cell r="B922"/>
          <cell r="C922"/>
          <cell r="D922"/>
          <cell r="E922"/>
          <cell r="F922"/>
          <cell r="G922"/>
          <cell r="H922"/>
        </row>
        <row r="923">
          <cell r="B923"/>
          <cell r="C923"/>
          <cell r="D923"/>
          <cell r="E923"/>
          <cell r="F923"/>
          <cell r="G923"/>
          <cell r="H923"/>
        </row>
        <row r="924">
          <cell r="B924"/>
          <cell r="C924"/>
          <cell r="D924"/>
          <cell r="E924"/>
          <cell r="F924"/>
          <cell r="G924"/>
          <cell r="H924"/>
        </row>
        <row r="925">
          <cell r="B925"/>
          <cell r="C925"/>
          <cell r="D925"/>
          <cell r="E925"/>
          <cell r="F925"/>
          <cell r="G925"/>
          <cell r="H925"/>
        </row>
        <row r="926">
          <cell r="B926"/>
          <cell r="C926"/>
          <cell r="D926"/>
          <cell r="E926"/>
          <cell r="F926"/>
          <cell r="G926"/>
          <cell r="H926"/>
        </row>
        <row r="927">
          <cell r="B927"/>
          <cell r="C927"/>
          <cell r="D927"/>
          <cell r="E927"/>
          <cell r="F927"/>
          <cell r="G927"/>
          <cell r="H927"/>
        </row>
        <row r="928">
          <cell r="B928"/>
          <cell r="C928"/>
          <cell r="D928"/>
          <cell r="E928"/>
          <cell r="F928"/>
          <cell r="G928"/>
          <cell r="H928"/>
        </row>
        <row r="929">
          <cell r="B929"/>
          <cell r="C929"/>
          <cell r="D929"/>
          <cell r="E929"/>
          <cell r="F929"/>
          <cell r="G929"/>
          <cell r="H929"/>
        </row>
        <row r="930">
          <cell r="B930"/>
          <cell r="C930"/>
          <cell r="D930"/>
          <cell r="E930"/>
          <cell r="F930"/>
          <cell r="G930"/>
          <cell r="H930"/>
        </row>
        <row r="931">
          <cell r="B931"/>
          <cell r="C931"/>
          <cell r="D931"/>
          <cell r="E931"/>
          <cell r="F931"/>
          <cell r="G931"/>
          <cell r="H931"/>
        </row>
        <row r="932">
          <cell r="B932"/>
          <cell r="C932"/>
          <cell r="D932"/>
          <cell r="E932"/>
          <cell r="F932"/>
          <cell r="G932"/>
          <cell r="H932"/>
        </row>
        <row r="933">
          <cell r="B933"/>
          <cell r="C933"/>
          <cell r="D933"/>
          <cell r="E933"/>
          <cell r="F933"/>
          <cell r="G933"/>
          <cell r="H933"/>
        </row>
        <row r="934">
          <cell r="B934"/>
          <cell r="C934"/>
          <cell r="D934"/>
          <cell r="E934"/>
          <cell r="F934"/>
          <cell r="G934"/>
          <cell r="H934"/>
        </row>
        <row r="935">
          <cell r="B935"/>
          <cell r="C935"/>
          <cell r="D935"/>
          <cell r="E935"/>
          <cell r="F935"/>
          <cell r="G935"/>
          <cell r="H935"/>
        </row>
        <row r="936">
          <cell r="B936"/>
          <cell r="C936"/>
          <cell r="D936"/>
          <cell r="E936"/>
          <cell r="F936"/>
          <cell r="G936"/>
          <cell r="H936"/>
        </row>
        <row r="937">
          <cell r="B937"/>
          <cell r="C937"/>
          <cell r="D937"/>
          <cell r="E937"/>
          <cell r="F937"/>
          <cell r="G937"/>
          <cell r="H937"/>
        </row>
        <row r="938">
          <cell r="B938"/>
          <cell r="C938"/>
          <cell r="D938"/>
          <cell r="E938"/>
          <cell r="F938"/>
          <cell r="G938"/>
          <cell r="H938"/>
        </row>
        <row r="939">
          <cell r="B939"/>
          <cell r="C939"/>
          <cell r="D939"/>
          <cell r="E939"/>
          <cell r="F939"/>
          <cell r="G939"/>
          <cell r="H939"/>
        </row>
        <row r="940">
          <cell r="B940"/>
          <cell r="C940"/>
          <cell r="D940"/>
          <cell r="E940"/>
          <cell r="F940"/>
          <cell r="G940"/>
          <cell r="H940"/>
        </row>
        <row r="941">
          <cell r="B941"/>
          <cell r="C941"/>
          <cell r="D941"/>
          <cell r="E941"/>
          <cell r="F941"/>
          <cell r="G941"/>
          <cell r="H941"/>
        </row>
        <row r="942">
          <cell r="B942"/>
          <cell r="C942"/>
          <cell r="D942"/>
          <cell r="E942"/>
          <cell r="F942"/>
          <cell r="G942"/>
          <cell r="H942"/>
        </row>
        <row r="943">
          <cell r="B943"/>
          <cell r="C943"/>
          <cell r="D943"/>
          <cell r="E943"/>
          <cell r="F943"/>
          <cell r="G943"/>
          <cell r="H943"/>
        </row>
        <row r="944">
          <cell r="B944"/>
          <cell r="C944"/>
          <cell r="D944"/>
          <cell r="E944"/>
          <cell r="F944"/>
          <cell r="G944"/>
          <cell r="H944"/>
        </row>
        <row r="945">
          <cell r="B945"/>
          <cell r="C945"/>
          <cell r="D945"/>
          <cell r="E945"/>
          <cell r="F945"/>
          <cell r="G945"/>
          <cell r="H945"/>
        </row>
        <row r="946">
          <cell r="B946"/>
          <cell r="C946"/>
          <cell r="D946"/>
          <cell r="E946"/>
          <cell r="F946"/>
          <cell r="G946"/>
          <cell r="H946"/>
        </row>
        <row r="947">
          <cell r="B947"/>
          <cell r="C947"/>
          <cell r="D947"/>
          <cell r="E947"/>
          <cell r="F947"/>
          <cell r="G947"/>
          <cell r="H947"/>
        </row>
        <row r="948">
          <cell r="B948"/>
          <cell r="C948"/>
          <cell r="D948"/>
          <cell r="E948"/>
          <cell r="F948"/>
          <cell r="G948"/>
          <cell r="H948"/>
        </row>
        <row r="949">
          <cell r="B949"/>
          <cell r="C949"/>
          <cell r="D949"/>
          <cell r="E949"/>
          <cell r="F949"/>
          <cell r="G949"/>
          <cell r="H949"/>
        </row>
        <row r="950">
          <cell r="B950"/>
          <cell r="C950"/>
          <cell r="D950"/>
          <cell r="E950"/>
          <cell r="F950"/>
          <cell r="G950"/>
          <cell r="H950"/>
        </row>
        <row r="951">
          <cell r="B951"/>
          <cell r="C951"/>
          <cell r="D951"/>
          <cell r="E951"/>
          <cell r="F951"/>
          <cell r="G951"/>
          <cell r="H951"/>
        </row>
        <row r="952">
          <cell r="B952"/>
          <cell r="C952"/>
          <cell r="D952"/>
          <cell r="E952"/>
          <cell r="F952"/>
          <cell r="G952"/>
          <cell r="H952"/>
        </row>
        <row r="953">
          <cell r="B953"/>
          <cell r="C953"/>
          <cell r="D953"/>
          <cell r="E953"/>
          <cell r="F953"/>
          <cell r="G953"/>
          <cell r="H953"/>
        </row>
        <row r="954">
          <cell r="B954"/>
          <cell r="C954"/>
          <cell r="D954"/>
          <cell r="E954"/>
          <cell r="F954"/>
          <cell r="G954"/>
          <cell r="H954"/>
        </row>
        <row r="955">
          <cell r="B955"/>
          <cell r="C955"/>
          <cell r="D955"/>
          <cell r="E955"/>
          <cell r="F955"/>
          <cell r="G955"/>
          <cell r="H955"/>
        </row>
        <row r="956">
          <cell r="B956"/>
          <cell r="C956"/>
          <cell r="D956"/>
          <cell r="E956"/>
          <cell r="F956"/>
          <cell r="G956"/>
          <cell r="H956"/>
        </row>
        <row r="957">
          <cell r="B957"/>
          <cell r="C957"/>
          <cell r="D957"/>
          <cell r="E957"/>
          <cell r="F957"/>
          <cell r="G957"/>
          <cell r="H957"/>
        </row>
        <row r="958">
          <cell r="B958"/>
          <cell r="C958"/>
          <cell r="D958"/>
          <cell r="E958"/>
          <cell r="F958"/>
          <cell r="G958"/>
          <cell r="H958"/>
        </row>
        <row r="959">
          <cell r="B959"/>
          <cell r="C959"/>
          <cell r="D959"/>
          <cell r="E959"/>
          <cell r="F959"/>
          <cell r="G959"/>
          <cell r="H959"/>
        </row>
        <row r="960">
          <cell r="B960"/>
          <cell r="C960"/>
          <cell r="D960"/>
          <cell r="E960"/>
          <cell r="F960"/>
          <cell r="G960"/>
          <cell r="H960"/>
        </row>
        <row r="961">
          <cell r="B961"/>
          <cell r="C961"/>
          <cell r="D961"/>
          <cell r="E961"/>
          <cell r="F961"/>
          <cell r="G961"/>
          <cell r="H961"/>
        </row>
        <row r="962">
          <cell r="B962"/>
          <cell r="C962"/>
          <cell r="D962"/>
          <cell r="E962"/>
          <cell r="F962"/>
          <cell r="G962"/>
          <cell r="H962"/>
        </row>
        <row r="963">
          <cell r="B963"/>
          <cell r="C963"/>
          <cell r="D963"/>
          <cell r="E963"/>
          <cell r="F963"/>
          <cell r="G963"/>
          <cell r="H963"/>
        </row>
        <row r="964">
          <cell r="B964"/>
          <cell r="C964"/>
          <cell r="D964"/>
          <cell r="E964"/>
          <cell r="F964"/>
          <cell r="G964"/>
          <cell r="H964"/>
        </row>
        <row r="965">
          <cell r="B965"/>
          <cell r="C965"/>
          <cell r="D965"/>
          <cell r="E965"/>
          <cell r="F965"/>
          <cell r="G965"/>
          <cell r="H965"/>
        </row>
        <row r="966">
          <cell r="B966"/>
          <cell r="C966"/>
          <cell r="D966"/>
          <cell r="E966"/>
          <cell r="F966"/>
          <cell r="G966"/>
          <cell r="H966"/>
        </row>
        <row r="967">
          <cell r="B967"/>
          <cell r="C967"/>
          <cell r="D967"/>
          <cell r="E967"/>
          <cell r="F967"/>
          <cell r="G967"/>
          <cell r="H967"/>
        </row>
        <row r="968">
          <cell r="B968"/>
          <cell r="C968"/>
          <cell r="D968"/>
          <cell r="E968"/>
          <cell r="F968"/>
          <cell r="G968"/>
          <cell r="H968"/>
        </row>
        <row r="969">
          <cell r="B969"/>
          <cell r="C969"/>
          <cell r="D969"/>
          <cell r="E969"/>
          <cell r="F969"/>
          <cell r="G969"/>
          <cell r="H969"/>
        </row>
        <row r="970">
          <cell r="B970"/>
          <cell r="C970"/>
          <cell r="D970"/>
          <cell r="E970"/>
          <cell r="F970"/>
          <cell r="G970"/>
          <cell r="H970"/>
        </row>
        <row r="971">
          <cell r="B971"/>
          <cell r="C971"/>
          <cell r="D971"/>
          <cell r="E971"/>
          <cell r="F971"/>
          <cell r="G971"/>
          <cell r="H971"/>
        </row>
        <row r="972">
          <cell r="B972"/>
          <cell r="C972"/>
          <cell r="D972"/>
          <cell r="E972"/>
          <cell r="F972"/>
          <cell r="G972"/>
          <cell r="H972"/>
        </row>
        <row r="973">
          <cell r="B973"/>
          <cell r="C973"/>
          <cell r="D973"/>
          <cell r="E973"/>
          <cell r="F973"/>
          <cell r="G973"/>
          <cell r="H973"/>
        </row>
        <row r="974">
          <cell r="B974"/>
          <cell r="C974"/>
          <cell r="D974"/>
          <cell r="E974"/>
          <cell r="F974"/>
          <cell r="G974"/>
          <cell r="H974"/>
        </row>
        <row r="975">
          <cell r="B975"/>
          <cell r="C975"/>
          <cell r="D975"/>
          <cell r="E975"/>
          <cell r="F975"/>
          <cell r="G975"/>
          <cell r="H975"/>
        </row>
        <row r="976">
          <cell r="B976"/>
          <cell r="C976"/>
          <cell r="D976"/>
          <cell r="E976"/>
          <cell r="F976"/>
          <cell r="G976"/>
          <cell r="H976"/>
        </row>
        <row r="977">
          <cell r="B977"/>
          <cell r="C977"/>
          <cell r="D977"/>
          <cell r="E977"/>
          <cell r="F977"/>
          <cell r="G977"/>
          <cell r="H977"/>
        </row>
        <row r="978">
          <cell r="B978"/>
          <cell r="C978"/>
          <cell r="D978"/>
          <cell r="E978"/>
          <cell r="F978"/>
          <cell r="G978"/>
          <cell r="H978"/>
        </row>
        <row r="979">
          <cell r="B979"/>
          <cell r="C979"/>
          <cell r="D979"/>
          <cell r="E979"/>
          <cell r="F979"/>
          <cell r="G979"/>
          <cell r="H979"/>
        </row>
        <row r="980">
          <cell r="B980"/>
          <cell r="C980"/>
          <cell r="D980"/>
          <cell r="E980"/>
          <cell r="F980"/>
          <cell r="G980"/>
          <cell r="H980"/>
        </row>
        <row r="981">
          <cell r="B981"/>
          <cell r="C981"/>
          <cell r="D981"/>
          <cell r="E981"/>
          <cell r="F981"/>
          <cell r="G981"/>
          <cell r="H981"/>
        </row>
        <row r="982">
          <cell r="B982"/>
          <cell r="C982"/>
          <cell r="D982"/>
          <cell r="E982"/>
          <cell r="F982"/>
          <cell r="G982"/>
          <cell r="H982"/>
        </row>
        <row r="983">
          <cell r="B983"/>
          <cell r="C983"/>
          <cell r="D983"/>
          <cell r="E983"/>
          <cell r="F983"/>
          <cell r="G983"/>
          <cell r="H983"/>
        </row>
        <row r="984">
          <cell r="B984"/>
          <cell r="C984"/>
          <cell r="D984"/>
          <cell r="E984"/>
          <cell r="F984"/>
          <cell r="G984"/>
          <cell r="H984"/>
        </row>
        <row r="985">
          <cell r="B985"/>
          <cell r="C985"/>
          <cell r="D985"/>
          <cell r="E985"/>
          <cell r="F985"/>
          <cell r="G985"/>
          <cell r="H985"/>
        </row>
        <row r="986">
          <cell r="B986"/>
          <cell r="C986"/>
          <cell r="D986"/>
          <cell r="E986"/>
          <cell r="F986"/>
          <cell r="G986"/>
          <cell r="H986"/>
        </row>
        <row r="987">
          <cell r="B987"/>
          <cell r="C987"/>
          <cell r="D987"/>
          <cell r="E987"/>
          <cell r="F987"/>
          <cell r="G987"/>
          <cell r="H987"/>
        </row>
        <row r="988">
          <cell r="B988"/>
          <cell r="C988"/>
          <cell r="D988"/>
          <cell r="E988"/>
          <cell r="F988"/>
          <cell r="G988"/>
          <cell r="H988"/>
        </row>
        <row r="989">
          <cell r="B989"/>
          <cell r="C989"/>
          <cell r="D989"/>
          <cell r="E989"/>
          <cell r="F989"/>
          <cell r="G989"/>
          <cell r="H989"/>
        </row>
        <row r="990">
          <cell r="B990"/>
          <cell r="C990"/>
          <cell r="D990"/>
          <cell r="E990"/>
          <cell r="F990"/>
          <cell r="G990"/>
          <cell r="H990"/>
        </row>
        <row r="991">
          <cell r="B991"/>
          <cell r="C991"/>
          <cell r="D991"/>
          <cell r="E991"/>
          <cell r="F991"/>
          <cell r="G991"/>
          <cell r="H991"/>
        </row>
        <row r="992">
          <cell r="B992"/>
          <cell r="C992"/>
          <cell r="D992"/>
          <cell r="E992"/>
          <cell r="F992"/>
          <cell r="G992"/>
          <cell r="H992"/>
        </row>
        <row r="993">
          <cell r="B993"/>
          <cell r="C993"/>
          <cell r="D993"/>
          <cell r="E993"/>
          <cell r="F993"/>
          <cell r="G993"/>
          <cell r="H993"/>
        </row>
        <row r="994">
          <cell r="B994"/>
          <cell r="C994"/>
          <cell r="D994"/>
          <cell r="E994"/>
          <cell r="F994"/>
          <cell r="G994"/>
          <cell r="H994"/>
        </row>
        <row r="995">
          <cell r="B995"/>
          <cell r="C995"/>
          <cell r="D995"/>
          <cell r="E995"/>
          <cell r="F995"/>
          <cell r="G995"/>
          <cell r="H995"/>
        </row>
        <row r="996">
          <cell r="B996"/>
          <cell r="C996"/>
          <cell r="D996"/>
          <cell r="E996"/>
          <cell r="F996"/>
          <cell r="G996"/>
          <cell r="H996"/>
        </row>
        <row r="997">
          <cell r="B997"/>
          <cell r="C997"/>
          <cell r="D997"/>
          <cell r="E997"/>
          <cell r="F997"/>
          <cell r="G997"/>
          <cell r="H997"/>
        </row>
        <row r="998">
          <cell r="B998"/>
          <cell r="C998"/>
          <cell r="D998"/>
          <cell r="E998"/>
          <cell r="F998"/>
          <cell r="G998"/>
          <cell r="H998"/>
        </row>
        <row r="999">
          <cell r="B999"/>
          <cell r="C999"/>
          <cell r="D999"/>
          <cell r="E999"/>
          <cell r="F999"/>
          <cell r="G999"/>
          <cell r="H999"/>
        </row>
        <row r="1000">
          <cell r="B1000"/>
          <cell r="C1000"/>
          <cell r="D1000"/>
          <cell r="E1000"/>
          <cell r="F1000"/>
          <cell r="G1000"/>
          <cell r="H1000"/>
        </row>
        <row r="1001">
          <cell r="B1001"/>
          <cell r="C1001"/>
          <cell r="D1001"/>
          <cell r="E1001"/>
          <cell r="F1001"/>
          <cell r="G1001"/>
          <cell r="H1001"/>
        </row>
      </sheetData>
      <sheetData sheetId="10">
        <row r="1">
          <cell r="A1" t="str">
            <v>The Reginald Lewis Group LLC</v>
          </cell>
        </row>
        <row r="2">
          <cell r="A2" t="str">
            <v>Balance Sheet</v>
          </cell>
        </row>
        <row r="3">
          <cell r="A3" t="str">
            <v>All Dates</v>
          </cell>
        </row>
        <row r="4">
          <cell r="A4"/>
          <cell r="B4"/>
        </row>
        <row r="5">
          <cell r="A5"/>
          <cell r="B5" t="str">
            <v>Total</v>
          </cell>
        </row>
        <row r="6">
          <cell r="A6" t="str">
            <v>ASSETS</v>
          </cell>
          <cell r="B6"/>
        </row>
        <row r="7">
          <cell r="A7" t="str">
            <v>Current Assets</v>
          </cell>
          <cell r="B7"/>
        </row>
        <row r="8">
          <cell r="A8" t="str">
            <v>Bank Accounts</v>
          </cell>
          <cell r="B8"/>
        </row>
        <row r="9">
          <cell r="A9" t="str">
            <v>First Commerce Bank</v>
          </cell>
          <cell r="B9">
            <v>-280.57</v>
          </cell>
        </row>
        <row r="10">
          <cell r="A10" t="str">
            <v>Goldman Fund 2 LLC (4149)</v>
          </cell>
          <cell r="B10">
            <v>1796.73</v>
          </cell>
        </row>
        <row r="11">
          <cell r="A11" t="str">
            <v>PNC (0098) Operating</v>
          </cell>
          <cell r="B11">
            <v>18745.13</v>
          </cell>
        </row>
        <row r="12">
          <cell r="A12" t="str">
            <v>PNC (0119) Sales</v>
          </cell>
          <cell r="B12">
            <v>122211.01</v>
          </cell>
        </row>
        <row r="13">
          <cell r="A13" t="str">
            <v>PNC (2907)</v>
          </cell>
          <cell r="B13">
            <v>7314.21</v>
          </cell>
        </row>
        <row r="14">
          <cell r="A14" t="str">
            <v>PNC (4333)</v>
          </cell>
          <cell r="B14">
            <v>23195.15</v>
          </cell>
        </row>
        <row r="15">
          <cell r="A15" t="str">
            <v>PNC (4382) Realty &amp; Management</v>
          </cell>
          <cell r="B15">
            <v>108502.41</v>
          </cell>
        </row>
        <row r="16">
          <cell r="A16" t="str">
            <v>Reno E Checks</v>
          </cell>
          <cell r="B16">
            <v>-36404.379999999997</v>
          </cell>
        </row>
        <row r="17">
          <cell r="A17" t="str">
            <v>Total PNC (4382) Realty &amp; Management</v>
          </cell>
          <cell r="B17">
            <v>72098.03</v>
          </cell>
        </row>
        <row r="18">
          <cell r="A18" t="str">
            <v>PNC (4387)</v>
          </cell>
          <cell r="B18">
            <v>2569</v>
          </cell>
        </row>
        <row r="19">
          <cell r="A19" t="str">
            <v>PNC (6306) Rentals</v>
          </cell>
          <cell r="B19">
            <v>19999.66</v>
          </cell>
        </row>
        <row r="20">
          <cell r="A20" t="str">
            <v>PNC (8303) Property Holding Cost</v>
          </cell>
          <cell r="B20">
            <v>-112164.57</v>
          </cell>
        </row>
        <row r="21">
          <cell r="A21" t="str">
            <v>PNC MDA Sweep (2111)</v>
          </cell>
          <cell r="B21">
            <v>0</v>
          </cell>
        </row>
        <row r="22">
          <cell r="A22" t="str">
            <v>S&amp;T Bank</v>
          </cell>
          <cell r="B22">
            <v>59596.3</v>
          </cell>
        </row>
        <row r="23">
          <cell r="A23" t="str">
            <v>Sheriff Sale Deposits</v>
          </cell>
          <cell r="B23">
            <v>-20000</v>
          </cell>
        </row>
        <row r="24">
          <cell r="A24" t="str">
            <v>Univest Checking</v>
          </cell>
          <cell r="B24">
            <v>1066.06</v>
          </cell>
        </row>
        <row r="25">
          <cell r="A25" t="str">
            <v>Total Bank Accounts</v>
          </cell>
          <cell r="B25">
            <v>196146.14</v>
          </cell>
        </row>
        <row r="26">
          <cell r="A26" t="str">
            <v>Accounts Receivable</v>
          </cell>
          <cell r="B26"/>
        </row>
        <row r="27">
          <cell r="A27" t="str">
            <v>Accounts Receivable</v>
          </cell>
          <cell r="B27">
            <v>0</v>
          </cell>
        </row>
        <row r="28">
          <cell r="A28" t="str">
            <v>Total Accounts Receivable</v>
          </cell>
          <cell r="B28">
            <v>0</v>
          </cell>
        </row>
        <row r="29">
          <cell r="A29" t="str">
            <v>Other Current Assets</v>
          </cell>
          <cell r="B29"/>
        </row>
        <row r="30">
          <cell r="A30" t="str">
            <v>Inventory Asset</v>
          </cell>
          <cell r="B30">
            <v>0</v>
          </cell>
        </row>
        <row r="31">
          <cell r="A31" t="str">
            <v>PROPERTIES</v>
          </cell>
          <cell r="B31">
            <v>0</v>
          </cell>
        </row>
        <row r="32">
          <cell r="A32" t="str">
            <v>Flips</v>
          </cell>
          <cell r="B32"/>
        </row>
        <row r="33">
          <cell r="A33" t="str">
            <v>10 Dennison Drive</v>
          </cell>
          <cell r="B33">
            <v>0</v>
          </cell>
        </row>
        <row r="34">
          <cell r="A34" t="str">
            <v>101 Silver Lake Road</v>
          </cell>
          <cell r="B34"/>
        </row>
        <row r="35">
          <cell r="A35" t="str">
            <v>101 Silver Lake Road Closing Costs</v>
          </cell>
          <cell r="B35">
            <v>19572.490000000002</v>
          </cell>
        </row>
        <row r="36">
          <cell r="A36" t="str">
            <v>101 Silver Lake Road Construction</v>
          </cell>
          <cell r="B36">
            <v>98178.41</v>
          </cell>
        </row>
        <row r="37">
          <cell r="A37" t="str">
            <v>101 Silver Lake Road Holding Costs</v>
          </cell>
          <cell r="B37">
            <v>35939.06</v>
          </cell>
        </row>
        <row r="38">
          <cell r="A38" t="str">
            <v>101 Silver Lake Road Purchase Price</v>
          </cell>
          <cell r="B38">
            <v>353000</v>
          </cell>
        </row>
        <row r="39">
          <cell r="A39" t="str">
            <v>Total 101 Silver Lake Road</v>
          </cell>
          <cell r="B39">
            <v>506689.96</v>
          </cell>
        </row>
        <row r="40">
          <cell r="A40" t="str">
            <v>103 Taylor St</v>
          </cell>
          <cell r="B40"/>
        </row>
        <row r="41">
          <cell r="A41" t="str">
            <v>103 Taylor St Closing Costs</v>
          </cell>
          <cell r="B41">
            <v>37842.78</v>
          </cell>
        </row>
        <row r="42">
          <cell r="A42" t="str">
            <v>103 Taylor St Construction</v>
          </cell>
          <cell r="B42">
            <v>34535</v>
          </cell>
        </row>
        <row r="43">
          <cell r="A43" t="str">
            <v>103 Taylor St Holding Costs</v>
          </cell>
          <cell r="B43">
            <v>3705.15</v>
          </cell>
        </row>
        <row r="44">
          <cell r="A44" t="str">
            <v>103 Taylor St Purchase Price</v>
          </cell>
          <cell r="B44">
            <v>90000</v>
          </cell>
        </row>
        <row r="45">
          <cell r="A45" t="str">
            <v>Total 103 Taylor St</v>
          </cell>
          <cell r="B45">
            <v>166082.93</v>
          </cell>
        </row>
        <row r="46">
          <cell r="A46" t="str">
            <v>1055 Lalor St</v>
          </cell>
          <cell r="B46"/>
        </row>
        <row r="47">
          <cell r="A47" t="str">
            <v>1055 Lalor St Closing Costs</v>
          </cell>
          <cell r="B47">
            <v>38583.599999999999</v>
          </cell>
        </row>
        <row r="48">
          <cell r="A48" t="str">
            <v>1055 Lalor St Purchase Price</v>
          </cell>
          <cell r="B48">
            <v>130000</v>
          </cell>
        </row>
        <row r="49">
          <cell r="A49" t="str">
            <v>Total 1055 Lalor St</v>
          </cell>
          <cell r="B49">
            <v>168583.6</v>
          </cell>
        </row>
        <row r="50">
          <cell r="A50" t="str">
            <v>117 Parklane</v>
          </cell>
          <cell r="B50">
            <v>0</v>
          </cell>
        </row>
        <row r="51">
          <cell r="A51" t="str">
            <v>129 W Union St</v>
          </cell>
          <cell r="B51">
            <v>1400</v>
          </cell>
        </row>
        <row r="52">
          <cell r="A52" t="str">
            <v>132 Keswick Dr</v>
          </cell>
          <cell r="B52"/>
        </row>
        <row r="53">
          <cell r="A53" t="str">
            <v>132 Keswick Dr Closing Costs</v>
          </cell>
          <cell r="B53">
            <v>19289.12</v>
          </cell>
        </row>
        <row r="54">
          <cell r="A54" t="str">
            <v>132 Keswick Dr Construction</v>
          </cell>
          <cell r="B54">
            <v>26800</v>
          </cell>
        </row>
        <row r="55">
          <cell r="A55" t="str">
            <v>132 Keswick Dr Holding Costs</v>
          </cell>
          <cell r="B55">
            <v>2250</v>
          </cell>
        </row>
        <row r="56">
          <cell r="A56" t="str">
            <v>132 Keswick Dr Purchase Price</v>
          </cell>
          <cell r="B56">
            <v>300000</v>
          </cell>
        </row>
        <row r="57">
          <cell r="A57" t="str">
            <v>Total 132 Keswick Dr</v>
          </cell>
          <cell r="B57">
            <v>348339.12</v>
          </cell>
        </row>
        <row r="58">
          <cell r="A58" t="str">
            <v>15 North Westfield Ave</v>
          </cell>
          <cell r="B58"/>
        </row>
        <row r="59">
          <cell r="A59" t="str">
            <v>15 North Westfield Ave Closing Costs</v>
          </cell>
          <cell r="B59">
            <v>0</v>
          </cell>
        </row>
        <row r="60">
          <cell r="A60" t="str">
            <v>15 North Westfield Ave Construction</v>
          </cell>
          <cell r="B60">
            <v>0</v>
          </cell>
        </row>
        <row r="61">
          <cell r="A61" t="str">
            <v>15 North Westfield Ave Holding Costs</v>
          </cell>
          <cell r="B61">
            <v>0</v>
          </cell>
        </row>
        <row r="62">
          <cell r="A62" t="str">
            <v>15 North Westfield Ave Purchase Price</v>
          </cell>
          <cell r="B62">
            <v>0</v>
          </cell>
        </row>
        <row r="63">
          <cell r="A63" t="str">
            <v>Total 15 North Westfield Ave</v>
          </cell>
          <cell r="B63">
            <v>0</v>
          </cell>
        </row>
        <row r="64">
          <cell r="A64" t="str">
            <v>154 Andrew St</v>
          </cell>
          <cell r="B64"/>
        </row>
        <row r="65">
          <cell r="A65" t="str">
            <v>154 Andrew St Closing Costs</v>
          </cell>
          <cell r="B65">
            <v>12744.41</v>
          </cell>
        </row>
        <row r="66">
          <cell r="A66" t="str">
            <v>154 Andrew St Construction</v>
          </cell>
          <cell r="B66">
            <v>109136</v>
          </cell>
        </row>
        <row r="67">
          <cell r="A67" t="str">
            <v>154 Andrew St Holding Costs</v>
          </cell>
          <cell r="B67">
            <v>29836.25</v>
          </cell>
        </row>
        <row r="68">
          <cell r="A68" t="str">
            <v>154 Andrew St Purchase Price</v>
          </cell>
          <cell r="B68">
            <v>175000</v>
          </cell>
        </row>
        <row r="69">
          <cell r="A69" t="str">
            <v>Total 154 Andrew St</v>
          </cell>
          <cell r="B69">
            <v>326716.65999999997</v>
          </cell>
        </row>
        <row r="70">
          <cell r="A70" t="str">
            <v>154 Lenox Ave</v>
          </cell>
          <cell r="B70"/>
        </row>
        <row r="71">
          <cell r="A71" t="str">
            <v>154 Lenox Ave Closing Costs</v>
          </cell>
          <cell r="B71">
            <v>13994.92</v>
          </cell>
        </row>
        <row r="72">
          <cell r="A72" t="str">
            <v>154 Lenox Ave Construction</v>
          </cell>
          <cell r="B72">
            <v>4500</v>
          </cell>
        </row>
        <row r="73">
          <cell r="A73" t="str">
            <v>154 Lenox Ave Holding Costs</v>
          </cell>
          <cell r="B73">
            <v>7599.33</v>
          </cell>
        </row>
        <row r="74">
          <cell r="A74" t="str">
            <v>154 Lenox Ave Purchase Price</v>
          </cell>
          <cell r="B74">
            <v>275000</v>
          </cell>
        </row>
        <row r="75">
          <cell r="A75" t="str">
            <v>Total 154 Lenox Ave</v>
          </cell>
          <cell r="B75">
            <v>301094.25</v>
          </cell>
        </row>
        <row r="76">
          <cell r="A76" t="str">
            <v>161 Joan Terrace</v>
          </cell>
          <cell r="B76"/>
        </row>
        <row r="77">
          <cell r="A77" t="str">
            <v>161 Joan Terrace Closing Costs</v>
          </cell>
          <cell r="B77">
            <v>7549.81</v>
          </cell>
        </row>
        <row r="78">
          <cell r="A78" t="str">
            <v>161 Joan Terrace Construction</v>
          </cell>
          <cell r="B78">
            <v>9117</v>
          </cell>
        </row>
        <row r="79">
          <cell r="A79" t="str">
            <v>161 Joan Terrace Holding Costs</v>
          </cell>
          <cell r="B79">
            <v>5673.09</v>
          </cell>
        </row>
        <row r="80">
          <cell r="A80" t="str">
            <v>161 Joan Terrace Purchase Price</v>
          </cell>
          <cell r="B80">
            <v>205000</v>
          </cell>
        </row>
        <row r="81">
          <cell r="A81" t="str">
            <v>Total 161 Joan Terrace</v>
          </cell>
          <cell r="B81">
            <v>227339.9</v>
          </cell>
        </row>
        <row r="82">
          <cell r="A82" t="str">
            <v>173 Main St.</v>
          </cell>
          <cell r="B82">
            <v>0</v>
          </cell>
        </row>
        <row r="83">
          <cell r="A83" t="str">
            <v>174 E Highland Ave</v>
          </cell>
          <cell r="B83"/>
        </row>
        <row r="84">
          <cell r="A84" t="str">
            <v>174 E Highland Ave Closing Costs</v>
          </cell>
          <cell r="B84">
            <v>19855.27</v>
          </cell>
        </row>
        <row r="85">
          <cell r="A85" t="str">
            <v>174 E Highland Ave Construction</v>
          </cell>
          <cell r="B85">
            <v>20350</v>
          </cell>
        </row>
        <row r="86">
          <cell r="A86" t="str">
            <v>174 E Highland Ave Holding Costs</v>
          </cell>
          <cell r="B86">
            <v>12639.11</v>
          </cell>
        </row>
        <row r="87">
          <cell r="A87" t="str">
            <v>174 E Highland Ave Purchase Price</v>
          </cell>
          <cell r="B87">
            <v>350000</v>
          </cell>
        </row>
        <row r="88">
          <cell r="A88" t="str">
            <v>Total 174 E Highland Ave</v>
          </cell>
          <cell r="B88">
            <v>402844.38</v>
          </cell>
        </row>
        <row r="89">
          <cell r="A89" t="str">
            <v>19 Dogwood</v>
          </cell>
          <cell r="B89"/>
        </row>
        <row r="90">
          <cell r="A90" t="str">
            <v>19 Dogwood Purchase Price</v>
          </cell>
          <cell r="B90">
            <v>0</v>
          </cell>
        </row>
        <row r="91">
          <cell r="A91" t="str">
            <v>19 Dogwood Closing Costs</v>
          </cell>
          <cell r="B91">
            <v>0</v>
          </cell>
        </row>
        <row r="92">
          <cell r="A92" t="str">
            <v>19 Dogwood Construction</v>
          </cell>
          <cell r="B92">
            <v>0</v>
          </cell>
        </row>
        <row r="93">
          <cell r="A93" t="str">
            <v>19 Dogwood Holding Costs</v>
          </cell>
          <cell r="B93">
            <v>0</v>
          </cell>
        </row>
        <row r="94">
          <cell r="A94" t="str">
            <v>Total 19 Dogwood</v>
          </cell>
          <cell r="B94">
            <v>0</v>
          </cell>
        </row>
        <row r="95">
          <cell r="A95" t="str">
            <v>200 Willow Rd</v>
          </cell>
          <cell r="B95"/>
        </row>
        <row r="96">
          <cell r="A96" t="str">
            <v>200 Willow Rd Closing Costs</v>
          </cell>
          <cell r="B96">
            <v>20597.89</v>
          </cell>
        </row>
        <row r="97">
          <cell r="A97" t="str">
            <v>200 Willow Rd Construction</v>
          </cell>
          <cell r="B97">
            <v>250</v>
          </cell>
        </row>
        <row r="98">
          <cell r="A98" t="str">
            <v>200 Willow Rd Holding Costs</v>
          </cell>
          <cell r="B98">
            <v>5188.71</v>
          </cell>
        </row>
        <row r="99">
          <cell r="A99" t="str">
            <v>200 Willow Rd Purchase Price</v>
          </cell>
          <cell r="B99">
            <v>430000</v>
          </cell>
        </row>
        <row r="100">
          <cell r="A100" t="str">
            <v>Total 200 Willow Rd</v>
          </cell>
          <cell r="B100">
            <v>456036.6</v>
          </cell>
        </row>
        <row r="101">
          <cell r="A101" t="str">
            <v>213 St Mary St</v>
          </cell>
          <cell r="B101">
            <v>1416.67</v>
          </cell>
        </row>
        <row r="102">
          <cell r="A102" t="str">
            <v>2163 Harbour Drive</v>
          </cell>
          <cell r="B102"/>
        </row>
        <row r="103">
          <cell r="A103" t="str">
            <v>2163 Harbour Dr Construction</v>
          </cell>
          <cell r="B103">
            <v>0</v>
          </cell>
        </row>
        <row r="104">
          <cell r="A104" t="str">
            <v>2163 Harbour Dr Closing Costs</v>
          </cell>
          <cell r="B104">
            <v>0</v>
          </cell>
        </row>
        <row r="105">
          <cell r="A105" t="str">
            <v>2163 Harbour Dr Holding Costs</v>
          </cell>
          <cell r="B105">
            <v>0</v>
          </cell>
        </row>
        <row r="106">
          <cell r="A106" t="str">
            <v>2163 Harbour Dr Purchase Price</v>
          </cell>
          <cell r="B106">
            <v>0</v>
          </cell>
        </row>
        <row r="107">
          <cell r="A107" t="str">
            <v>Total 2163 Harbour Drive</v>
          </cell>
          <cell r="B107">
            <v>0</v>
          </cell>
        </row>
        <row r="108">
          <cell r="A108" t="str">
            <v>22 Cain Ave</v>
          </cell>
          <cell r="B108"/>
        </row>
        <row r="109">
          <cell r="A109" t="str">
            <v>22 Cain Ave Closing Costs</v>
          </cell>
          <cell r="B109">
            <v>10894.12</v>
          </cell>
        </row>
        <row r="110">
          <cell r="A110" t="str">
            <v>22 Cain Ave Construction</v>
          </cell>
          <cell r="B110">
            <v>69172.5</v>
          </cell>
        </row>
        <row r="111">
          <cell r="A111" t="str">
            <v>22 Cain Ave Holding Costs</v>
          </cell>
          <cell r="B111">
            <v>9533.15</v>
          </cell>
        </row>
        <row r="112">
          <cell r="A112" t="str">
            <v>22 Cain Ave Purchase Price</v>
          </cell>
          <cell r="B112">
            <v>135000</v>
          </cell>
        </row>
        <row r="113">
          <cell r="A113" t="str">
            <v>Total 22 Cain Ave</v>
          </cell>
          <cell r="B113">
            <v>224599.77</v>
          </cell>
        </row>
        <row r="114">
          <cell r="A114" t="str">
            <v>2220 Brunswick Ave</v>
          </cell>
          <cell r="B114">
            <v>2250</v>
          </cell>
        </row>
        <row r="115">
          <cell r="A115" t="str">
            <v>235 Ellis St</v>
          </cell>
          <cell r="B115"/>
        </row>
        <row r="116">
          <cell r="A116" t="str">
            <v>235 Ellis St Closing Costs</v>
          </cell>
          <cell r="B116">
            <v>9960.74</v>
          </cell>
        </row>
        <row r="117">
          <cell r="A117" t="str">
            <v>235 Ellis St Construction</v>
          </cell>
          <cell r="B117">
            <v>63155</v>
          </cell>
        </row>
        <row r="118">
          <cell r="A118" t="str">
            <v>235 Ellis St Holding Costs</v>
          </cell>
          <cell r="B118">
            <v>13213.88</v>
          </cell>
        </row>
        <row r="119">
          <cell r="A119" t="str">
            <v>235 Ellis St Purchase Price</v>
          </cell>
          <cell r="B119">
            <v>120000</v>
          </cell>
        </row>
        <row r="120">
          <cell r="A120" t="str">
            <v>Total 235 Ellis St</v>
          </cell>
          <cell r="B120">
            <v>206329.62</v>
          </cell>
        </row>
        <row r="121">
          <cell r="A121" t="str">
            <v>24 Express</v>
          </cell>
          <cell r="B121"/>
        </row>
        <row r="122">
          <cell r="A122" t="str">
            <v>24 Express Closing Costs</v>
          </cell>
          <cell r="B122">
            <v>15602.34</v>
          </cell>
        </row>
        <row r="123">
          <cell r="A123" t="str">
            <v>24 Express Construction</v>
          </cell>
          <cell r="B123">
            <v>49925</v>
          </cell>
        </row>
        <row r="124">
          <cell r="A124" t="str">
            <v>24 Express Holding Costs</v>
          </cell>
          <cell r="B124">
            <v>12313.59</v>
          </cell>
        </row>
        <row r="125">
          <cell r="A125" t="str">
            <v>24 Express Purchase Price</v>
          </cell>
          <cell r="B125">
            <v>256000</v>
          </cell>
        </row>
        <row r="126">
          <cell r="A126" t="str">
            <v>Total 24 Express</v>
          </cell>
          <cell r="B126">
            <v>333840.93</v>
          </cell>
        </row>
        <row r="127">
          <cell r="A127" t="str">
            <v>24 Longboat</v>
          </cell>
          <cell r="B127">
            <v>750</v>
          </cell>
        </row>
        <row r="128">
          <cell r="A128" t="str">
            <v>24 Longboat Closing Costs</v>
          </cell>
          <cell r="B128">
            <v>10532.76</v>
          </cell>
        </row>
        <row r="129">
          <cell r="A129" t="str">
            <v>24 Longboat Holding Costs</v>
          </cell>
          <cell r="B129">
            <v>25195</v>
          </cell>
        </row>
        <row r="130">
          <cell r="A130" t="str">
            <v>24 Longboat Purchase Price</v>
          </cell>
          <cell r="B130">
            <v>180000</v>
          </cell>
        </row>
        <row r="131">
          <cell r="A131" t="str">
            <v>Total 24 Longboat</v>
          </cell>
          <cell r="B131">
            <v>216477.76</v>
          </cell>
        </row>
        <row r="132">
          <cell r="A132" t="str">
            <v>24 Tynemouth</v>
          </cell>
          <cell r="B132"/>
        </row>
        <row r="133">
          <cell r="A133" t="str">
            <v>24 Tynemouth Closing Costs</v>
          </cell>
          <cell r="B133">
            <v>21545.48</v>
          </cell>
        </row>
        <row r="134">
          <cell r="A134" t="str">
            <v>24 Tynemouth Construction</v>
          </cell>
          <cell r="B134">
            <v>29968.94</v>
          </cell>
        </row>
        <row r="135">
          <cell r="A135" t="str">
            <v>24 Tynemouth Holding Costs</v>
          </cell>
          <cell r="B135">
            <v>13507.92</v>
          </cell>
        </row>
        <row r="136">
          <cell r="A136" t="str">
            <v>24 Tynemouth Purchase Price</v>
          </cell>
          <cell r="B136">
            <v>405000</v>
          </cell>
        </row>
        <row r="137">
          <cell r="A137" t="str">
            <v>Total 24 Tynemouth</v>
          </cell>
          <cell r="B137">
            <v>470022.34</v>
          </cell>
        </row>
        <row r="138">
          <cell r="A138" t="str">
            <v>275 Green St 4 B6</v>
          </cell>
          <cell r="B138"/>
        </row>
        <row r="139">
          <cell r="A139" t="str">
            <v>275 Green St 4 B6 Closing Costs</v>
          </cell>
          <cell r="B139">
            <v>16246.92</v>
          </cell>
        </row>
        <row r="140">
          <cell r="A140" t="str">
            <v>275 Green St 4 B6 Purchase Price</v>
          </cell>
          <cell r="B140">
            <v>125000</v>
          </cell>
        </row>
        <row r="141">
          <cell r="A141" t="str">
            <v>275 Green St 4 B6 Construction</v>
          </cell>
          <cell r="B141">
            <v>27070.22</v>
          </cell>
        </row>
        <row r="142">
          <cell r="A142" t="str">
            <v>275 Green St 4 B6 Holding Costs</v>
          </cell>
          <cell r="B142">
            <v>2342.4</v>
          </cell>
        </row>
        <row r="143">
          <cell r="A143" t="str">
            <v>Total 275 Green St 4 B6</v>
          </cell>
          <cell r="B143">
            <v>170659.54</v>
          </cell>
        </row>
        <row r="144">
          <cell r="A144" t="str">
            <v>313 Delaware Ave</v>
          </cell>
          <cell r="B144"/>
        </row>
        <row r="145">
          <cell r="A145" t="str">
            <v>313 Delaware Ave Closing Costs</v>
          </cell>
          <cell r="B145">
            <v>11755.97</v>
          </cell>
        </row>
        <row r="146">
          <cell r="A146" t="str">
            <v>313 Delaware Ave Construction</v>
          </cell>
          <cell r="B146">
            <v>100411.67</v>
          </cell>
        </row>
        <row r="147">
          <cell r="A147" t="str">
            <v>313 Delaware Ave Holding Costs</v>
          </cell>
          <cell r="B147">
            <v>37435.040000000001</v>
          </cell>
        </row>
        <row r="148">
          <cell r="A148" t="str">
            <v>313 Delaware Ave Purchase Price</v>
          </cell>
          <cell r="B148">
            <v>195000</v>
          </cell>
        </row>
        <row r="149">
          <cell r="A149" t="str">
            <v>Total 313 Delaware Ave</v>
          </cell>
          <cell r="B149">
            <v>344602.68</v>
          </cell>
        </row>
        <row r="150">
          <cell r="A150" t="str">
            <v>314 9th St</v>
          </cell>
          <cell r="B150"/>
        </row>
        <row r="151">
          <cell r="A151" t="str">
            <v>314 9th St Closing Costs</v>
          </cell>
          <cell r="B151">
            <v>12721.18</v>
          </cell>
        </row>
        <row r="152">
          <cell r="A152" t="str">
            <v>314 9th St Construction</v>
          </cell>
          <cell r="B152">
            <v>3200</v>
          </cell>
        </row>
        <row r="153">
          <cell r="A153" t="str">
            <v>314 9th St Holding Costs</v>
          </cell>
          <cell r="B153">
            <v>2000</v>
          </cell>
        </row>
        <row r="154">
          <cell r="A154" t="str">
            <v>314 9th St Purchase Price</v>
          </cell>
          <cell r="B154">
            <v>60000</v>
          </cell>
        </row>
        <row r="155">
          <cell r="A155" t="str">
            <v>Total 314 9th St</v>
          </cell>
          <cell r="B155">
            <v>77921.179999999993</v>
          </cell>
        </row>
        <row r="156">
          <cell r="A156" t="str">
            <v>316 W 3rd St</v>
          </cell>
          <cell r="B156"/>
        </row>
        <row r="157">
          <cell r="A157" t="str">
            <v>316 W 3rd St Closing Costs</v>
          </cell>
          <cell r="B157">
            <v>14576.21</v>
          </cell>
        </row>
        <row r="158">
          <cell r="A158" t="str">
            <v>316 W 3rd St Construction</v>
          </cell>
          <cell r="B158">
            <v>127866</v>
          </cell>
        </row>
        <row r="159">
          <cell r="A159" t="str">
            <v>316 W 3rd St Holding Costs</v>
          </cell>
          <cell r="B159">
            <v>32213.64</v>
          </cell>
        </row>
        <row r="160">
          <cell r="A160" t="str">
            <v>316 W 3rd St Purchase Price</v>
          </cell>
          <cell r="B160">
            <v>215000</v>
          </cell>
        </row>
        <row r="161">
          <cell r="A161" t="str">
            <v>Total 316 W 3rd St</v>
          </cell>
          <cell r="B161">
            <v>389655.85</v>
          </cell>
        </row>
        <row r="162">
          <cell r="A162" t="str">
            <v>324 St Mary St</v>
          </cell>
          <cell r="B162"/>
        </row>
        <row r="163">
          <cell r="A163" t="str">
            <v>324 St Mary St Closing Costs</v>
          </cell>
          <cell r="B163">
            <v>12385.33</v>
          </cell>
        </row>
        <row r="164">
          <cell r="A164" t="str">
            <v>324 St Mary St Construction</v>
          </cell>
          <cell r="B164">
            <v>27492.58</v>
          </cell>
        </row>
        <row r="165">
          <cell r="A165" t="str">
            <v>324 St Mary St Holding Costs</v>
          </cell>
          <cell r="B165">
            <v>7812.55</v>
          </cell>
        </row>
        <row r="166">
          <cell r="A166" t="str">
            <v>324 St Mary St Purchase Price</v>
          </cell>
          <cell r="B166">
            <v>110000</v>
          </cell>
        </row>
        <row r="167">
          <cell r="A167" t="str">
            <v>Total 324 St Mary St</v>
          </cell>
          <cell r="B167">
            <v>157690.46</v>
          </cell>
        </row>
        <row r="168">
          <cell r="A168" t="str">
            <v>343 Elm Ave</v>
          </cell>
          <cell r="B168"/>
        </row>
        <row r="169">
          <cell r="A169" t="str">
            <v>343 Elm Ave Closing Costs</v>
          </cell>
          <cell r="B169">
            <v>15084.96</v>
          </cell>
        </row>
        <row r="170">
          <cell r="A170" t="str">
            <v>343 Elm Ave Purchase Price</v>
          </cell>
          <cell r="B170">
            <v>190000</v>
          </cell>
        </row>
        <row r="171">
          <cell r="A171" t="str">
            <v>Total 343 Elm Ave</v>
          </cell>
          <cell r="B171">
            <v>205084.96</v>
          </cell>
        </row>
        <row r="172">
          <cell r="A172" t="str">
            <v>344 W Pearl</v>
          </cell>
          <cell r="B172"/>
        </row>
        <row r="173">
          <cell r="A173" t="str">
            <v>344 W Pearl Construction</v>
          </cell>
          <cell r="B173">
            <v>0</v>
          </cell>
        </row>
        <row r="174">
          <cell r="A174" t="str">
            <v>Total 344 W Pearl</v>
          </cell>
          <cell r="B174">
            <v>0</v>
          </cell>
        </row>
        <row r="175">
          <cell r="A175" t="str">
            <v>35 Pensdale</v>
          </cell>
          <cell r="B175"/>
        </row>
        <row r="176">
          <cell r="A176" t="str">
            <v>35 Pensdale Closing Costs</v>
          </cell>
          <cell r="B176">
            <v>14336.41</v>
          </cell>
        </row>
        <row r="177">
          <cell r="A177" t="str">
            <v>35 Pensdale Construction</v>
          </cell>
          <cell r="B177">
            <v>144151.32999999999</v>
          </cell>
        </row>
        <row r="178">
          <cell r="A178" t="str">
            <v>35 Pensdale Holding Costs</v>
          </cell>
          <cell r="B178">
            <v>19988.490000000002</v>
          </cell>
        </row>
        <row r="179">
          <cell r="A179" t="str">
            <v>35 Pensdale Purchase Price</v>
          </cell>
          <cell r="B179">
            <v>165000</v>
          </cell>
        </row>
        <row r="180">
          <cell r="A180" t="str">
            <v>Total 35 Pensdale</v>
          </cell>
          <cell r="B180">
            <v>343476.23</v>
          </cell>
        </row>
        <row r="181">
          <cell r="A181" t="str">
            <v>3756 King Ave</v>
          </cell>
          <cell r="B181"/>
        </row>
        <row r="182">
          <cell r="A182" t="str">
            <v>3756 King Ave Closing Costs</v>
          </cell>
          <cell r="B182">
            <v>0</v>
          </cell>
        </row>
        <row r="183">
          <cell r="A183" t="str">
            <v>3756 King Ave Construction</v>
          </cell>
          <cell r="B183">
            <v>0</v>
          </cell>
        </row>
        <row r="184">
          <cell r="A184" t="str">
            <v>3756 King Ave Holding Costs</v>
          </cell>
          <cell r="B184">
            <v>0</v>
          </cell>
        </row>
        <row r="185">
          <cell r="A185" t="str">
            <v>3756 King Ave Purchase Price</v>
          </cell>
          <cell r="B185">
            <v>0</v>
          </cell>
        </row>
        <row r="186">
          <cell r="A186" t="str">
            <v>Total 3756 King Ave</v>
          </cell>
          <cell r="B186">
            <v>0</v>
          </cell>
        </row>
        <row r="187">
          <cell r="A187" t="str">
            <v>4 Goat Hill</v>
          </cell>
          <cell r="B187"/>
        </row>
        <row r="188">
          <cell r="A188" t="str">
            <v>4 Goat Hill Purchase Price</v>
          </cell>
          <cell r="B188">
            <v>399000</v>
          </cell>
        </row>
        <row r="189">
          <cell r="A189" t="str">
            <v>4 Goat Hill Closing Costs</v>
          </cell>
          <cell r="B189">
            <v>42714.17</v>
          </cell>
        </row>
        <row r="190">
          <cell r="A190" t="str">
            <v>4 Goat Hill Holding Costs</v>
          </cell>
          <cell r="B190">
            <v>200</v>
          </cell>
        </row>
        <row r="191">
          <cell r="A191" t="str">
            <v>Total 4 Goat Hill</v>
          </cell>
          <cell r="B191">
            <v>441914.17</v>
          </cell>
        </row>
        <row r="192">
          <cell r="A192" t="str">
            <v>4 Huron Way</v>
          </cell>
          <cell r="B192"/>
        </row>
        <row r="193">
          <cell r="A193" t="str">
            <v>4 Huron Way Closing Costs</v>
          </cell>
          <cell r="B193">
            <v>17657.84</v>
          </cell>
        </row>
        <row r="194">
          <cell r="A194" t="str">
            <v>4 Huron Way Construction</v>
          </cell>
          <cell r="B194">
            <v>101267.25</v>
          </cell>
        </row>
        <row r="195">
          <cell r="A195" t="str">
            <v>4 Huron Way Holding Costs</v>
          </cell>
          <cell r="B195">
            <v>7376.28</v>
          </cell>
        </row>
        <row r="196">
          <cell r="A196" t="str">
            <v>4 Huron Way Purchase Price</v>
          </cell>
          <cell r="B196">
            <v>310000</v>
          </cell>
        </row>
        <row r="197">
          <cell r="A197" t="str">
            <v>Total 4 Huron Way</v>
          </cell>
          <cell r="B197">
            <v>436301.37</v>
          </cell>
        </row>
        <row r="198">
          <cell r="A198" t="str">
            <v>4 Williams Road</v>
          </cell>
          <cell r="B198">
            <v>0</v>
          </cell>
        </row>
        <row r="199">
          <cell r="A199" t="str">
            <v>41 Bruce Park</v>
          </cell>
          <cell r="B199"/>
        </row>
        <row r="200">
          <cell r="A200" t="str">
            <v>41 Bruce Park Closing Costs</v>
          </cell>
          <cell r="B200">
            <v>10217.19</v>
          </cell>
        </row>
        <row r="201">
          <cell r="A201" t="str">
            <v>41 Bruce Park Construction</v>
          </cell>
          <cell r="B201">
            <v>9277</v>
          </cell>
        </row>
        <row r="202">
          <cell r="A202" t="str">
            <v>41 Bruce Park Holding Costs</v>
          </cell>
          <cell r="B202">
            <v>1020.62</v>
          </cell>
        </row>
        <row r="203">
          <cell r="A203" t="str">
            <v>41 Bruce Park Purchase Price</v>
          </cell>
          <cell r="B203">
            <v>117200</v>
          </cell>
        </row>
        <row r="204">
          <cell r="A204" t="str">
            <v>Total 41 Bruce Park</v>
          </cell>
          <cell r="B204">
            <v>137714.81</v>
          </cell>
        </row>
        <row r="205">
          <cell r="A205" t="str">
            <v>43 Chestnut Street</v>
          </cell>
          <cell r="B205"/>
        </row>
        <row r="206">
          <cell r="A206" t="str">
            <v>43 Chestnut St Holding Costs</v>
          </cell>
          <cell r="B206">
            <v>5000</v>
          </cell>
        </row>
        <row r="207">
          <cell r="A207" t="str">
            <v>Total 43 Chestnut Street</v>
          </cell>
          <cell r="B207">
            <v>5000</v>
          </cell>
        </row>
        <row r="208">
          <cell r="A208" t="str">
            <v>43 Ellsworth</v>
          </cell>
          <cell r="B208">
            <v>31116.12</v>
          </cell>
        </row>
        <row r="209">
          <cell r="A209" t="str">
            <v>430 Kossuth St</v>
          </cell>
          <cell r="B209"/>
        </row>
        <row r="210">
          <cell r="A210" t="str">
            <v>430 Kossuth St Closing Costs</v>
          </cell>
          <cell r="B210">
            <v>10847.59</v>
          </cell>
        </row>
        <row r="211">
          <cell r="A211" t="str">
            <v>430 Kossuth St Construction</v>
          </cell>
          <cell r="B211">
            <v>3063.85</v>
          </cell>
        </row>
        <row r="212">
          <cell r="A212" t="str">
            <v>430 Kossuth St Holding Costs</v>
          </cell>
          <cell r="B212">
            <v>11047.65</v>
          </cell>
        </row>
        <row r="213">
          <cell r="A213" t="str">
            <v>430 Kossuth St Purchase Price</v>
          </cell>
          <cell r="B213">
            <v>130000</v>
          </cell>
        </row>
        <row r="214">
          <cell r="A214" t="str">
            <v>Total 430 Kossuth St</v>
          </cell>
          <cell r="B214">
            <v>154959.09</v>
          </cell>
        </row>
        <row r="215">
          <cell r="A215" t="str">
            <v>46 Sussex</v>
          </cell>
          <cell r="B215"/>
        </row>
        <row r="216">
          <cell r="A216" t="str">
            <v>46 Sussex Closing Costs</v>
          </cell>
          <cell r="B216">
            <v>0</v>
          </cell>
        </row>
        <row r="217">
          <cell r="A217" t="str">
            <v>46 Sussex Holding Costs</v>
          </cell>
          <cell r="B217">
            <v>0</v>
          </cell>
        </row>
        <row r="218">
          <cell r="A218" t="str">
            <v>Total 46 Sussex</v>
          </cell>
          <cell r="B218">
            <v>0</v>
          </cell>
        </row>
        <row r="219">
          <cell r="A219" t="str">
            <v>5 Edwards Place</v>
          </cell>
          <cell r="B219"/>
        </row>
        <row r="220">
          <cell r="A220" t="str">
            <v>5 Edwards Place Closing Costs</v>
          </cell>
          <cell r="B220">
            <v>0</v>
          </cell>
        </row>
        <row r="221">
          <cell r="A221" t="str">
            <v>5 Edwards Place Construction</v>
          </cell>
          <cell r="B221">
            <v>0</v>
          </cell>
        </row>
        <row r="222">
          <cell r="A222" t="str">
            <v>5 Edwards Place Holding Costs</v>
          </cell>
          <cell r="B222">
            <v>0</v>
          </cell>
        </row>
        <row r="223">
          <cell r="A223" t="str">
            <v>5 Edwards Place Purchase Place</v>
          </cell>
          <cell r="B223">
            <v>0</v>
          </cell>
        </row>
        <row r="224">
          <cell r="A224" t="str">
            <v>Total 5 Edwards Place</v>
          </cell>
          <cell r="B224">
            <v>0</v>
          </cell>
        </row>
        <row r="225">
          <cell r="A225" t="str">
            <v>52 Annabelle</v>
          </cell>
          <cell r="B225">
            <v>0</v>
          </cell>
        </row>
        <row r="226">
          <cell r="A226" t="str">
            <v>554 Bellevue Ave.</v>
          </cell>
          <cell r="B226">
            <v>0</v>
          </cell>
        </row>
        <row r="227">
          <cell r="A227" t="str">
            <v>586 Chestnut Ave</v>
          </cell>
          <cell r="B227"/>
        </row>
        <row r="228">
          <cell r="A228" t="str">
            <v>586 Chestnut Ave Closing Costs</v>
          </cell>
          <cell r="B228">
            <v>9505.64</v>
          </cell>
        </row>
        <row r="229">
          <cell r="A229" t="str">
            <v>586 Chestnut Ave Purchase Price</v>
          </cell>
          <cell r="B229">
            <v>130000</v>
          </cell>
        </row>
        <row r="230">
          <cell r="A230" t="str">
            <v>Total 586 Chestnut Ave</v>
          </cell>
          <cell r="B230">
            <v>139505.64000000001</v>
          </cell>
        </row>
        <row r="231">
          <cell r="A231" t="str">
            <v>6 Pinehurst Ct</v>
          </cell>
          <cell r="B231"/>
        </row>
        <row r="232">
          <cell r="A232" t="str">
            <v>6 Pinehurst Ct Closing Costs</v>
          </cell>
          <cell r="B232">
            <v>14134.11</v>
          </cell>
        </row>
        <row r="233">
          <cell r="A233" t="str">
            <v>6 Pinehurst Ct Construction</v>
          </cell>
          <cell r="B233">
            <v>49962.94</v>
          </cell>
        </row>
        <row r="234">
          <cell r="A234" t="str">
            <v>6 Pinehurst Ct Holding Costs</v>
          </cell>
          <cell r="B234">
            <v>500</v>
          </cell>
        </row>
        <row r="235">
          <cell r="A235" t="str">
            <v>6 Pinehurst Ct Purchase Price</v>
          </cell>
          <cell r="B235">
            <v>197000</v>
          </cell>
        </row>
        <row r="236">
          <cell r="A236" t="str">
            <v>Total 6 Pinehurst Ct</v>
          </cell>
          <cell r="B236">
            <v>261597.05</v>
          </cell>
        </row>
        <row r="237">
          <cell r="A237" t="str">
            <v>607 Benton Lane</v>
          </cell>
          <cell r="B237"/>
        </row>
        <row r="238">
          <cell r="A238" t="str">
            <v>607 Benton Lane Closing Costs</v>
          </cell>
          <cell r="B238">
            <v>21441.24</v>
          </cell>
        </row>
        <row r="239">
          <cell r="A239" t="str">
            <v>607 Benton Lane Construction</v>
          </cell>
          <cell r="B239">
            <v>52325</v>
          </cell>
        </row>
        <row r="240">
          <cell r="A240" t="str">
            <v>607 Benton Lane Holding Costs</v>
          </cell>
          <cell r="B240">
            <v>8103.01</v>
          </cell>
        </row>
        <row r="241">
          <cell r="A241" t="str">
            <v>607 Benton Lane Purchase Price</v>
          </cell>
          <cell r="B241">
            <v>235000</v>
          </cell>
        </row>
        <row r="242">
          <cell r="A242" t="str">
            <v>Total 607 Benton Lane</v>
          </cell>
          <cell r="B242">
            <v>316869.25</v>
          </cell>
        </row>
        <row r="243">
          <cell r="A243" t="str">
            <v>612 Silver Ct.</v>
          </cell>
          <cell r="B243">
            <v>0</v>
          </cell>
        </row>
        <row r="244">
          <cell r="A244" t="str">
            <v>6124 Camden Ave</v>
          </cell>
          <cell r="B244"/>
        </row>
        <row r="245">
          <cell r="A245" t="str">
            <v>6124 Camden Ave Closing Costs</v>
          </cell>
          <cell r="B245">
            <v>14843.88</v>
          </cell>
        </row>
        <row r="246">
          <cell r="A246" t="str">
            <v>6124 Camden Ave Construction</v>
          </cell>
          <cell r="B246">
            <v>29394</v>
          </cell>
        </row>
        <row r="247">
          <cell r="A247" t="str">
            <v>6124 Camden Ave Holding Costs</v>
          </cell>
          <cell r="B247">
            <v>500</v>
          </cell>
        </row>
        <row r="248">
          <cell r="A248" t="str">
            <v>6124 Camden Ave Purchase Price</v>
          </cell>
          <cell r="B248">
            <v>215000</v>
          </cell>
        </row>
        <row r="249">
          <cell r="A249" t="str">
            <v>Total 6124 Camden Ave</v>
          </cell>
          <cell r="B249">
            <v>259737.88</v>
          </cell>
        </row>
        <row r="250">
          <cell r="A250" t="str">
            <v>72 New Cedar Ln</v>
          </cell>
          <cell r="B250"/>
        </row>
        <row r="251">
          <cell r="A251" t="str">
            <v>72 New Cedar Ln Closing Costs</v>
          </cell>
          <cell r="B251">
            <v>12833.85</v>
          </cell>
        </row>
        <row r="252">
          <cell r="A252" t="str">
            <v>72 New Cedar Ln Construction</v>
          </cell>
          <cell r="B252">
            <v>15000</v>
          </cell>
        </row>
        <row r="253">
          <cell r="A253" t="str">
            <v>72 New Cedar Ln Holding Costs</v>
          </cell>
          <cell r="B253">
            <v>1500</v>
          </cell>
        </row>
        <row r="254">
          <cell r="A254" t="str">
            <v>72 New Cedar Ln Purchase Price</v>
          </cell>
          <cell r="B254">
            <v>210000</v>
          </cell>
        </row>
        <row r="255">
          <cell r="A255" t="str">
            <v>Total 72 New Cedar Ln</v>
          </cell>
          <cell r="B255">
            <v>239333.85</v>
          </cell>
        </row>
        <row r="256">
          <cell r="A256" t="str">
            <v>75 Haddon Ct</v>
          </cell>
          <cell r="B256"/>
        </row>
        <row r="257">
          <cell r="A257" t="str">
            <v>75 Haddon Construction</v>
          </cell>
          <cell r="B257">
            <v>0</v>
          </cell>
        </row>
        <row r="258">
          <cell r="A258" t="str">
            <v>75 Haddon Ct Closing Costs</v>
          </cell>
          <cell r="B258">
            <v>0</v>
          </cell>
        </row>
        <row r="259">
          <cell r="A259" t="str">
            <v>75 Haddon Ct Holding Costs</v>
          </cell>
          <cell r="B259">
            <v>0</v>
          </cell>
        </row>
        <row r="260">
          <cell r="A260" t="str">
            <v>75 Haddon Ct Purchase Price</v>
          </cell>
          <cell r="B260">
            <v>0</v>
          </cell>
        </row>
        <row r="261">
          <cell r="A261" t="str">
            <v>Total 75 Haddon Ct</v>
          </cell>
          <cell r="B261">
            <v>0</v>
          </cell>
        </row>
        <row r="262">
          <cell r="A262" t="str">
            <v>759 Norway</v>
          </cell>
          <cell r="B262"/>
        </row>
        <row r="263">
          <cell r="A263" t="str">
            <v>759 Norway Closing Costs</v>
          </cell>
          <cell r="B263">
            <v>0</v>
          </cell>
        </row>
        <row r="264">
          <cell r="A264" t="str">
            <v>759 Norway Construction</v>
          </cell>
          <cell r="B264">
            <v>0</v>
          </cell>
        </row>
        <row r="265">
          <cell r="A265" t="str">
            <v>759 Norway Holding Costs</v>
          </cell>
          <cell r="B265">
            <v>0</v>
          </cell>
        </row>
        <row r="266">
          <cell r="A266" t="str">
            <v>759 Norway Purchase Price</v>
          </cell>
          <cell r="B266">
            <v>0</v>
          </cell>
        </row>
        <row r="267">
          <cell r="A267" t="str">
            <v>Total 759 Norway</v>
          </cell>
          <cell r="B267">
            <v>0</v>
          </cell>
        </row>
        <row r="268">
          <cell r="A268" t="str">
            <v>792 Westfield</v>
          </cell>
          <cell r="B268"/>
        </row>
        <row r="269">
          <cell r="A269" t="str">
            <v>792 Westfield Closing Costs</v>
          </cell>
          <cell r="B269">
            <v>0</v>
          </cell>
        </row>
        <row r="270">
          <cell r="A270" t="str">
            <v>792 Westfield Construction</v>
          </cell>
          <cell r="B270">
            <v>0</v>
          </cell>
        </row>
        <row r="271">
          <cell r="A271" t="str">
            <v>792 Westfield Holding Costs</v>
          </cell>
          <cell r="B271">
            <v>0</v>
          </cell>
        </row>
        <row r="272">
          <cell r="A272" t="str">
            <v>792 Westfield Purchase Price</v>
          </cell>
          <cell r="B272">
            <v>0</v>
          </cell>
        </row>
        <row r="273">
          <cell r="A273" t="str">
            <v>Total 792 Westfield</v>
          </cell>
          <cell r="B273">
            <v>0</v>
          </cell>
        </row>
        <row r="274">
          <cell r="A274" t="str">
            <v>8-3 Florence Tollgate Pl #3</v>
          </cell>
          <cell r="B274"/>
        </row>
        <row r="275">
          <cell r="A275" t="str">
            <v>8-3 Florence Tollgate Pl #3 Closing Costs</v>
          </cell>
          <cell r="B275">
            <v>0</v>
          </cell>
        </row>
        <row r="276">
          <cell r="A276" t="str">
            <v>8-3 Florence Tollgate Pl #3 Construction</v>
          </cell>
          <cell r="B276">
            <v>0</v>
          </cell>
        </row>
        <row r="277">
          <cell r="A277" t="str">
            <v>8-3 Florence Tollgate Pl #3 Purchase Price</v>
          </cell>
          <cell r="B277">
            <v>0</v>
          </cell>
        </row>
        <row r="278">
          <cell r="A278" t="str">
            <v>Total 8-3 Florence Tollgate Pl #3</v>
          </cell>
          <cell r="B278">
            <v>0</v>
          </cell>
        </row>
        <row r="279">
          <cell r="A279" t="str">
            <v>905 Carteret Ave</v>
          </cell>
          <cell r="B279"/>
        </row>
        <row r="280">
          <cell r="A280" t="str">
            <v>905 Carteret Ave Construction</v>
          </cell>
          <cell r="B280">
            <v>0</v>
          </cell>
        </row>
        <row r="281">
          <cell r="A281" t="str">
            <v>905 Carteret Ave Holding Costs</v>
          </cell>
          <cell r="B281">
            <v>0</v>
          </cell>
        </row>
        <row r="282">
          <cell r="A282" t="str">
            <v>Total 905 Carteret Ave</v>
          </cell>
          <cell r="B282">
            <v>0</v>
          </cell>
        </row>
        <row r="283">
          <cell r="A283" t="str">
            <v>912 Adeline St</v>
          </cell>
          <cell r="B283"/>
        </row>
        <row r="284">
          <cell r="A284" t="str">
            <v>912 Adeline St Closing Costs</v>
          </cell>
          <cell r="B284">
            <v>11434.79</v>
          </cell>
        </row>
        <row r="285">
          <cell r="A285" t="str">
            <v>912 Adeline St Construction</v>
          </cell>
          <cell r="B285">
            <v>52555.68</v>
          </cell>
        </row>
        <row r="286">
          <cell r="A286" t="str">
            <v>912 Adeline St Holding Costs</v>
          </cell>
          <cell r="B286">
            <v>7327.42</v>
          </cell>
        </row>
        <row r="287">
          <cell r="A287" t="str">
            <v>912 Adeline St Purchase Price</v>
          </cell>
          <cell r="B287">
            <v>175000</v>
          </cell>
        </row>
        <row r="288">
          <cell r="A288" t="str">
            <v>Total 912 Adeline St</v>
          </cell>
          <cell r="B288">
            <v>246317.89</v>
          </cell>
        </row>
        <row r="289">
          <cell r="A289" t="str">
            <v>943 Columbus</v>
          </cell>
          <cell r="B289"/>
        </row>
        <row r="290">
          <cell r="A290" t="str">
            <v>943 Columbus Holding Costs</v>
          </cell>
          <cell r="B290">
            <v>10226.06</v>
          </cell>
        </row>
        <row r="291">
          <cell r="A291" t="str">
            <v>943 Columbus Closing Costs</v>
          </cell>
          <cell r="B291">
            <v>18171.150000000001</v>
          </cell>
        </row>
        <row r="292">
          <cell r="A292" t="str">
            <v>943 Columbus Construction</v>
          </cell>
          <cell r="B292">
            <v>3750</v>
          </cell>
        </row>
        <row r="293">
          <cell r="A293" t="str">
            <v>943 Columbus Purchase Price</v>
          </cell>
          <cell r="B293">
            <v>200000</v>
          </cell>
        </row>
        <row r="294">
          <cell r="A294" t="str">
            <v>Total 943 Columbus</v>
          </cell>
          <cell r="B294">
            <v>232147.21</v>
          </cell>
        </row>
        <row r="295">
          <cell r="A295" t="str">
            <v>I1 Shirley Lane</v>
          </cell>
          <cell r="B295"/>
        </row>
        <row r="296">
          <cell r="A296" t="str">
            <v>I1 Shirley Lane Closing Costs</v>
          </cell>
          <cell r="B296">
            <v>0</v>
          </cell>
        </row>
        <row r="297">
          <cell r="A297" t="str">
            <v>I1 Shirley Lane Construction</v>
          </cell>
          <cell r="B297">
            <v>0</v>
          </cell>
        </row>
        <row r="298">
          <cell r="A298" t="str">
            <v>I1 Shirley Lane Holding Costs</v>
          </cell>
          <cell r="B298">
            <v>0</v>
          </cell>
        </row>
        <row r="299">
          <cell r="A299" t="str">
            <v>I1 Shirley Lane Purchase Price</v>
          </cell>
          <cell r="B299">
            <v>0</v>
          </cell>
        </row>
        <row r="300">
          <cell r="A300" t="str">
            <v>Total I1 Shirley Lane</v>
          </cell>
          <cell r="B300">
            <v>0</v>
          </cell>
        </row>
        <row r="301">
          <cell r="A301" t="str">
            <v>Total Flips</v>
          </cell>
          <cell r="B301">
            <v>8951669.7200000007</v>
          </cell>
        </row>
        <row r="302">
          <cell r="A302" t="str">
            <v>Total PROPERTIES</v>
          </cell>
          <cell r="B302">
            <v>8951669.7200000007</v>
          </cell>
        </row>
        <row r="303">
          <cell r="A303" t="str">
            <v>Total Inventory Asset</v>
          </cell>
          <cell r="B303">
            <v>8951669.7200000007</v>
          </cell>
        </row>
        <row r="304">
          <cell r="A304" t="str">
            <v>Loans to Others</v>
          </cell>
          <cell r="B304"/>
        </row>
        <row r="305">
          <cell r="A305" t="str">
            <v>Loan - SureMessenger</v>
          </cell>
          <cell r="B305">
            <v>0</v>
          </cell>
        </row>
        <row r="306">
          <cell r="A306" t="str">
            <v>Loan Community Keepers</v>
          </cell>
          <cell r="B306">
            <v>13000</v>
          </cell>
        </row>
        <row r="307">
          <cell r="A307" t="str">
            <v>Max Spann Deposit</v>
          </cell>
          <cell r="B307">
            <v>20000</v>
          </cell>
        </row>
        <row r="308">
          <cell r="A308" t="str">
            <v>Rosetta Loan</v>
          </cell>
          <cell r="B308">
            <v>2500</v>
          </cell>
        </row>
        <row r="309">
          <cell r="A309" t="str">
            <v>Shawn Raily - Loan</v>
          </cell>
          <cell r="B309">
            <v>0</v>
          </cell>
        </row>
        <row r="310">
          <cell r="A310" t="str">
            <v>Steven 52 Annabelle</v>
          </cell>
          <cell r="B310">
            <v>800</v>
          </cell>
        </row>
        <row r="311">
          <cell r="A311" t="str">
            <v>Total Loans to Others</v>
          </cell>
          <cell r="B311">
            <v>36300</v>
          </cell>
        </row>
        <row r="312">
          <cell r="A312" t="str">
            <v>Prepaid Deposits on Properties</v>
          </cell>
          <cell r="B312">
            <v>1500</v>
          </cell>
        </row>
        <row r="313">
          <cell r="A313" t="str">
            <v>EMD - 1007 Southard</v>
          </cell>
          <cell r="B313">
            <v>0</v>
          </cell>
        </row>
        <row r="314">
          <cell r="A314" t="str">
            <v>EMD - 1017 W 5th</v>
          </cell>
          <cell r="B314">
            <v>5000</v>
          </cell>
        </row>
        <row r="315">
          <cell r="A315" t="str">
            <v>EMD - 103 Taylor St</v>
          </cell>
          <cell r="B315">
            <v>0</v>
          </cell>
        </row>
        <row r="316">
          <cell r="A316" t="str">
            <v>EMD - 1055 Lalor St</v>
          </cell>
          <cell r="B316">
            <v>0</v>
          </cell>
        </row>
        <row r="317">
          <cell r="A317" t="str">
            <v>EMD - 1061 Lakeshore Dr</v>
          </cell>
          <cell r="B317">
            <v>10000</v>
          </cell>
        </row>
        <row r="318">
          <cell r="A318" t="str">
            <v>EMD - 119 Buttonwood St</v>
          </cell>
          <cell r="B318">
            <v>0</v>
          </cell>
        </row>
        <row r="319">
          <cell r="A319" t="str">
            <v>EMD - 124 Federal Ave</v>
          </cell>
          <cell r="B319">
            <v>1000</v>
          </cell>
        </row>
        <row r="320">
          <cell r="A320" t="str">
            <v>EMD - 132 Keswick Dr</v>
          </cell>
          <cell r="B320">
            <v>0</v>
          </cell>
        </row>
        <row r="321">
          <cell r="A321" t="str">
            <v>EMD - 154 Lennox Ave</v>
          </cell>
          <cell r="B321">
            <v>0</v>
          </cell>
        </row>
        <row r="322">
          <cell r="A322" t="str">
            <v>EMD - 161 Joan Terrace</v>
          </cell>
          <cell r="B322">
            <v>0</v>
          </cell>
        </row>
        <row r="323">
          <cell r="A323" t="str">
            <v>EMD - 17 Landing St</v>
          </cell>
          <cell r="B323">
            <v>500</v>
          </cell>
        </row>
        <row r="324">
          <cell r="A324" t="str">
            <v>EMD - 174 Highland Ave</v>
          </cell>
          <cell r="B324">
            <v>0</v>
          </cell>
        </row>
        <row r="325">
          <cell r="A325" t="str">
            <v>EMD - 18 Abbott Farm</v>
          </cell>
          <cell r="B325">
            <v>1500</v>
          </cell>
        </row>
        <row r="326">
          <cell r="A326" t="str">
            <v>EMD - 19 Parkside</v>
          </cell>
          <cell r="B326">
            <v>0</v>
          </cell>
        </row>
        <row r="327">
          <cell r="A327" t="str">
            <v>EMD - 2 Nordacs</v>
          </cell>
          <cell r="B327">
            <v>0</v>
          </cell>
        </row>
        <row r="328">
          <cell r="A328" t="str">
            <v>EMD - 200 Willow</v>
          </cell>
          <cell r="B328">
            <v>-1000</v>
          </cell>
        </row>
        <row r="329">
          <cell r="A329" t="str">
            <v>EMD - 202 N Wildwood</v>
          </cell>
          <cell r="B329">
            <v>500</v>
          </cell>
        </row>
        <row r="330">
          <cell r="A330" t="str">
            <v>EMD - 2030 Liberty</v>
          </cell>
          <cell r="B330">
            <v>0</v>
          </cell>
        </row>
        <row r="331">
          <cell r="A331" t="str">
            <v>EMD - 21 Donald Dr</v>
          </cell>
          <cell r="B331">
            <v>0</v>
          </cell>
        </row>
        <row r="332">
          <cell r="A332" t="str">
            <v>EMD - 210 Parkway</v>
          </cell>
          <cell r="B332">
            <v>0</v>
          </cell>
        </row>
        <row r="333">
          <cell r="A333" t="str">
            <v>EMD - 22 Cain Ave</v>
          </cell>
          <cell r="B333">
            <v>0</v>
          </cell>
        </row>
        <row r="334">
          <cell r="A334" t="str">
            <v>EMD - 22 Farrell Ave</v>
          </cell>
          <cell r="B334">
            <v>0</v>
          </cell>
        </row>
        <row r="335">
          <cell r="A335" t="str">
            <v>EMD - 221 E New York Villas</v>
          </cell>
          <cell r="B335">
            <v>5000</v>
          </cell>
        </row>
        <row r="336">
          <cell r="A336" t="str">
            <v>EMD - 2220 Brunswick Ave</v>
          </cell>
          <cell r="B336">
            <v>60000</v>
          </cell>
        </row>
        <row r="337">
          <cell r="A337" t="str">
            <v>EMD - 235 Ellis</v>
          </cell>
          <cell r="B337">
            <v>0</v>
          </cell>
        </row>
        <row r="338">
          <cell r="A338" t="str">
            <v>EMD - 239 Highland Dr</v>
          </cell>
          <cell r="B338">
            <v>0</v>
          </cell>
        </row>
        <row r="339">
          <cell r="A339" t="str">
            <v>EMD - 24 Express</v>
          </cell>
          <cell r="B339">
            <v>0</v>
          </cell>
        </row>
        <row r="340">
          <cell r="A340" t="str">
            <v>EMD - 24 Tyneemouth</v>
          </cell>
          <cell r="B340">
            <v>0</v>
          </cell>
        </row>
        <row r="341">
          <cell r="A341" t="str">
            <v>EMD - 251 Henry</v>
          </cell>
          <cell r="B341">
            <v>0</v>
          </cell>
        </row>
        <row r="342">
          <cell r="A342" t="str">
            <v>EMD - 275 Green St 4 B6</v>
          </cell>
          <cell r="B342">
            <v>0</v>
          </cell>
        </row>
        <row r="343">
          <cell r="A343" t="str">
            <v>EMD - 2862 N Congress</v>
          </cell>
          <cell r="B343">
            <v>500</v>
          </cell>
        </row>
        <row r="344">
          <cell r="A344" t="str">
            <v>EMD - 30 Poplar St</v>
          </cell>
          <cell r="B344">
            <v>1000</v>
          </cell>
        </row>
        <row r="345">
          <cell r="A345" t="str">
            <v>EMD - 30 Vine St</v>
          </cell>
          <cell r="B345">
            <v>0</v>
          </cell>
        </row>
        <row r="346">
          <cell r="A346" t="str">
            <v>EMD - 314 9th St</v>
          </cell>
          <cell r="B346">
            <v>0</v>
          </cell>
        </row>
        <row r="347">
          <cell r="A347" t="str">
            <v>EMD - 324 St Mary St</v>
          </cell>
          <cell r="B347">
            <v>0</v>
          </cell>
        </row>
        <row r="348">
          <cell r="A348" t="str">
            <v>EMD - 33 E 4th St</v>
          </cell>
          <cell r="B348">
            <v>0</v>
          </cell>
        </row>
        <row r="349">
          <cell r="A349" t="str">
            <v>EMD - 343 Elm St</v>
          </cell>
          <cell r="B349">
            <v>0</v>
          </cell>
        </row>
        <row r="350">
          <cell r="A350" t="str">
            <v>EMD - 348-350 Farnsworth Ave</v>
          </cell>
          <cell r="B350">
            <v>4516.8900000000003</v>
          </cell>
        </row>
        <row r="351">
          <cell r="A351" t="str">
            <v>EMD - 38 Marvin Ct</v>
          </cell>
          <cell r="B351">
            <v>18125</v>
          </cell>
        </row>
        <row r="352">
          <cell r="A352" t="str">
            <v>EMD - 4 Goat Hill</v>
          </cell>
          <cell r="B352">
            <v>0</v>
          </cell>
        </row>
        <row r="353">
          <cell r="A353" t="str">
            <v>EMD - 4 Huron Way</v>
          </cell>
          <cell r="B353">
            <v>0</v>
          </cell>
        </row>
        <row r="354">
          <cell r="A354" t="str">
            <v>EMD - 41 Bruce Park</v>
          </cell>
          <cell r="B354">
            <v>0</v>
          </cell>
        </row>
        <row r="355">
          <cell r="A355" t="str">
            <v>EMD - 41 Lee St</v>
          </cell>
          <cell r="B355">
            <v>0</v>
          </cell>
        </row>
        <row r="356">
          <cell r="A356" t="str">
            <v>EMD - 430 Kossuth St</v>
          </cell>
          <cell r="B356">
            <v>0</v>
          </cell>
        </row>
        <row r="357">
          <cell r="A357" t="str">
            <v>EMD - 434 Newcomb</v>
          </cell>
          <cell r="B357">
            <v>1000</v>
          </cell>
        </row>
        <row r="358">
          <cell r="A358" t="str">
            <v>EMD - 505 Baywyn</v>
          </cell>
          <cell r="B358">
            <v>5000</v>
          </cell>
        </row>
        <row r="359">
          <cell r="A359" t="str">
            <v>EMD - 52 Annabell</v>
          </cell>
          <cell r="B359">
            <v>500</v>
          </cell>
        </row>
        <row r="360">
          <cell r="A360" t="str">
            <v>EMD - 52 Barnt Ave</v>
          </cell>
          <cell r="B360">
            <v>0</v>
          </cell>
        </row>
        <row r="361">
          <cell r="A361" t="str">
            <v>EMD - 54 Ellsworth</v>
          </cell>
          <cell r="B361">
            <v>1000</v>
          </cell>
        </row>
        <row r="362">
          <cell r="A362" t="str">
            <v>EMD - 586 Chestnut</v>
          </cell>
          <cell r="B362">
            <v>0</v>
          </cell>
        </row>
        <row r="363">
          <cell r="A363" t="str">
            <v>EMD - 6 Pinehurst</v>
          </cell>
          <cell r="B363">
            <v>0</v>
          </cell>
        </row>
        <row r="364">
          <cell r="A364" t="str">
            <v>EMD - 6124 Camden Ave</v>
          </cell>
          <cell r="B364">
            <v>0</v>
          </cell>
        </row>
        <row r="365">
          <cell r="A365" t="str">
            <v>EMD - 640 Summit</v>
          </cell>
          <cell r="B365">
            <v>10000</v>
          </cell>
        </row>
        <row r="366">
          <cell r="A366" t="str">
            <v>EMD - 68 Richter Rd</v>
          </cell>
          <cell r="B366">
            <v>5000</v>
          </cell>
        </row>
        <row r="367">
          <cell r="A367" t="str">
            <v>EMD - 72 New Cedar Ln</v>
          </cell>
          <cell r="B367">
            <v>0</v>
          </cell>
        </row>
        <row r="368">
          <cell r="A368" t="str">
            <v>EMD - 900 Hunters Blvd</v>
          </cell>
          <cell r="B368">
            <v>1000</v>
          </cell>
        </row>
        <row r="369">
          <cell r="A369" t="str">
            <v>EMD - 912 Adeline St</v>
          </cell>
          <cell r="B369">
            <v>0</v>
          </cell>
        </row>
        <row r="370">
          <cell r="A370" t="str">
            <v>EMD - 943 Columbus Ave</v>
          </cell>
          <cell r="B370">
            <v>0</v>
          </cell>
        </row>
        <row r="371">
          <cell r="A371" t="str">
            <v>EMD - Hunt Ave Twp Lots</v>
          </cell>
          <cell r="B371">
            <v>10000</v>
          </cell>
        </row>
        <row r="372">
          <cell r="A372" t="str">
            <v>EMD 1112 Radcliffe</v>
          </cell>
          <cell r="B372">
            <v>500</v>
          </cell>
        </row>
        <row r="373">
          <cell r="A373" t="str">
            <v>EMD 123 Clover St</v>
          </cell>
          <cell r="B373">
            <v>1000</v>
          </cell>
        </row>
        <row r="374">
          <cell r="A374" t="str">
            <v>EMD 1447 S Clinton</v>
          </cell>
          <cell r="B374">
            <v>1000</v>
          </cell>
        </row>
        <row r="375">
          <cell r="A375" t="str">
            <v>EMD 201 Parkway</v>
          </cell>
          <cell r="B375">
            <v>5000</v>
          </cell>
        </row>
        <row r="376">
          <cell r="A376" t="str">
            <v>EMD 208 Parkway</v>
          </cell>
          <cell r="B376">
            <v>0</v>
          </cell>
        </row>
        <row r="377">
          <cell r="A377" t="str">
            <v>EMD 2163 Harbour Dr</v>
          </cell>
          <cell r="B377">
            <v>0</v>
          </cell>
        </row>
        <row r="378">
          <cell r="A378" t="str">
            <v>EMD 224-O Nassau Rd</v>
          </cell>
          <cell r="B378">
            <v>1000</v>
          </cell>
        </row>
        <row r="379">
          <cell r="A379" t="str">
            <v>EMD 232 Andrew</v>
          </cell>
          <cell r="B379">
            <v>5000</v>
          </cell>
        </row>
        <row r="380">
          <cell r="A380" t="str">
            <v>EMD 24 Longboat</v>
          </cell>
          <cell r="B380">
            <v>0</v>
          </cell>
        </row>
        <row r="381">
          <cell r="A381" t="str">
            <v>EMD 249 Mercer St</v>
          </cell>
          <cell r="B381">
            <v>0</v>
          </cell>
        </row>
        <row r="382">
          <cell r="A382" t="str">
            <v>EMD 2502 Elberta</v>
          </cell>
          <cell r="B382">
            <v>1000</v>
          </cell>
        </row>
        <row r="383">
          <cell r="A383" t="str">
            <v>EMD 3756 King Ave</v>
          </cell>
          <cell r="B383">
            <v>0</v>
          </cell>
        </row>
        <row r="384">
          <cell r="A384" t="str">
            <v>EMD 43 Ellsworth</v>
          </cell>
          <cell r="B384">
            <v>1000</v>
          </cell>
        </row>
        <row r="385">
          <cell r="A385" t="str">
            <v>EMD 43 Park</v>
          </cell>
          <cell r="B385">
            <v>0</v>
          </cell>
        </row>
        <row r="386">
          <cell r="A386" t="str">
            <v>EMD 452 Newkirk Ave</v>
          </cell>
          <cell r="B386">
            <v>1000</v>
          </cell>
        </row>
        <row r="387">
          <cell r="A387" t="str">
            <v>EMD 46 Sussex Dr</v>
          </cell>
          <cell r="B387">
            <v>0</v>
          </cell>
        </row>
        <row r="388">
          <cell r="A388" t="str">
            <v>EMD 474-480 Riverside Ave</v>
          </cell>
          <cell r="B388">
            <v>0</v>
          </cell>
        </row>
        <row r="389">
          <cell r="A389" t="str">
            <v>EMD 5 Edwards</v>
          </cell>
          <cell r="B389">
            <v>0</v>
          </cell>
        </row>
        <row r="390">
          <cell r="A390" t="str">
            <v>EMD 5 Fell St</v>
          </cell>
          <cell r="B390">
            <v>500</v>
          </cell>
        </row>
        <row r="391">
          <cell r="A391" t="str">
            <v>EMD 505 Norway Ave</v>
          </cell>
          <cell r="B391">
            <v>5292.31</v>
          </cell>
        </row>
        <row r="392">
          <cell r="A392" t="str">
            <v>EMD 53 W Park Ave</v>
          </cell>
          <cell r="B392">
            <v>0</v>
          </cell>
        </row>
        <row r="393">
          <cell r="A393" t="str">
            <v>EMD 55 E Paul</v>
          </cell>
          <cell r="B393">
            <v>1000</v>
          </cell>
        </row>
        <row r="394">
          <cell r="A394" t="str">
            <v>EMD 6 Tarragon</v>
          </cell>
          <cell r="B394">
            <v>1000</v>
          </cell>
        </row>
        <row r="395">
          <cell r="A395" t="str">
            <v>EMD 607 Benton Ln</v>
          </cell>
          <cell r="B395">
            <v>0</v>
          </cell>
        </row>
        <row r="396">
          <cell r="A396" t="str">
            <v>EMD 705 Escrow Remax</v>
          </cell>
          <cell r="B396">
            <v>15011</v>
          </cell>
        </row>
        <row r="397">
          <cell r="A397" t="str">
            <v>EMD 75 Haddon</v>
          </cell>
          <cell r="B397">
            <v>0</v>
          </cell>
        </row>
        <row r="398">
          <cell r="A398" t="str">
            <v>EMD 792 Westfield Dr</v>
          </cell>
          <cell r="B398">
            <v>0</v>
          </cell>
        </row>
        <row r="399">
          <cell r="A399" t="str">
            <v>EMD 80 Barricklo</v>
          </cell>
          <cell r="B399">
            <v>1000</v>
          </cell>
        </row>
        <row r="400">
          <cell r="A400" t="str">
            <v>EMD 815 Parkside</v>
          </cell>
          <cell r="B400">
            <v>0</v>
          </cell>
        </row>
        <row r="401">
          <cell r="A401" t="str">
            <v>EMD 8G Twin Rivers Drive</v>
          </cell>
          <cell r="B401">
            <v>0</v>
          </cell>
        </row>
        <row r="402">
          <cell r="A402" t="str">
            <v>EMD 900 Jacksonville</v>
          </cell>
          <cell r="B402">
            <v>1500</v>
          </cell>
        </row>
        <row r="403">
          <cell r="A403" t="str">
            <v>EMD 921 Beatty St</v>
          </cell>
          <cell r="B403">
            <v>500</v>
          </cell>
        </row>
        <row r="404">
          <cell r="A404" t="str">
            <v>EMD I1 Shirley Ln</v>
          </cell>
          <cell r="B404">
            <v>0</v>
          </cell>
        </row>
        <row r="405">
          <cell r="A405" t="str">
            <v>EMD Misc</v>
          </cell>
          <cell r="B405">
            <v>0</v>
          </cell>
        </row>
        <row r="406">
          <cell r="A406" t="str">
            <v>Total Prepaid Deposits on Properties</v>
          </cell>
          <cell r="B406">
            <v>183945.2</v>
          </cell>
        </row>
        <row r="407">
          <cell r="A407" t="str">
            <v>Property Escrow</v>
          </cell>
          <cell r="B407">
            <v>951.02</v>
          </cell>
        </row>
        <row r="408">
          <cell r="A408" t="str">
            <v>147 7th Ave Escrow</v>
          </cell>
          <cell r="B408">
            <v>0</v>
          </cell>
        </row>
        <row r="409">
          <cell r="A409" t="str">
            <v>15 N Westfield Escrow</v>
          </cell>
          <cell r="B409">
            <v>0</v>
          </cell>
        </row>
        <row r="410">
          <cell r="A410" t="str">
            <v>17 Bristol Escrow</v>
          </cell>
          <cell r="B410">
            <v>0</v>
          </cell>
        </row>
        <row r="411">
          <cell r="A411" t="str">
            <v>19 Dogwood Escrow</v>
          </cell>
          <cell r="B411">
            <v>450</v>
          </cell>
        </row>
        <row r="412">
          <cell r="A412" t="str">
            <v>23 Dixmont Escrow</v>
          </cell>
          <cell r="B412">
            <v>200</v>
          </cell>
        </row>
        <row r="413">
          <cell r="A413" t="str">
            <v>5 Edwards Escrow</v>
          </cell>
          <cell r="B413">
            <v>350</v>
          </cell>
        </row>
        <row r="414">
          <cell r="A414" t="str">
            <v>55 E Paul Escrow</v>
          </cell>
          <cell r="B414">
            <v>0</v>
          </cell>
        </row>
        <row r="415">
          <cell r="A415" t="str">
            <v>710 Spruce Escrow</v>
          </cell>
          <cell r="B415">
            <v>0</v>
          </cell>
        </row>
        <row r="416">
          <cell r="A416" t="str">
            <v>792 WestfieldEscrow</v>
          </cell>
          <cell r="B416">
            <v>0</v>
          </cell>
        </row>
        <row r="417">
          <cell r="A417" t="str">
            <v>Blackwood 7 Tax and Insurance Escrow</v>
          </cell>
          <cell r="B417">
            <v>27644.95</v>
          </cell>
        </row>
        <row r="418">
          <cell r="A418" t="str">
            <v>Blackwood 8 Loan Tax and Insurance Escrow</v>
          </cell>
          <cell r="B418">
            <v>28470.05</v>
          </cell>
        </row>
        <row r="419">
          <cell r="A419" t="str">
            <v>Blackwood 9 Loan Tax and Insurance Escrow</v>
          </cell>
          <cell r="B419">
            <v>25267.52</v>
          </cell>
        </row>
        <row r="420">
          <cell r="A420" t="str">
            <v>Total Property Escrow</v>
          </cell>
          <cell r="B420">
            <v>83333.539999999994</v>
          </cell>
        </row>
        <row r="421">
          <cell r="A421" t="str">
            <v>Undeposited Funds</v>
          </cell>
          <cell r="B421">
            <v>0</v>
          </cell>
        </row>
        <row r="422">
          <cell r="A422" t="str">
            <v>Total Other Current Assets</v>
          </cell>
          <cell r="B422">
            <v>9255248.4600000009</v>
          </cell>
        </row>
        <row r="423">
          <cell r="A423" t="str">
            <v>Total Current Assets</v>
          </cell>
          <cell r="B423">
            <v>9451394.5999999996</v>
          </cell>
        </row>
        <row r="424">
          <cell r="A424" t="str">
            <v>Fixed Assets</v>
          </cell>
          <cell r="B424"/>
        </row>
        <row r="425">
          <cell r="A425" t="str">
            <v>Company Vehicle</v>
          </cell>
          <cell r="B425">
            <v>14156.5</v>
          </cell>
        </row>
        <row r="426">
          <cell r="A426" t="str">
            <v>Fixed Assets</v>
          </cell>
          <cell r="B426"/>
        </row>
        <row r="427">
          <cell r="A427" t="str">
            <v>Accumulated Depreciation</v>
          </cell>
          <cell r="B427">
            <v>-272211.8</v>
          </cell>
        </row>
        <row r="428">
          <cell r="A428" t="str">
            <v>Rental Property</v>
          </cell>
          <cell r="B428">
            <v>0</v>
          </cell>
        </row>
        <row r="429">
          <cell r="A429" t="str">
            <v>1007 Southard</v>
          </cell>
          <cell r="B429"/>
        </row>
        <row r="430">
          <cell r="A430" t="str">
            <v>1007 Southard Closing Costs</v>
          </cell>
          <cell r="B430">
            <v>8738.17</v>
          </cell>
        </row>
        <row r="431">
          <cell r="A431" t="str">
            <v>1007 Southard Purchase Price</v>
          </cell>
          <cell r="B431">
            <v>80000</v>
          </cell>
        </row>
        <row r="432">
          <cell r="A432" t="str">
            <v>Total 1007 Southard</v>
          </cell>
          <cell r="B432">
            <v>88738.17</v>
          </cell>
        </row>
        <row r="433">
          <cell r="A433" t="str">
            <v>106 Race St</v>
          </cell>
          <cell r="B433">
            <v>133.28</v>
          </cell>
        </row>
        <row r="434">
          <cell r="A434" t="str">
            <v>106 Race St Capital Repairs</v>
          </cell>
          <cell r="B434">
            <v>17770</v>
          </cell>
        </row>
        <row r="435">
          <cell r="A435" t="str">
            <v>106 Race St Closing Cost</v>
          </cell>
          <cell r="B435">
            <v>8006.65</v>
          </cell>
        </row>
        <row r="436">
          <cell r="A436" t="str">
            <v>106 Race St Purchase Price</v>
          </cell>
          <cell r="B436">
            <v>85000</v>
          </cell>
        </row>
        <row r="437">
          <cell r="A437" t="str">
            <v>Total 106 Race St</v>
          </cell>
          <cell r="B437">
            <v>110909.93</v>
          </cell>
        </row>
        <row r="438">
          <cell r="A438" t="str">
            <v>106 Virginia Ave</v>
          </cell>
          <cell r="B438">
            <v>995</v>
          </cell>
        </row>
        <row r="439">
          <cell r="A439" t="str">
            <v>106 Virginia Ave Capital Repairs</v>
          </cell>
          <cell r="B439">
            <v>47100</v>
          </cell>
        </row>
        <row r="440">
          <cell r="A440" t="str">
            <v>106 Virginia Ave Closing Costs</v>
          </cell>
          <cell r="B440">
            <v>11054.39</v>
          </cell>
        </row>
        <row r="441">
          <cell r="A441" t="str">
            <v>106 Virginia Ave Purchase Price</v>
          </cell>
          <cell r="B441">
            <v>149100</v>
          </cell>
        </row>
        <row r="442">
          <cell r="A442" t="str">
            <v>Total 106 Virginia Ave</v>
          </cell>
          <cell r="B442">
            <v>208249.39</v>
          </cell>
        </row>
        <row r="443">
          <cell r="A443" t="str">
            <v>127 Randall Ave</v>
          </cell>
          <cell r="B443"/>
        </row>
        <row r="444">
          <cell r="A444" t="str">
            <v>127 Randall Ave Capital Repairs</v>
          </cell>
          <cell r="B444">
            <v>14560</v>
          </cell>
        </row>
        <row r="445">
          <cell r="A445" t="str">
            <v>127 Randall Ave Closing Costs</v>
          </cell>
          <cell r="B445">
            <v>8345.64</v>
          </cell>
        </row>
        <row r="446">
          <cell r="A446" t="str">
            <v>127 Randall Ave Purchase Price</v>
          </cell>
          <cell r="B446">
            <v>100000</v>
          </cell>
        </row>
        <row r="447">
          <cell r="A447" t="str">
            <v>Total 127 Randall Ave</v>
          </cell>
          <cell r="B447">
            <v>122905.64</v>
          </cell>
        </row>
        <row r="448">
          <cell r="A448" t="str">
            <v>1328 William St</v>
          </cell>
          <cell r="B448"/>
        </row>
        <row r="449">
          <cell r="A449" t="str">
            <v>1328 William St Capital Repairs</v>
          </cell>
          <cell r="B449">
            <v>45138.82</v>
          </cell>
        </row>
        <row r="450">
          <cell r="A450" t="str">
            <v>1328 William St Closing Costs</v>
          </cell>
          <cell r="B450">
            <v>11778.46</v>
          </cell>
        </row>
        <row r="451">
          <cell r="A451" t="str">
            <v>1328 Williams St Purchase Price</v>
          </cell>
          <cell r="B451">
            <v>87000</v>
          </cell>
        </row>
        <row r="452">
          <cell r="A452" t="str">
            <v>1328 Williams St Assignment Fee</v>
          </cell>
          <cell r="B452">
            <v>52000</v>
          </cell>
        </row>
        <row r="453">
          <cell r="A453" t="str">
            <v>Total 1328 William St</v>
          </cell>
          <cell r="B453">
            <v>195917.28</v>
          </cell>
        </row>
        <row r="454">
          <cell r="A454" t="str">
            <v>15 N Trent</v>
          </cell>
          <cell r="B454"/>
        </row>
        <row r="455">
          <cell r="A455" t="str">
            <v>15 N Trent Capital Repairs</v>
          </cell>
          <cell r="B455">
            <v>32199.3</v>
          </cell>
        </row>
        <row r="456">
          <cell r="A456" t="str">
            <v>15 N Trent Closing Costs</v>
          </cell>
          <cell r="B456">
            <v>1823.94</v>
          </cell>
        </row>
        <row r="457">
          <cell r="A457" t="str">
            <v>15 N Trent Purchase Price</v>
          </cell>
          <cell r="B457">
            <v>62500</v>
          </cell>
        </row>
        <row r="458">
          <cell r="A458" t="str">
            <v>Total 15 N Trent</v>
          </cell>
          <cell r="B458">
            <v>96523.24</v>
          </cell>
        </row>
        <row r="459">
          <cell r="A459" t="str">
            <v>2 Nordacs</v>
          </cell>
          <cell r="B459"/>
        </row>
        <row r="460">
          <cell r="A460" t="str">
            <v>2 Nordacs Closing Costs</v>
          </cell>
          <cell r="B460">
            <v>8534.5</v>
          </cell>
        </row>
        <row r="461">
          <cell r="A461" t="str">
            <v>2 Nordacs Purchase Price</v>
          </cell>
          <cell r="B461">
            <v>120000</v>
          </cell>
        </row>
        <row r="462">
          <cell r="A462" t="str">
            <v>Total 2 Nordacs</v>
          </cell>
          <cell r="B462">
            <v>128534.5</v>
          </cell>
        </row>
        <row r="463">
          <cell r="A463" t="str">
            <v>20 N Westfield</v>
          </cell>
          <cell r="B463">
            <v>0</v>
          </cell>
        </row>
        <row r="464">
          <cell r="A464" t="str">
            <v>20 N Westfield Capital Repairs</v>
          </cell>
          <cell r="B464">
            <v>32385</v>
          </cell>
        </row>
        <row r="465">
          <cell r="A465" t="str">
            <v>20 N Westfield Closing Costs</v>
          </cell>
          <cell r="B465">
            <v>2820.97</v>
          </cell>
        </row>
        <row r="466">
          <cell r="A466" t="str">
            <v>20 N Westfield Purchase Price</v>
          </cell>
          <cell r="B466">
            <v>31023.62</v>
          </cell>
        </row>
        <row r="467">
          <cell r="A467" t="str">
            <v>Total 20 N Westfield</v>
          </cell>
          <cell r="B467">
            <v>66229.59</v>
          </cell>
        </row>
        <row r="468">
          <cell r="A468" t="str">
            <v>201 Parkway Ave</v>
          </cell>
          <cell r="B468"/>
        </row>
        <row r="469">
          <cell r="A469" t="str">
            <v>201 Parkway Ave Capital Repairs</v>
          </cell>
          <cell r="B469">
            <v>40635</v>
          </cell>
        </row>
        <row r="470">
          <cell r="A470" t="str">
            <v>201 Parkway Ave Closing Costs</v>
          </cell>
          <cell r="B470">
            <v>9101.09</v>
          </cell>
        </row>
        <row r="471">
          <cell r="A471" t="str">
            <v>201 Parkway Ave Purchase Price</v>
          </cell>
          <cell r="B471">
            <v>90000</v>
          </cell>
        </row>
        <row r="472">
          <cell r="A472" t="str">
            <v>Total 201 Parkway Ave</v>
          </cell>
          <cell r="B472">
            <v>139736.09</v>
          </cell>
        </row>
        <row r="473">
          <cell r="A473" t="str">
            <v>2030 Liberty</v>
          </cell>
          <cell r="B473"/>
        </row>
        <row r="474">
          <cell r="A474" t="str">
            <v>2030 Liberty Capital Repairs</v>
          </cell>
          <cell r="B474">
            <v>38060</v>
          </cell>
        </row>
        <row r="475">
          <cell r="A475" t="str">
            <v>2030 Liberty Closing Costs</v>
          </cell>
          <cell r="B475">
            <v>10717.2</v>
          </cell>
        </row>
        <row r="476">
          <cell r="A476" t="str">
            <v>2030 Liberty Purchase Price</v>
          </cell>
          <cell r="B476">
            <v>185000</v>
          </cell>
        </row>
        <row r="477">
          <cell r="A477" t="str">
            <v>Total 2030 Liberty</v>
          </cell>
          <cell r="B477">
            <v>233777.2</v>
          </cell>
        </row>
        <row r="478">
          <cell r="A478" t="str">
            <v>208 Parkway Ave</v>
          </cell>
          <cell r="B478"/>
        </row>
        <row r="479">
          <cell r="A479" t="str">
            <v>208 Parkway Ave Capital Repairs</v>
          </cell>
          <cell r="B479">
            <v>68898</v>
          </cell>
        </row>
        <row r="480">
          <cell r="A480" t="str">
            <v>208 Parkway Ave Closing Costs</v>
          </cell>
          <cell r="B480">
            <v>6784</v>
          </cell>
        </row>
        <row r="481">
          <cell r="A481" t="str">
            <v>208 Parkway Ave Holding Costs</v>
          </cell>
          <cell r="B481">
            <v>5092.4799999999996</v>
          </cell>
        </row>
        <row r="482">
          <cell r="A482" t="str">
            <v>208 Parkway Ave Purchase Price</v>
          </cell>
          <cell r="B482">
            <v>175000</v>
          </cell>
        </row>
        <row r="483">
          <cell r="A483" t="str">
            <v>Total 208 Parkway Ave</v>
          </cell>
          <cell r="B483">
            <v>255774.48</v>
          </cell>
        </row>
        <row r="484">
          <cell r="A484" t="str">
            <v>209 Hillcrest Ave</v>
          </cell>
          <cell r="B484">
            <v>1950</v>
          </cell>
        </row>
        <row r="485">
          <cell r="A485" t="str">
            <v>209 Hillcrest Ave Closing Costs</v>
          </cell>
          <cell r="B485">
            <v>9497.3700000000008</v>
          </cell>
        </row>
        <row r="486">
          <cell r="A486" t="str">
            <v>209 Hillcrest Ave Purchase Price</v>
          </cell>
          <cell r="B486">
            <v>135000</v>
          </cell>
        </row>
        <row r="487">
          <cell r="A487" t="str">
            <v>Total 209 Hillcrest Ave</v>
          </cell>
          <cell r="B487">
            <v>146447.37</v>
          </cell>
        </row>
        <row r="488">
          <cell r="A488" t="str">
            <v>209 Woodlawn</v>
          </cell>
          <cell r="B488">
            <v>0</v>
          </cell>
        </row>
        <row r="489">
          <cell r="A489" t="str">
            <v>209 Woodlawn Capital Repairs</v>
          </cell>
          <cell r="B489">
            <v>130353.25</v>
          </cell>
        </row>
        <row r="490">
          <cell r="A490" t="str">
            <v>209 Woodlawn Closing Closts</v>
          </cell>
          <cell r="B490">
            <v>11817.76</v>
          </cell>
        </row>
        <row r="491">
          <cell r="A491" t="str">
            <v>209 Woodlawn Purchase Price</v>
          </cell>
          <cell r="B491">
            <v>80000</v>
          </cell>
        </row>
        <row r="492">
          <cell r="A492" t="str">
            <v>Total 209 Woodlawn</v>
          </cell>
          <cell r="B492">
            <v>222171.01</v>
          </cell>
        </row>
        <row r="493">
          <cell r="A493" t="str">
            <v>211 Parkway Ave</v>
          </cell>
          <cell r="B493">
            <v>276.95999999999998</v>
          </cell>
        </row>
        <row r="494">
          <cell r="A494" t="str">
            <v>211 Parkway Ave Capital Repairs</v>
          </cell>
          <cell r="B494">
            <v>2947</v>
          </cell>
        </row>
        <row r="495">
          <cell r="A495" t="str">
            <v>211 Parkway Ave Closing Costs</v>
          </cell>
          <cell r="B495">
            <v>7792.79</v>
          </cell>
        </row>
        <row r="496">
          <cell r="A496" t="str">
            <v>211 Parkway Ave Holding Costs</v>
          </cell>
          <cell r="B496">
            <v>0</v>
          </cell>
        </row>
        <row r="497">
          <cell r="A497" t="str">
            <v>211 Parkway Ave Purchase Price</v>
          </cell>
          <cell r="B497">
            <v>65000</v>
          </cell>
        </row>
        <row r="498">
          <cell r="A498" t="str">
            <v>Total 211 Parkway Ave</v>
          </cell>
          <cell r="B498">
            <v>76016.75</v>
          </cell>
        </row>
        <row r="499">
          <cell r="A499" t="str">
            <v>212 Silver</v>
          </cell>
          <cell r="B499"/>
        </row>
        <row r="500">
          <cell r="A500" t="str">
            <v>212 Silver Capital Repairs</v>
          </cell>
          <cell r="B500">
            <v>33604.47</v>
          </cell>
        </row>
        <row r="501">
          <cell r="A501" t="str">
            <v>212 Silver Purchase Price</v>
          </cell>
          <cell r="B501">
            <v>130000</v>
          </cell>
        </row>
        <row r="502">
          <cell r="A502" t="str">
            <v>Total 212 Silver</v>
          </cell>
          <cell r="B502">
            <v>163604.47</v>
          </cell>
        </row>
        <row r="503">
          <cell r="A503" t="str">
            <v>230 Garfield</v>
          </cell>
          <cell r="B503">
            <v>0</v>
          </cell>
        </row>
        <row r="504">
          <cell r="A504" t="str">
            <v>230 Garfield Capital Repairs</v>
          </cell>
          <cell r="B504">
            <v>38750</v>
          </cell>
        </row>
        <row r="505">
          <cell r="A505" t="str">
            <v>230 Garfield Purchase Price</v>
          </cell>
          <cell r="B505">
            <v>45000</v>
          </cell>
        </row>
        <row r="506">
          <cell r="A506" t="str">
            <v>Total 230 Garfield</v>
          </cell>
          <cell r="B506">
            <v>83750</v>
          </cell>
        </row>
        <row r="507">
          <cell r="A507" t="str">
            <v>232 Andrew St</v>
          </cell>
          <cell r="B507"/>
        </row>
        <row r="508">
          <cell r="A508" t="str">
            <v>232 Andrew St Capital Repairs</v>
          </cell>
          <cell r="B508">
            <v>31199</v>
          </cell>
        </row>
        <row r="509">
          <cell r="A509" t="str">
            <v>232 Andrew St Closing Costs</v>
          </cell>
          <cell r="B509">
            <v>14513.54</v>
          </cell>
        </row>
        <row r="510">
          <cell r="A510" t="str">
            <v>232 Andrew St Purchase Price</v>
          </cell>
          <cell r="B510">
            <v>240000</v>
          </cell>
        </row>
        <row r="511">
          <cell r="A511" t="str">
            <v>Total 232 Andrew St</v>
          </cell>
          <cell r="B511">
            <v>285712.53999999998</v>
          </cell>
        </row>
        <row r="512">
          <cell r="A512" t="str">
            <v>237 S Walter Ave</v>
          </cell>
          <cell r="B512"/>
        </row>
        <row r="513">
          <cell r="A513" t="str">
            <v>237 S Walter Ave Capital Repairs</v>
          </cell>
          <cell r="B513">
            <v>58110.19</v>
          </cell>
        </row>
        <row r="514">
          <cell r="A514" t="str">
            <v>237 S Walter Ave Closing Costs</v>
          </cell>
          <cell r="B514">
            <v>10072.06</v>
          </cell>
        </row>
        <row r="515">
          <cell r="A515" t="str">
            <v>237 S Walter Ave Purchase Price</v>
          </cell>
          <cell r="B515">
            <v>127000</v>
          </cell>
        </row>
        <row r="516">
          <cell r="A516" t="str">
            <v>Total 237 S Walter Ave</v>
          </cell>
          <cell r="B516">
            <v>195182.25</v>
          </cell>
        </row>
        <row r="517">
          <cell r="A517" t="str">
            <v>238 S Walter</v>
          </cell>
          <cell r="B517"/>
        </row>
        <row r="518">
          <cell r="A518" t="str">
            <v>238 S Walter Capital Repairs</v>
          </cell>
          <cell r="B518">
            <v>28950</v>
          </cell>
        </row>
        <row r="519">
          <cell r="A519" t="str">
            <v>238 S Walter Closing Costs</v>
          </cell>
          <cell r="B519">
            <v>17672.21</v>
          </cell>
        </row>
        <row r="520">
          <cell r="A520" t="str">
            <v>238 S Walter Purchase Price</v>
          </cell>
          <cell r="B520">
            <v>128000</v>
          </cell>
        </row>
        <row r="521">
          <cell r="A521" t="str">
            <v>Total 238 S Walter</v>
          </cell>
          <cell r="B521">
            <v>174622.21</v>
          </cell>
        </row>
        <row r="522">
          <cell r="A522" t="str">
            <v>251 Henry St</v>
          </cell>
          <cell r="B522"/>
        </row>
        <row r="523">
          <cell r="A523" t="str">
            <v>251 Henry St Closing Costs</v>
          </cell>
          <cell r="B523">
            <v>9623.52</v>
          </cell>
        </row>
        <row r="524">
          <cell r="A524" t="str">
            <v>251 Henry St Construction</v>
          </cell>
          <cell r="B524">
            <v>29225</v>
          </cell>
        </row>
        <row r="525">
          <cell r="A525" t="str">
            <v>251 Henry St Holding Costs</v>
          </cell>
          <cell r="B525">
            <v>119.54</v>
          </cell>
        </row>
        <row r="526">
          <cell r="A526" t="str">
            <v>251 Henry St Purchase Price</v>
          </cell>
          <cell r="B526">
            <v>191000</v>
          </cell>
        </row>
        <row r="527">
          <cell r="A527" t="str">
            <v>Total 251 Henry St</v>
          </cell>
          <cell r="B527">
            <v>229968.06</v>
          </cell>
        </row>
        <row r="528">
          <cell r="A528" t="str">
            <v>33 Lafayette Ave</v>
          </cell>
          <cell r="B528"/>
        </row>
        <row r="529">
          <cell r="A529" t="str">
            <v>33 Lafayette Ave Capital Repairs</v>
          </cell>
          <cell r="B529">
            <v>49835</v>
          </cell>
        </row>
        <row r="530">
          <cell r="A530" t="str">
            <v>33 Lafayette Ave Closing Costs</v>
          </cell>
          <cell r="B530">
            <v>10147.98</v>
          </cell>
        </row>
        <row r="531">
          <cell r="A531" t="str">
            <v>33 Lafayette Ave Purchase Price</v>
          </cell>
          <cell r="B531">
            <v>117000</v>
          </cell>
        </row>
        <row r="532">
          <cell r="A532" t="str">
            <v>Total 33 Lafayette Ave</v>
          </cell>
          <cell r="B532">
            <v>176982.98</v>
          </cell>
        </row>
        <row r="533">
          <cell r="A533" t="str">
            <v>335 Berwyn Ave</v>
          </cell>
          <cell r="B533">
            <v>0</v>
          </cell>
        </row>
        <row r="534">
          <cell r="A534" t="str">
            <v>335 Berwyn Ave Capital Repairs</v>
          </cell>
          <cell r="B534">
            <v>46569.05</v>
          </cell>
        </row>
        <row r="535">
          <cell r="A535" t="str">
            <v>335 Berwyn Ave Purchase Price</v>
          </cell>
          <cell r="B535">
            <v>51000</v>
          </cell>
        </row>
        <row r="536">
          <cell r="A536" t="str">
            <v>Total 335 Berwyn Ave</v>
          </cell>
          <cell r="B536">
            <v>97569.05</v>
          </cell>
        </row>
        <row r="537">
          <cell r="A537" t="str">
            <v>338 Gardner</v>
          </cell>
          <cell r="B537"/>
        </row>
        <row r="538">
          <cell r="A538" t="str">
            <v>338 Gardner Capital Repairs</v>
          </cell>
          <cell r="B538">
            <v>38320.1</v>
          </cell>
        </row>
        <row r="539">
          <cell r="A539" t="str">
            <v>338 Gardner Closing Costs</v>
          </cell>
          <cell r="B539">
            <v>7036.43</v>
          </cell>
        </row>
        <row r="540">
          <cell r="A540" t="str">
            <v>338 Gardner Purchase Price</v>
          </cell>
          <cell r="B540">
            <v>92000</v>
          </cell>
        </row>
        <row r="541">
          <cell r="A541" t="str">
            <v>Total 338 Gardner</v>
          </cell>
          <cell r="B541">
            <v>137356.53</v>
          </cell>
        </row>
        <row r="542">
          <cell r="A542" t="str">
            <v>348 - 350 Farnsworth</v>
          </cell>
          <cell r="B542">
            <v>24434.2</v>
          </cell>
        </row>
        <row r="543">
          <cell r="A543" t="str">
            <v>348 - 350 Farnsworth Capital Repairs</v>
          </cell>
          <cell r="B543">
            <v>259909.96</v>
          </cell>
        </row>
        <row r="544">
          <cell r="A544" t="str">
            <v>348 - 350 Farnsworth Closing Costs</v>
          </cell>
          <cell r="B544">
            <v>291469.13</v>
          </cell>
        </row>
        <row r="545">
          <cell r="A545" t="str">
            <v>348 - 350 Farnsworth Purchase Price</v>
          </cell>
          <cell r="B545">
            <v>475000</v>
          </cell>
        </row>
        <row r="546">
          <cell r="A546" t="str">
            <v>Total 348 - 350 Farnsworth</v>
          </cell>
          <cell r="B546">
            <v>1050813.29</v>
          </cell>
        </row>
        <row r="547">
          <cell r="A547" t="str">
            <v>4 Hurley St</v>
          </cell>
          <cell r="B547"/>
        </row>
        <row r="548">
          <cell r="A548" t="str">
            <v>4 Hurley St Capital Repairs</v>
          </cell>
          <cell r="B548">
            <v>36750</v>
          </cell>
        </row>
        <row r="549">
          <cell r="A549" t="str">
            <v>4 Hurley St Closing Costs</v>
          </cell>
          <cell r="B549">
            <v>7030.8</v>
          </cell>
        </row>
        <row r="550">
          <cell r="A550" t="str">
            <v>4 Hurley St Purchase Price</v>
          </cell>
          <cell r="B550">
            <v>85000</v>
          </cell>
        </row>
        <row r="551">
          <cell r="A551" t="str">
            <v>Total 4 Hurley St</v>
          </cell>
          <cell r="B551">
            <v>128780.8</v>
          </cell>
        </row>
        <row r="552">
          <cell r="A552" t="str">
            <v>40 Arlington</v>
          </cell>
          <cell r="B552"/>
        </row>
        <row r="553">
          <cell r="A553" t="str">
            <v>40 Arlington Capital Repairs</v>
          </cell>
          <cell r="B553">
            <v>47906.63</v>
          </cell>
        </row>
        <row r="554">
          <cell r="A554" t="str">
            <v>40 Arlington Closing Costs</v>
          </cell>
          <cell r="B554">
            <v>6416</v>
          </cell>
        </row>
        <row r="555">
          <cell r="A555" t="str">
            <v>40 Arlington Purchase Price</v>
          </cell>
          <cell r="B555">
            <v>145000</v>
          </cell>
        </row>
        <row r="556">
          <cell r="A556" t="str">
            <v>Total 40 Arlington</v>
          </cell>
          <cell r="B556">
            <v>199322.63</v>
          </cell>
        </row>
        <row r="557">
          <cell r="A557" t="str">
            <v>45 Bruce</v>
          </cell>
          <cell r="B557"/>
        </row>
        <row r="558">
          <cell r="A558" t="str">
            <v>45 Bruce Capital Repairs</v>
          </cell>
          <cell r="B558">
            <v>44769.58</v>
          </cell>
        </row>
        <row r="559">
          <cell r="A559" t="str">
            <v>45 Bruce Purchase Price</v>
          </cell>
          <cell r="B559">
            <v>50000</v>
          </cell>
        </row>
        <row r="560">
          <cell r="A560" t="str">
            <v>Total 45 Bruce</v>
          </cell>
          <cell r="B560">
            <v>94769.58</v>
          </cell>
        </row>
        <row r="561">
          <cell r="A561" t="str">
            <v>45 Wayne</v>
          </cell>
          <cell r="B561"/>
        </row>
        <row r="562">
          <cell r="A562" t="str">
            <v>45 Wayne Capital Repairs</v>
          </cell>
          <cell r="B562">
            <v>53545.84</v>
          </cell>
        </row>
        <row r="563">
          <cell r="A563" t="str">
            <v>45 Wayne Closing Costs</v>
          </cell>
          <cell r="B563">
            <v>12456.38</v>
          </cell>
        </row>
        <row r="564">
          <cell r="A564" t="str">
            <v>45 Wayne Purchase Price</v>
          </cell>
          <cell r="B564">
            <v>58197.25</v>
          </cell>
        </row>
        <row r="565">
          <cell r="A565" t="str">
            <v>Total 45 Wayne</v>
          </cell>
          <cell r="B565">
            <v>124199.47</v>
          </cell>
        </row>
        <row r="566">
          <cell r="A566" t="str">
            <v>55 E Paul</v>
          </cell>
          <cell r="B566"/>
        </row>
        <row r="567">
          <cell r="A567" t="str">
            <v>55 E Paul Capital Repairs</v>
          </cell>
          <cell r="B567">
            <v>0</v>
          </cell>
        </row>
        <row r="568">
          <cell r="A568" t="str">
            <v>Total 55 E Paul</v>
          </cell>
          <cell r="B568">
            <v>0</v>
          </cell>
        </row>
        <row r="569">
          <cell r="A569" t="str">
            <v>561 Centennial</v>
          </cell>
          <cell r="B569"/>
        </row>
        <row r="570">
          <cell r="A570" t="str">
            <v>561 Centennial Capital Repairs</v>
          </cell>
          <cell r="B570">
            <v>2255</v>
          </cell>
        </row>
        <row r="571">
          <cell r="A571" t="str">
            <v>561 Centennial Purchase Price</v>
          </cell>
          <cell r="B571">
            <v>105000</v>
          </cell>
        </row>
        <row r="572">
          <cell r="A572" t="str">
            <v>Total 561 Centennial</v>
          </cell>
          <cell r="B572">
            <v>107255</v>
          </cell>
        </row>
        <row r="573">
          <cell r="A573" t="str">
            <v>605 W State</v>
          </cell>
          <cell r="B573"/>
        </row>
        <row r="574">
          <cell r="A574" t="str">
            <v>605 W State Capital Repairs</v>
          </cell>
          <cell r="B574">
            <v>86377.26</v>
          </cell>
        </row>
        <row r="575">
          <cell r="A575" t="str">
            <v>605 W State Closing Costs</v>
          </cell>
          <cell r="B575">
            <v>6363.36</v>
          </cell>
        </row>
        <row r="576">
          <cell r="A576" t="str">
            <v>605 W State Purchase Price</v>
          </cell>
          <cell r="B576">
            <v>71000</v>
          </cell>
        </row>
        <row r="577">
          <cell r="A577" t="str">
            <v>Total 605 W State</v>
          </cell>
          <cell r="B577">
            <v>163740.62</v>
          </cell>
        </row>
        <row r="578">
          <cell r="A578" t="str">
            <v>618 Washington</v>
          </cell>
          <cell r="B578"/>
        </row>
        <row r="579">
          <cell r="A579" t="str">
            <v>618 Washington Capital Repairs</v>
          </cell>
          <cell r="B579">
            <v>68983.03</v>
          </cell>
        </row>
        <row r="580">
          <cell r="A580" t="str">
            <v>618 Washington Closing Costs</v>
          </cell>
          <cell r="B580">
            <v>8030.29</v>
          </cell>
        </row>
        <row r="581">
          <cell r="A581" t="str">
            <v>618 Washington Purchase Price</v>
          </cell>
          <cell r="B581">
            <v>80000</v>
          </cell>
        </row>
        <row r="582">
          <cell r="A582" t="str">
            <v>Total 618 Washington</v>
          </cell>
          <cell r="B582">
            <v>157013.32</v>
          </cell>
        </row>
        <row r="583">
          <cell r="A583" t="str">
            <v>633 Williams</v>
          </cell>
          <cell r="B583"/>
        </row>
        <row r="584">
          <cell r="A584" t="str">
            <v>633 Williams Assignment Fee</v>
          </cell>
          <cell r="B584">
            <v>22700</v>
          </cell>
        </row>
        <row r="585">
          <cell r="A585" t="str">
            <v>633 Williams Capital Repairs</v>
          </cell>
          <cell r="B585">
            <v>43387.81</v>
          </cell>
        </row>
        <row r="586">
          <cell r="A586" t="str">
            <v>633 Williams Closing Costs</v>
          </cell>
          <cell r="B586">
            <v>9203.5300000000007</v>
          </cell>
        </row>
        <row r="587">
          <cell r="A587" t="str">
            <v>633 Williams Purchase Price</v>
          </cell>
          <cell r="B587">
            <v>77300</v>
          </cell>
        </row>
        <row r="588">
          <cell r="A588" t="str">
            <v>Total 633 Williams</v>
          </cell>
          <cell r="B588">
            <v>152591.34</v>
          </cell>
        </row>
        <row r="589">
          <cell r="A589" t="str">
            <v>744 Chambers Street</v>
          </cell>
          <cell r="B589"/>
        </row>
        <row r="590">
          <cell r="A590" t="str">
            <v>744 Chambers Street Capital Repairs</v>
          </cell>
          <cell r="B590">
            <v>23625</v>
          </cell>
        </row>
        <row r="591">
          <cell r="A591" t="str">
            <v>744 Chambers Street Purchase Price</v>
          </cell>
          <cell r="B591">
            <v>116000</v>
          </cell>
        </row>
        <row r="592">
          <cell r="A592" t="str">
            <v>Total 744 Chambers Street</v>
          </cell>
          <cell r="B592">
            <v>139625</v>
          </cell>
        </row>
        <row r="593">
          <cell r="A593" t="str">
            <v>77 Railroad</v>
          </cell>
          <cell r="B593"/>
        </row>
        <row r="594">
          <cell r="A594" t="str">
            <v>77 Railroad Capital Repairs</v>
          </cell>
          <cell r="B594">
            <v>45390</v>
          </cell>
        </row>
        <row r="595">
          <cell r="A595" t="str">
            <v>77 Railroad Closing Costs</v>
          </cell>
          <cell r="B595">
            <v>8509.36</v>
          </cell>
        </row>
        <row r="596">
          <cell r="A596" t="str">
            <v>77 Railroad Purchase Price</v>
          </cell>
          <cell r="B596">
            <v>112500</v>
          </cell>
        </row>
        <row r="597">
          <cell r="A597" t="str">
            <v>Total 77 Railroad</v>
          </cell>
          <cell r="B597">
            <v>166399.35999999999</v>
          </cell>
        </row>
        <row r="598">
          <cell r="A598" t="str">
            <v>838 Smith</v>
          </cell>
          <cell r="B598"/>
        </row>
        <row r="599">
          <cell r="A599" t="str">
            <v>838 Smith Capital Repairs</v>
          </cell>
          <cell r="B599">
            <v>110273.89</v>
          </cell>
        </row>
        <row r="600">
          <cell r="A600" t="str">
            <v>838 Smith Closing Costs</v>
          </cell>
          <cell r="B600">
            <v>12971.86</v>
          </cell>
        </row>
        <row r="601">
          <cell r="A601" t="str">
            <v>838 Smith Purchase Price</v>
          </cell>
          <cell r="B601">
            <v>164000</v>
          </cell>
        </row>
        <row r="602">
          <cell r="A602" t="str">
            <v>Total 838 Smith</v>
          </cell>
          <cell r="B602">
            <v>287245.75</v>
          </cell>
        </row>
        <row r="603">
          <cell r="A603" t="str">
            <v>8G Twin Rivers Dr</v>
          </cell>
          <cell r="B603"/>
        </row>
        <row r="604">
          <cell r="A604" t="str">
            <v>8G Twin Rivers Dr Capital Repairs</v>
          </cell>
          <cell r="B604">
            <v>0</v>
          </cell>
        </row>
        <row r="605">
          <cell r="A605" t="str">
            <v>8G Twin Rivers Dr Closing Costs</v>
          </cell>
          <cell r="B605">
            <v>0</v>
          </cell>
        </row>
        <row r="606">
          <cell r="A606" t="str">
            <v>8G Twin Rivers Dr Holding Costs</v>
          </cell>
          <cell r="B606">
            <v>0</v>
          </cell>
        </row>
        <row r="607">
          <cell r="A607" t="str">
            <v>8G Twin Rivers Dr Purchase Price</v>
          </cell>
          <cell r="B607">
            <v>0</v>
          </cell>
        </row>
        <row r="608">
          <cell r="A608" t="str">
            <v>Total 8G Twin Rivers Dr</v>
          </cell>
          <cell r="B608">
            <v>0</v>
          </cell>
        </row>
        <row r="609">
          <cell r="A609" t="str">
            <v>92 West</v>
          </cell>
          <cell r="B609"/>
        </row>
        <row r="610">
          <cell r="A610" t="str">
            <v>92 West Capital Repairs</v>
          </cell>
          <cell r="B610">
            <v>61575</v>
          </cell>
        </row>
        <row r="611">
          <cell r="A611" t="str">
            <v>92 West Closing Costs</v>
          </cell>
          <cell r="B611">
            <v>24561.78</v>
          </cell>
        </row>
        <row r="612">
          <cell r="A612" t="str">
            <v>92 West Purchase Price</v>
          </cell>
          <cell r="B612">
            <v>109000</v>
          </cell>
        </row>
        <row r="613">
          <cell r="A613" t="str">
            <v>Total 92 West</v>
          </cell>
          <cell r="B613">
            <v>195136.78</v>
          </cell>
        </row>
        <row r="614">
          <cell r="A614" t="str">
            <v>Total Rental Property</v>
          </cell>
          <cell r="B614">
            <v>6603571.6699999999</v>
          </cell>
        </row>
        <row r="615">
          <cell r="A615" t="str">
            <v>Total Fixed Assets</v>
          </cell>
          <cell r="B615">
            <v>6331359.8700000001</v>
          </cell>
        </row>
        <row r="616">
          <cell r="A616" t="str">
            <v>Total Fixed Assets</v>
          </cell>
          <cell r="B616">
            <v>6345516.3700000001</v>
          </cell>
        </row>
        <row r="617">
          <cell r="A617" t="str">
            <v>Other Assets</v>
          </cell>
          <cell r="B617"/>
        </row>
        <row r="618">
          <cell r="A618" t="str">
            <v>Blackwood 7 Portfolio Loan Fees</v>
          </cell>
          <cell r="B618"/>
        </row>
        <row r="619">
          <cell r="A619" t="str">
            <v>Blackwood 7 Loan Closing Costs</v>
          </cell>
          <cell r="B619">
            <v>15123.26</v>
          </cell>
        </row>
        <row r="620">
          <cell r="A620" t="str">
            <v>Blackwood 7 Loan Origination Fees</v>
          </cell>
          <cell r="B620">
            <v>24143</v>
          </cell>
        </row>
        <row r="621">
          <cell r="A621" t="str">
            <v>Total Blackwood 7 Portfolio Loan Fees</v>
          </cell>
          <cell r="B621">
            <v>39266.26</v>
          </cell>
        </row>
        <row r="622">
          <cell r="A622" t="str">
            <v>Blackwood 8 Portfolio Loan Fees</v>
          </cell>
          <cell r="B622"/>
        </row>
        <row r="623">
          <cell r="A623" t="str">
            <v>Blackwood 8 Loan Closing Costs</v>
          </cell>
          <cell r="B623">
            <v>16523.150000000001</v>
          </cell>
        </row>
        <row r="624">
          <cell r="A624" t="str">
            <v>Blackwood 8 Portfolio Loan Origination Fees</v>
          </cell>
          <cell r="B624">
            <v>10505.04</v>
          </cell>
        </row>
        <row r="625">
          <cell r="A625" t="str">
            <v>Total Blackwood 8 Portfolio Loan Fees</v>
          </cell>
          <cell r="B625">
            <v>27028.19</v>
          </cell>
        </row>
        <row r="626">
          <cell r="A626" t="str">
            <v>Blackwood 9 Portfolio Loan Fees</v>
          </cell>
          <cell r="B626"/>
        </row>
        <row r="627">
          <cell r="A627" t="str">
            <v>Blackwood 9 Loan Closing Costs</v>
          </cell>
          <cell r="B627">
            <v>19733.43</v>
          </cell>
        </row>
        <row r="628">
          <cell r="A628" t="str">
            <v>Blackwood 9 Portfolio Loan Origination Fees</v>
          </cell>
          <cell r="B628">
            <v>13937</v>
          </cell>
        </row>
        <row r="629">
          <cell r="A629" t="str">
            <v>Total Blackwood 9 Portfolio Loan Fees</v>
          </cell>
          <cell r="B629">
            <v>33670.43</v>
          </cell>
        </row>
        <row r="630">
          <cell r="A630" t="str">
            <v>Total Other Assets</v>
          </cell>
          <cell r="B630">
            <v>99964.88</v>
          </cell>
        </row>
        <row r="631">
          <cell r="A631" t="str">
            <v>TOTAL ASSETS</v>
          </cell>
          <cell r="B631">
            <v>15896875.85</v>
          </cell>
        </row>
        <row r="632">
          <cell r="A632" t="str">
            <v>LIABILITIES AND EQUITY</v>
          </cell>
          <cell r="B632"/>
        </row>
        <row r="633">
          <cell r="A633" t="str">
            <v>Liabilities</v>
          </cell>
          <cell r="B633"/>
        </row>
        <row r="634">
          <cell r="A634" t="str">
            <v>Current Liabilities</v>
          </cell>
          <cell r="B634"/>
        </row>
        <row r="635">
          <cell r="A635" t="str">
            <v>Accounts Payable</v>
          </cell>
          <cell r="B635"/>
        </row>
        <row r="636">
          <cell r="A636" t="str">
            <v>Accounts Payable</v>
          </cell>
          <cell r="B636">
            <v>-2131.66</v>
          </cell>
        </row>
        <row r="637">
          <cell r="A637" t="str">
            <v>Total Accounts Payable</v>
          </cell>
          <cell r="B637">
            <v>-2131.66</v>
          </cell>
        </row>
        <row r="638">
          <cell r="A638" t="str">
            <v>Credit Cards</v>
          </cell>
          <cell r="B638"/>
        </row>
        <row r="639">
          <cell r="A639" t="str">
            <v>Community Bank CC</v>
          </cell>
          <cell r="B639">
            <v>0</v>
          </cell>
        </row>
        <row r="640">
          <cell r="A640" t="str">
            <v>First National Bank CC</v>
          </cell>
          <cell r="B640">
            <v>10453.42</v>
          </cell>
        </row>
        <row r="641">
          <cell r="A641" t="str">
            <v>Key Bank 5315</v>
          </cell>
          <cell r="B641">
            <v>0</v>
          </cell>
        </row>
        <row r="642">
          <cell r="A642" t="str">
            <v>Total Credit Cards</v>
          </cell>
          <cell r="B642">
            <v>10453.42</v>
          </cell>
        </row>
        <row r="643">
          <cell r="A643" t="str">
            <v>Other Current Liabilities</v>
          </cell>
          <cell r="B643"/>
        </row>
        <row r="644">
          <cell r="A644" t="str">
            <v>Current Liabilities</v>
          </cell>
          <cell r="B644">
            <v>0</v>
          </cell>
        </row>
        <row r="645">
          <cell r="A645" t="str">
            <v>Flip Loans</v>
          </cell>
          <cell r="B645"/>
        </row>
        <row r="646">
          <cell r="A646" t="str">
            <v>Loan - 1007 Southard</v>
          </cell>
          <cell r="B646">
            <v>0</v>
          </cell>
        </row>
        <row r="647">
          <cell r="A647" t="str">
            <v>Loan - 101 Silver Lake Kiavi</v>
          </cell>
          <cell r="B647">
            <v>495641</v>
          </cell>
        </row>
        <row r="648">
          <cell r="A648" t="str">
            <v>Loan - 103 Taylor St</v>
          </cell>
          <cell r="B648">
            <v>142821</v>
          </cell>
        </row>
        <row r="649">
          <cell r="A649" t="str">
            <v>Loan - 1055 Lalor St</v>
          </cell>
          <cell r="B649">
            <v>158000</v>
          </cell>
        </row>
        <row r="650">
          <cell r="A650" t="str">
            <v>Loan - 132 Keswick Dr Kiavi</v>
          </cell>
          <cell r="B650">
            <v>312561</v>
          </cell>
        </row>
        <row r="651">
          <cell r="A651" t="str">
            <v>Loan - 147 7th Ave Kiavi</v>
          </cell>
          <cell r="B651">
            <v>0</v>
          </cell>
        </row>
        <row r="652">
          <cell r="A652" t="str">
            <v>Loan - 15 North Westfield Kiavi</v>
          </cell>
          <cell r="B652">
            <v>0</v>
          </cell>
        </row>
        <row r="653">
          <cell r="A653" t="str">
            <v>Loan - 154 Andrew St</v>
          </cell>
          <cell r="B653">
            <v>274722</v>
          </cell>
        </row>
        <row r="654">
          <cell r="A654" t="str">
            <v>Loan - 154 Lenox Ave</v>
          </cell>
          <cell r="B654">
            <v>275000</v>
          </cell>
        </row>
        <row r="655">
          <cell r="A655" t="str">
            <v>Loan - 161 Joan Terrace Kiavi</v>
          </cell>
          <cell r="B655">
            <v>198700</v>
          </cell>
        </row>
        <row r="656">
          <cell r="A656" t="str">
            <v>Loan - 174 E Highland Ave</v>
          </cell>
          <cell r="B656">
            <v>350000</v>
          </cell>
        </row>
        <row r="657">
          <cell r="A657" t="str">
            <v>Loan - 1756 McGillard Loan Kiavi</v>
          </cell>
          <cell r="B657">
            <v>0</v>
          </cell>
        </row>
        <row r="658">
          <cell r="A658" t="str">
            <v>Loan - 19 Dogwood Kiavi</v>
          </cell>
          <cell r="B658">
            <v>0</v>
          </cell>
        </row>
        <row r="659">
          <cell r="A659" t="str">
            <v>Loan - 200 Willow Rd Kiavi</v>
          </cell>
          <cell r="B659">
            <v>430000</v>
          </cell>
        </row>
        <row r="660">
          <cell r="A660" t="str">
            <v>Loan - 22 Cain Ave</v>
          </cell>
          <cell r="B660">
            <v>189642</v>
          </cell>
        </row>
        <row r="661">
          <cell r="A661" t="str">
            <v>Loan - 232 Andrew St</v>
          </cell>
          <cell r="B661">
            <v>0</v>
          </cell>
        </row>
        <row r="662">
          <cell r="A662" t="str">
            <v>Loan - 235 Ellis St</v>
          </cell>
          <cell r="B662">
            <v>178492</v>
          </cell>
        </row>
        <row r="663">
          <cell r="A663" t="str">
            <v>Loan - 24 express</v>
          </cell>
          <cell r="B663">
            <v>288242</v>
          </cell>
        </row>
        <row r="664">
          <cell r="A664" t="str">
            <v>Loan - 24 Longboat Kiavi</v>
          </cell>
          <cell r="B664">
            <v>180000</v>
          </cell>
        </row>
        <row r="665">
          <cell r="A665" t="str">
            <v>Loan - 24 Tynemouth</v>
          </cell>
          <cell r="B665">
            <v>359821</v>
          </cell>
        </row>
        <row r="666">
          <cell r="A666" t="str">
            <v>Loan - 275 Green St 4 B6</v>
          </cell>
          <cell r="B666">
            <v>136521</v>
          </cell>
        </row>
        <row r="667">
          <cell r="A667" t="str">
            <v>Loan - 313 Delaware Ave</v>
          </cell>
          <cell r="B667">
            <v>227633</v>
          </cell>
        </row>
        <row r="668">
          <cell r="A668" t="str">
            <v>Loan - 316 W 3rd Ave Loan Kiavi</v>
          </cell>
          <cell r="B668">
            <v>314542</v>
          </cell>
        </row>
        <row r="669">
          <cell r="A669" t="str">
            <v>Loan - 324 St Mary St</v>
          </cell>
          <cell r="B669">
            <v>113000</v>
          </cell>
        </row>
        <row r="670">
          <cell r="A670" t="str">
            <v>Loan - 343 Elm Ave Kiavi</v>
          </cell>
          <cell r="B670">
            <v>190000</v>
          </cell>
        </row>
        <row r="671">
          <cell r="A671" t="str">
            <v>Loan - 35 Pensdale</v>
          </cell>
          <cell r="B671">
            <v>286611.99</v>
          </cell>
        </row>
        <row r="672">
          <cell r="A672" t="str">
            <v>Loan - 3756 King Ave</v>
          </cell>
          <cell r="B672">
            <v>0</v>
          </cell>
        </row>
        <row r="673">
          <cell r="A673" t="str">
            <v>Loan - 4 Goat Hill</v>
          </cell>
          <cell r="B673">
            <v>399000</v>
          </cell>
        </row>
        <row r="674">
          <cell r="A674" t="str">
            <v>Loan - 4 Huron Way</v>
          </cell>
          <cell r="B674">
            <v>449463</v>
          </cell>
        </row>
        <row r="675">
          <cell r="A675" t="str">
            <v>Loan - 430 Kossuth St</v>
          </cell>
          <cell r="B675">
            <v>117000</v>
          </cell>
        </row>
        <row r="676">
          <cell r="A676" t="str">
            <v>Loan - 5 Edwards Place</v>
          </cell>
          <cell r="B676">
            <v>0</v>
          </cell>
        </row>
        <row r="677">
          <cell r="A677" t="str">
            <v>Loan - 586 Chestnut Ave</v>
          </cell>
          <cell r="B677">
            <v>130000</v>
          </cell>
        </row>
        <row r="678">
          <cell r="A678" t="str">
            <v>Loan - 6 Pinehurst Kiavi</v>
          </cell>
          <cell r="B678">
            <v>222471</v>
          </cell>
        </row>
        <row r="679">
          <cell r="A679" t="str">
            <v>Loan - 607 Benton Lane</v>
          </cell>
          <cell r="B679">
            <v>256046</v>
          </cell>
        </row>
        <row r="680">
          <cell r="A680" t="str">
            <v>Loan - 6124 Camden Ave Kiavi</v>
          </cell>
          <cell r="B680">
            <v>221821</v>
          </cell>
        </row>
        <row r="681">
          <cell r="A681" t="str">
            <v>Loan - 72 New Cedar Ln Kiavi</v>
          </cell>
          <cell r="B681">
            <v>210000</v>
          </cell>
        </row>
        <row r="682">
          <cell r="A682" t="str">
            <v>Loan - 75 Haddon Court</v>
          </cell>
          <cell r="B682">
            <v>0</v>
          </cell>
        </row>
        <row r="683">
          <cell r="A683" t="str">
            <v>Loan - 8-3 Florence Tollgate Pl #3</v>
          </cell>
          <cell r="B683">
            <v>0</v>
          </cell>
        </row>
        <row r="684">
          <cell r="A684" t="str">
            <v>Loan - 912 Adeline St</v>
          </cell>
          <cell r="B684">
            <v>199367</v>
          </cell>
        </row>
        <row r="685">
          <cell r="A685" t="str">
            <v>Loan - 943 Columbus</v>
          </cell>
          <cell r="B685">
            <v>200000</v>
          </cell>
        </row>
        <row r="686">
          <cell r="A686" t="str">
            <v>Loan 2163 Harbour Dr</v>
          </cell>
          <cell r="B686">
            <v>0</v>
          </cell>
        </row>
        <row r="687">
          <cell r="A687" t="str">
            <v>Loan 41 Bruce Park</v>
          </cell>
          <cell r="B687">
            <v>0</v>
          </cell>
        </row>
        <row r="688">
          <cell r="A688" t="str">
            <v>Loan 792 Westfield Dr Kiavi</v>
          </cell>
          <cell r="B688">
            <v>0</v>
          </cell>
        </row>
        <row r="689">
          <cell r="A689" t="str">
            <v>Loan I1 Shirley Lane</v>
          </cell>
          <cell r="B689">
            <v>0</v>
          </cell>
        </row>
        <row r="690">
          <cell r="A690" t="str">
            <v>Loan-759 Norway Avenue</v>
          </cell>
          <cell r="B690">
            <v>0</v>
          </cell>
        </row>
        <row r="691">
          <cell r="A691" t="str">
            <v>Total Flip Loans</v>
          </cell>
          <cell r="B691">
            <v>7507117.9900000002</v>
          </cell>
        </row>
        <row r="692">
          <cell r="A692" t="str">
            <v>Tenant Security Deposits</v>
          </cell>
          <cell r="B692">
            <v>10378</v>
          </cell>
        </row>
        <row r="693">
          <cell r="A693" t="str">
            <v>1007 Southard Security Deposit</v>
          </cell>
          <cell r="B693">
            <v>1350</v>
          </cell>
        </row>
        <row r="694">
          <cell r="A694" t="str">
            <v>103 Taylor Security Deposit</v>
          </cell>
          <cell r="B694">
            <v>3300</v>
          </cell>
        </row>
        <row r="695">
          <cell r="A695" t="str">
            <v>106 Race St. Security Deposit</v>
          </cell>
          <cell r="B695">
            <v>6150</v>
          </cell>
        </row>
        <row r="696">
          <cell r="A696" t="str">
            <v>106 Virginia Security Deposit</v>
          </cell>
          <cell r="B696">
            <v>3975</v>
          </cell>
        </row>
        <row r="697">
          <cell r="A697" t="str">
            <v>127 Randall Security</v>
          </cell>
          <cell r="B697">
            <v>3375</v>
          </cell>
        </row>
        <row r="698">
          <cell r="A698" t="str">
            <v>1328 Williams Security</v>
          </cell>
          <cell r="B698">
            <v>3320</v>
          </cell>
        </row>
        <row r="699">
          <cell r="A699" t="str">
            <v>15 N. Trent Security</v>
          </cell>
          <cell r="B699">
            <v>2775</v>
          </cell>
        </row>
        <row r="700">
          <cell r="A700" t="str">
            <v>20 N. West Field Security</v>
          </cell>
          <cell r="B700">
            <v>2000</v>
          </cell>
        </row>
        <row r="701">
          <cell r="A701" t="str">
            <v>201 Parkway Ave Security Deposit</v>
          </cell>
          <cell r="B701">
            <v>4012.5</v>
          </cell>
        </row>
        <row r="702">
          <cell r="A702" t="str">
            <v>209 Woodlawn Security</v>
          </cell>
          <cell r="B702">
            <v>7500</v>
          </cell>
        </row>
        <row r="703">
          <cell r="A703" t="str">
            <v>212 Silver Security Deposit</v>
          </cell>
          <cell r="B703">
            <v>2500</v>
          </cell>
        </row>
        <row r="704">
          <cell r="A704" t="str">
            <v>22 Cain Security Deposit</v>
          </cell>
          <cell r="B704">
            <v>4650</v>
          </cell>
        </row>
        <row r="705">
          <cell r="A705" t="str">
            <v>232 Andrew Security Deposit</v>
          </cell>
          <cell r="B705">
            <v>3600</v>
          </cell>
        </row>
        <row r="706">
          <cell r="A706" t="str">
            <v>238 S Walter Security</v>
          </cell>
          <cell r="B706">
            <v>3450</v>
          </cell>
        </row>
        <row r="707">
          <cell r="A707" t="str">
            <v>251 Henry St Security Deposit</v>
          </cell>
          <cell r="B707">
            <v>1337.5</v>
          </cell>
        </row>
        <row r="708">
          <cell r="A708" t="str">
            <v>33 Lafeyette Ave</v>
          </cell>
          <cell r="B708">
            <v>3450</v>
          </cell>
        </row>
        <row r="709">
          <cell r="A709" t="str">
            <v>335 Berwyn Security</v>
          </cell>
          <cell r="B709">
            <v>3150</v>
          </cell>
        </row>
        <row r="710">
          <cell r="A710" t="str">
            <v>338 Gardner Security Deposit</v>
          </cell>
          <cell r="B710">
            <v>2850</v>
          </cell>
        </row>
        <row r="711">
          <cell r="A711" t="str">
            <v>4 Hurley Security Deposit</v>
          </cell>
          <cell r="B711">
            <v>3375</v>
          </cell>
        </row>
        <row r="712">
          <cell r="A712" t="str">
            <v>40 Arlington Ave Security Deposit</v>
          </cell>
          <cell r="B712">
            <v>2700</v>
          </cell>
        </row>
        <row r="713">
          <cell r="A713" t="str">
            <v>45 Bruce Park Security</v>
          </cell>
          <cell r="B713">
            <v>0</v>
          </cell>
        </row>
        <row r="714">
          <cell r="A714" t="str">
            <v>45 Wayne Security Deposit</v>
          </cell>
          <cell r="B714">
            <v>5550</v>
          </cell>
        </row>
        <row r="715">
          <cell r="A715" t="str">
            <v>47 E Paul Apt. 1 Security</v>
          </cell>
          <cell r="B715">
            <v>3175</v>
          </cell>
        </row>
        <row r="716">
          <cell r="A716" t="str">
            <v>55 E Paul Security Deposit</v>
          </cell>
          <cell r="B716">
            <v>1792.5</v>
          </cell>
        </row>
        <row r="717">
          <cell r="A717" t="str">
            <v>605 W State Security Deposit</v>
          </cell>
          <cell r="B717">
            <v>2587.5</v>
          </cell>
        </row>
        <row r="718">
          <cell r="A718" t="str">
            <v>618 Washington - Security</v>
          </cell>
          <cell r="B718">
            <v>3150</v>
          </cell>
        </row>
        <row r="719">
          <cell r="A719" t="str">
            <v>633 Williams Security Deosit</v>
          </cell>
          <cell r="B719">
            <v>4280</v>
          </cell>
        </row>
        <row r="720">
          <cell r="A720" t="str">
            <v>744 Chambers Security Deposit</v>
          </cell>
          <cell r="B720">
            <v>3900</v>
          </cell>
        </row>
        <row r="721">
          <cell r="A721" t="str">
            <v>77 Railroad security deposit</v>
          </cell>
          <cell r="B721">
            <v>6450</v>
          </cell>
        </row>
        <row r="722">
          <cell r="A722" t="str">
            <v>838 Smith Security</v>
          </cell>
          <cell r="B722">
            <v>3500</v>
          </cell>
        </row>
        <row r="723">
          <cell r="A723" t="str">
            <v>912 Adeline Security Deposit</v>
          </cell>
          <cell r="B723">
            <v>4275</v>
          </cell>
        </row>
        <row r="724">
          <cell r="A724" t="str">
            <v>92 West St Security Deposit</v>
          </cell>
          <cell r="B724">
            <v>2500</v>
          </cell>
        </row>
        <row r="725">
          <cell r="A725" t="str">
            <v>Total Tenant Security Deposits</v>
          </cell>
          <cell r="B725">
            <v>120358</v>
          </cell>
        </row>
        <row r="726">
          <cell r="A726" t="str">
            <v>Total Current Liabilities</v>
          </cell>
          <cell r="B726">
            <v>7627475.9900000002</v>
          </cell>
        </row>
        <row r="727">
          <cell r="A727" t="str">
            <v>Customer Deposits</v>
          </cell>
          <cell r="B727">
            <v>0</v>
          </cell>
        </row>
        <row r="728">
          <cell r="A728" t="str">
            <v>Investor Loans</v>
          </cell>
          <cell r="B728"/>
        </row>
        <row r="729">
          <cell r="A729" t="str">
            <v>CFI Capital - Ippolito</v>
          </cell>
          <cell r="B729">
            <v>0</v>
          </cell>
        </row>
        <row r="730">
          <cell r="A730" t="str">
            <v>Community Keepers Loan</v>
          </cell>
          <cell r="B730">
            <v>50000</v>
          </cell>
        </row>
        <row r="731">
          <cell r="A731" t="str">
            <v>Homewood Investments</v>
          </cell>
          <cell r="B731">
            <v>0</v>
          </cell>
        </row>
        <row r="732">
          <cell r="A732" t="str">
            <v>Kaushal Modi Loan</v>
          </cell>
          <cell r="B732">
            <v>50000</v>
          </cell>
        </row>
        <row r="733">
          <cell r="A733" t="str">
            <v>Lamont Russel Loan</v>
          </cell>
          <cell r="B733">
            <v>300000</v>
          </cell>
        </row>
        <row r="734">
          <cell r="A734" t="str">
            <v>Lamont Russel Loan #2</v>
          </cell>
          <cell r="B734">
            <v>100000</v>
          </cell>
        </row>
        <row r="735">
          <cell r="A735" t="str">
            <v>Loan - Anthony Jenkins</v>
          </cell>
          <cell r="B735">
            <v>150000</v>
          </cell>
        </row>
        <row r="736">
          <cell r="A736" t="str">
            <v>Loan - Capital Growth</v>
          </cell>
          <cell r="B736">
            <v>0</v>
          </cell>
        </row>
        <row r="737">
          <cell r="A737" t="str">
            <v>Loan - Carl Ippolito</v>
          </cell>
          <cell r="B737">
            <v>50000</v>
          </cell>
        </row>
        <row r="738">
          <cell r="A738" t="str">
            <v>Loan - Duane Green</v>
          </cell>
          <cell r="B738">
            <v>0</v>
          </cell>
        </row>
        <row r="739">
          <cell r="A739" t="str">
            <v>Loan from Investor First Title</v>
          </cell>
          <cell r="B739">
            <v>0</v>
          </cell>
        </row>
        <row r="740">
          <cell r="A740" t="str">
            <v>Loan Michelle Pierson</v>
          </cell>
          <cell r="B740">
            <v>50000</v>
          </cell>
        </row>
        <row r="741">
          <cell r="A741" t="str">
            <v>Rigby Capital Loan (Ippolito)</v>
          </cell>
          <cell r="B741">
            <v>0</v>
          </cell>
        </row>
        <row r="742">
          <cell r="A742" t="str">
            <v>1756 McGillard JV</v>
          </cell>
          <cell r="B742">
            <v>0</v>
          </cell>
        </row>
        <row r="743">
          <cell r="A743" t="str">
            <v>Total Rigby Capital Loan (Ippolito)</v>
          </cell>
          <cell r="B743">
            <v>0</v>
          </cell>
        </row>
        <row r="744">
          <cell r="A744" t="str">
            <v>Riverton Holdings</v>
          </cell>
          <cell r="B744">
            <v>150000</v>
          </cell>
        </row>
        <row r="745">
          <cell r="A745" t="str">
            <v>RV Miller</v>
          </cell>
          <cell r="B745">
            <v>100000</v>
          </cell>
        </row>
        <row r="746">
          <cell r="A746" t="str">
            <v>Total Investor Loans</v>
          </cell>
          <cell r="B746">
            <v>1000000</v>
          </cell>
        </row>
        <row r="747">
          <cell r="A747" t="str">
            <v>Line of Credit</v>
          </cell>
          <cell r="B747"/>
        </row>
        <row r="748">
          <cell r="A748" t="str">
            <v>Key Bank LOC - 0001</v>
          </cell>
          <cell r="B748">
            <v>29647.96</v>
          </cell>
        </row>
        <row r="749">
          <cell r="A749" t="str">
            <v>Loan - Univest</v>
          </cell>
          <cell r="B749">
            <v>48724.93</v>
          </cell>
        </row>
        <row r="750">
          <cell r="A750" t="str">
            <v>PNC Loan 9078</v>
          </cell>
          <cell r="B750">
            <v>53769.68</v>
          </cell>
        </row>
        <row r="751">
          <cell r="A751" t="str">
            <v>Total Line of Credit</v>
          </cell>
          <cell r="B751">
            <v>132142.57</v>
          </cell>
        </row>
        <row r="752">
          <cell r="A752" t="str">
            <v>New Jersey Division of Taxation Payable</v>
          </cell>
          <cell r="B752">
            <v>0</v>
          </cell>
        </row>
        <row r="753">
          <cell r="A753" t="str">
            <v>Out Of Scope Agency Payable</v>
          </cell>
          <cell r="B753">
            <v>0</v>
          </cell>
        </row>
        <row r="754">
          <cell r="A754" t="str">
            <v>Total Other Current Liabilities</v>
          </cell>
          <cell r="B754">
            <v>8759618.5600000005</v>
          </cell>
        </row>
        <row r="755">
          <cell r="A755" t="str">
            <v>Total Current Liabilities</v>
          </cell>
          <cell r="B755">
            <v>8767940.3200000003</v>
          </cell>
        </row>
        <row r="756">
          <cell r="A756" t="str">
            <v>Long-Term Liabilities</v>
          </cell>
          <cell r="B756"/>
        </row>
        <row r="757">
          <cell r="A757" t="str">
            <v>Rental Loans</v>
          </cell>
          <cell r="B757"/>
        </row>
        <row r="758">
          <cell r="A758" t="str">
            <v>Loan - 15 N Trent</v>
          </cell>
          <cell r="B758">
            <v>115688.75</v>
          </cell>
        </row>
        <row r="759">
          <cell r="A759" t="str">
            <v>Loan - 2 Nordacs</v>
          </cell>
          <cell r="B759">
            <v>120000</v>
          </cell>
        </row>
        <row r="760">
          <cell r="A760" t="str">
            <v>Loan - 201 Parkway Ave Kiavi</v>
          </cell>
          <cell r="B760">
            <v>0</v>
          </cell>
        </row>
        <row r="761">
          <cell r="A761" t="str">
            <v>Loan - 2030 Liberty</v>
          </cell>
          <cell r="B761">
            <v>0</v>
          </cell>
        </row>
        <row r="762">
          <cell r="A762" t="str">
            <v>Loan - 209 Hillcrest</v>
          </cell>
          <cell r="B762">
            <v>0</v>
          </cell>
        </row>
        <row r="763">
          <cell r="A763" t="str">
            <v>Loan - 211 Parkway Kiavi</v>
          </cell>
          <cell r="B763">
            <v>0</v>
          </cell>
        </row>
        <row r="764">
          <cell r="A764" t="str">
            <v>Loan - 212 Silver</v>
          </cell>
          <cell r="B764">
            <v>99639</v>
          </cell>
        </row>
        <row r="765">
          <cell r="A765" t="str">
            <v>Loan - 238 S Walter &amp; 209 Woodlawn Renovo Loan</v>
          </cell>
          <cell r="B765">
            <v>349720.68</v>
          </cell>
        </row>
        <row r="766">
          <cell r="A766" t="str">
            <v>Loan - 335 Berwyn</v>
          </cell>
          <cell r="B766">
            <v>153405.84</v>
          </cell>
        </row>
        <row r="767">
          <cell r="A767" t="str">
            <v>Loan - 338 Gardner</v>
          </cell>
          <cell r="B767">
            <v>0</v>
          </cell>
        </row>
        <row r="768">
          <cell r="A768" t="str">
            <v>Loan - 348-350 Farnsworth Renovo</v>
          </cell>
          <cell r="B768">
            <v>756102</v>
          </cell>
        </row>
        <row r="769">
          <cell r="A769" t="str">
            <v>Loan - 4 Hurley St Kiavi</v>
          </cell>
          <cell r="B769">
            <v>0</v>
          </cell>
        </row>
        <row r="770">
          <cell r="A770" t="str">
            <v>Loan - 40 Arlington Kiavi</v>
          </cell>
          <cell r="B770">
            <v>0</v>
          </cell>
        </row>
        <row r="771">
          <cell r="A771" t="str">
            <v>Loan - 45 Wayne</v>
          </cell>
          <cell r="B771">
            <v>104846.53</v>
          </cell>
        </row>
        <row r="772">
          <cell r="A772" t="str">
            <v>Loan - 605 W State St</v>
          </cell>
          <cell r="B772">
            <v>0</v>
          </cell>
        </row>
        <row r="773">
          <cell r="A773" t="str">
            <v>Loan - 8G Twin Rivers Dr Kiavi</v>
          </cell>
          <cell r="B773">
            <v>0</v>
          </cell>
        </row>
        <row r="774">
          <cell r="A774" t="str">
            <v>Loan 208 Parkway Ave</v>
          </cell>
          <cell r="B774">
            <v>0</v>
          </cell>
        </row>
        <row r="775">
          <cell r="A775" t="str">
            <v>Loan 237 S Walter Kiavi</v>
          </cell>
          <cell r="B775">
            <v>0</v>
          </cell>
        </row>
        <row r="776">
          <cell r="A776" t="str">
            <v>Loan 45 Bruce / 20 N. Westfield</v>
          </cell>
          <cell r="B776"/>
        </row>
        <row r="777">
          <cell r="A777" t="str">
            <v>Loan - 20 N. Westfield</v>
          </cell>
          <cell r="B777">
            <v>0</v>
          </cell>
        </row>
        <row r="778">
          <cell r="A778" t="str">
            <v>Loan - 45 Bruce Park</v>
          </cell>
          <cell r="B778">
            <v>0</v>
          </cell>
        </row>
        <row r="779">
          <cell r="A779" t="str">
            <v>Total Loan 45 Bruce / 20 N. Westfield</v>
          </cell>
          <cell r="B779">
            <v>0</v>
          </cell>
        </row>
        <row r="780">
          <cell r="A780" t="str">
            <v>Rental Portfolio Loans</v>
          </cell>
          <cell r="B780"/>
        </row>
        <row r="781">
          <cell r="A781" t="str">
            <v>Blackwood 7 Portfolio Loan</v>
          </cell>
          <cell r="B781">
            <v>1605929.92</v>
          </cell>
        </row>
        <row r="782">
          <cell r="A782" t="str">
            <v>Blackwood 8 Portfolio Loan</v>
          </cell>
          <cell r="B782">
            <v>1395542.84</v>
          </cell>
        </row>
        <row r="783">
          <cell r="A783" t="str">
            <v>Blackwood 9 Portfolio Loan</v>
          </cell>
          <cell r="B783">
            <v>1395767.05</v>
          </cell>
        </row>
        <row r="784">
          <cell r="A784" t="str">
            <v>Loan S&amp;T #1</v>
          </cell>
          <cell r="B784">
            <v>751626.43</v>
          </cell>
        </row>
        <row r="785">
          <cell r="A785" t="str">
            <v>Loan S&amp;T 2(33 lafayette &amp; 838 Smith)</v>
          </cell>
          <cell r="B785">
            <v>319937.58</v>
          </cell>
        </row>
        <row r="786">
          <cell r="A786" t="str">
            <v>Total Rental Portfolio Loans</v>
          </cell>
          <cell r="B786">
            <v>5468803.8200000003</v>
          </cell>
        </row>
        <row r="787">
          <cell r="A787" t="str">
            <v>Total Rental Loans</v>
          </cell>
          <cell r="B787">
            <v>7168206.6200000001</v>
          </cell>
        </row>
        <row r="788">
          <cell r="A788" t="str">
            <v>Total Long-Term Liabilities</v>
          </cell>
          <cell r="B788">
            <v>7168206.6200000001</v>
          </cell>
        </row>
        <row r="789">
          <cell r="A789" t="str">
            <v>Total Liabilities</v>
          </cell>
          <cell r="B789">
            <v>15936146.939999999</v>
          </cell>
        </row>
        <row r="790">
          <cell r="A790" t="str">
            <v>Equity</v>
          </cell>
          <cell r="B790"/>
        </row>
        <row r="791">
          <cell r="A791" t="str">
            <v>Draws and Contributions</v>
          </cell>
          <cell r="B791">
            <v>-820560.96</v>
          </cell>
        </row>
        <row r="792">
          <cell r="A792" t="str">
            <v>Members Equity</v>
          </cell>
          <cell r="B792">
            <v>-89262.9</v>
          </cell>
        </row>
        <row r="793">
          <cell r="A793" t="str">
            <v>Retained Earnings</v>
          </cell>
          <cell r="B793">
            <v>-141313.29</v>
          </cell>
        </row>
        <row r="794">
          <cell r="A794" t="str">
            <v>Net Income</v>
          </cell>
          <cell r="B794">
            <v>1011866.06</v>
          </cell>
        </row>
        <row r="795">
          <cell r="A795" t="str">
            <v>Total Equity</v>
          </cell>
          <cell r="B795">
            <v>-39271.089999999997</v>
          </cell>
        </row>
        <row r="796">
          <cell r="A796" t="str">
            <v>TOTAL LIABILITIES AND EQUITY</v>
          </cell>
          <cell r="B796">
            <v>15896875.85</v>
          </cell>
        </row>
        <row r="797">
          <cell r="A797"/>
          <cell r="B797"/>
        </row>
        <row r="798">
          <cell r="A798"/>
          <cell r="B798"/>
        </row>
        <row r="799">
          <cell r="A799"/>
          <cell r="B799"/>
        </row>
        <row r="800">
          <cell r="A800" t="str">
            <v>Tuesday, Sep 10, 2024 11:25:40 AM GMT-7 - Cash Basis</v>
          </cell>
        </row>
      </sheetData>
      <sheetData sheetId="11">
        <row r="5">
          <cell r="A5"/>
          <cell r="B5" t="str">
            <v>102 W Washington (deleted)</v>
          </cell>
          <cell r="C5" t="str">
            <v>1055 Lalor St</v>
          </cell>
          <cell r="D5" t="str">
            <v>161 Joan Terrace</v>
          </cell>
          <cell r="E5" t="str">
            <v>24 Bloomer Dr</v>
          </cell>
          <cell r="F5" t="str">
            <v>275 Green St 4 B6</v>
          </cell>
          <cell r="G5" t="str">
            <v>316 Calhoun St</v>
          </cell>
          <cell r="H5" t="str">
            <v>318 Calhoun St</v>
          </cell>
          <cell r="I5" t="str">
            <v>320 Calhoun St</v>
          </cell>
          <cell r="J5" t="str">
            <v>322 Calhoun St</v>
          </cell>
          <cell r="K5" t="str">
            <v>324 Calhoun St</v>
          </cell>
          <cell r="L5" t="str">
            <v>446 Garfield Ave</v>
          </cell>
          <cell r="M5" t="str">
            <v>500 W Hanover (deleted)</v>
          </cell>
          <cell r="N5" t="str">
            <v>550 Furniture Mile</v>
          </cell>
          <cell r="O5" t="str">
            <v>640 Summit Ave</v>
          </cell>
          <cell r="P5" t="str">
            <v>92 West (deleted)</v>
          </cell>
          <cell r="Q5" t="str">
            <v>943 Columbus Ave</v>
          </cell>
          <cell r="R5" t="str">
            <v>Flips</v>
          </cell>
          <cell r="S5" t="str">
            <v>1 Britton Place</v>
          </cell>
          <cell r="T5" t="str">
            <v>10 Dennison</v>
          </cell>
          <cell r="U5" t="str">
            <v>1014 Jardin Court</v>
          </cell>
          <cell r="V5" t="str">
            <v>112-114 Monmouth St</v>
          </cell>
          <cell r="W5" t="str">
            <v>113 Columbia</v>
          </cell>
          <cell r="X5" t="str">
            <v>117 Parklane</v>
          </cell>
          <cell r="Y5" t="str">
            <v>147 7th Ave</v>
          </cell>
          <cell r="Z5" t="str">
            <v>15 North Westfield Ave</v>
          </cell>
          <cell r="AA5" t="str">
            <v>155 Reeves</v>
          </cell>
          <cell r="AB5" t="str">
            <v>17 Bristol Way</v>
          </cell>
          <cell r="AC5" t="str">
            <v>173 Main St</v>
          </cell>
          <cell r="AD5" t="str">
            <v>1756 McGalliard</v>
          </cell>
          <cell r="AE5" t="str">
            <v>19 Orne</v>
          </cell>
          <cell r="AF5" t="str">
            <v>2149 Liberty St</v>
          </cell>
          <cell r="AG5" t="str">
            <v>2163 Harbour Dr</v>
          </cell>
          <cell r="AH5" t="str">
            <v>23 Dixmont Ave</v>
          </cell>
          <cell r="AI5" t="str">
            <v>28 Diverty</v>
          </cell>
          <cell r="AJ5" t="str">
            <v>307 Broad St</v>
          </cell>
          <cell r="AK5" t="str">
            <v>322 Churchill</v>
          </cell>
          <cell r="AL5" t="str">
            <v>33 E 4th St</v>
          </cell>
          <cell r="AM5" t="str">
            <v>344 W Pearl</v>
          </cell>
          <cell r="AN5" t="str">
            <v>35 Pensdale</v>
          </cell>
          <cell r="AO5" t="str">
            <v>37 Alden</v>
          </cell>
          <cell r="AP5" t="str">
            <v>3756 King Ave</v>
          </cell>
          <cell r="AQ5" t="str">
            <v>4 Goat Hill</v>
          </cell>
          <cell r="AR5" t="str">
            <v>4 Williams</v>
          </cell>
          <cell r="AS5" t="str">
            <v>43 Chestnut St</v>
          </cell>
          <cell r="AT5" t="str">
            <v>494 Johnston Ave</v>
          </cell>
          <cell r="AU5" t="str">
            <v>52 Annabelle</v>
          </cell>
          <cell r="AV5" t="str">
            <v>612 Silver Ct</v>
          </cell>
          <cell r="AW5" t="str">
            <v>710 Spruce St</v>
          </cell>
          <cell r="AX5" t="str">
            <v>75 Haddon</v>
          </cell>
          <cell r="AY5" t="str">
            <v>759 Norway</v>
          </cell>
          <cell r="AZ5" t="str">
            <v>792 Westfield Dr</v>
          </cell>
          <cell r="BA5" t="str">
            <v>8G Twin Rivers Dr</v>
          </cell>
          <cell r="BB5" t="str">
            <v>905 Carteret Ave</v>
          </cell>
          <cell r="BC5" t="str">
            <v>921 Beatty St</v>
          </cell>
          <cell r="BD5" t="str">
            <v>I1 Shirley Lane</v>
          </cell>
          <cell r="BE5" t="str">
            <v>Total Flips</v>
          </cell>
          <cell r="BF5" t="str">
            <v>General</v>
          </cell>
          <cell r="BG5" t="str">
            <v>Lot/Land</v>
          </cell>
          <cell r="BH5" t="str">
            <v>101-109 Summer St</v>
          </cell>
          <cell r="BI5" t="str">
            <v>Total Lot/Land</v>
          </cell>
          <cell r="BJ5" t="str">
            <v>Novation</v>
          </cell>
          <cell r="BK5" t="str">
            <v>21 Stonehenge</v>
          </cell>
          <cell r="BL5" t="str">
            <v>Total Novation</v>
          </cell>
          <cell r="BM5" t="str">
            <v>Other Properties</v>
          </cell>
          <cell r="BN5" t="str">
            <v>1904 S Clinton</v>
          </cell>
          <cell r="BO5" t="str">
            <v>192 Woodland</v>
          </cell>
          <cell r="BP5" t="str">
            <v>194 W Ingram</v>
          </cell>
          <cell r="BQ5" t="str">
            <v>228 Emery</v>
          </cell>
          <cell r="BR5" t="str">
            <v>24 Main St</v>
          </cell>
          <cell r="BS5" t="str">
            <v>27 Nordacs</v>
          </cell>
          <cell r="BT5" t="str">
            <v>338 Hillcrest</v>
          </cell>
          <cell r="BU5" t="str">
            <v>341 Hillcrest</v>
          </cell>
          <cell r="BV5" t="str">
            <v>40 Hillcrest</v>
          </cell>
          <cell r="BW5" t="str">
            <v>400 Liberty</v>
          </cell>
          <cell r="BX5" t="str">
            <v>409 N Willow</v>
          </cell>
          <cell r="BY5" t="str">
            <v>427 W Hanover</v>
          </cell>
          <cell r="BZ5" t="str">
            <v>49 Albermarle</v>
          </cell>
          <cell r="CA5" t="str">
            <v>507 Wolfe Dr</v>
          </cell>
          <cell r="CB5" t="str">
            <v>516 Spruce</v>
          </cell>
          <cell r="CC5" t="str">
            <v>554 Bellevue Ave</v>
          </cell>
          <cell r="CD5" t="str">
            <v>6 Rittehouse</v>
          </cell>
          <cell r="CE5" t="str">
            <v>82 Alcazar</v>
          </cell>
          <cell r="CF5" t="str">
            <v>Total Other Properties</v>
          </cell>
          <cell r="CG5" t="str">
            <v>Rentals</v>
          </cell>
          <cell r="CH5" t="str">
            <v>103 Taylor St</v>
          </cell>
          <cell r="CI5" t="str">
            <v>106 Race St</v>
          </cell>
          <cell r="CJ5" t="str">
            <v>106 Virginia</v>
          </cell>
          <cell r="CK5" t="str">
            <v>109 CENTRE</v>
          </cell>
          <cell r="CL5" t="str">
            <v>127 Randall</v>
          </cell>
          <cell r="CM5" t="str">
            <v>15 N Trent</v>
          </cell>
          <cell r="CN5" t="str">
            <v>2 Nordacs</v>
          </cell>
          <cell r="CO5" t="str">
            <v>20 North Westfield Ave</v>
          </cell>
          <cell r="CP5" t="str">
            <v>209 Hillcrest</v>
          </cell>
          <cell r="CQ5" t="str">
            <v>209 Woodlawn</v>
          </cell>
          <cell r="CR5" t="str">
            <v>210 Parkway</v>
          </cell>
          <cell r="CS5" t="str">
            <v>212 Silver</v>
          </cell>
          <cell r="CT5" t="str">
            <v>22 Cain Ave</v>
          </cell>
          <cell r="CU5" t="str">
            <v>237 S Walter Ave</v>
          </cell>
          <cell r="CV5" t="str">
            <v>238 S Walter</v>
          </cell>
          <cell r="CW5" t="str">
            <v>33 Lafayette Ave</v>
          </cell>
          <cell r="CX5" t="str">
            <v>335 Berwyn Ave</v>
          </cell>
          <cell r="CY5" t="str">
            <v>4 Hurley Ave</v>
          </cell>
          <cell r="CZ5" t="str">
            <v>4 Huron Way</v>
          </cell>
          <cell r="DA5" t="str">
            <v>45 Bruce</v>
          </cell>
          <cell r="DB5" t="str">
            <v>45 E Paul Garage</v>
          </cell>
          <cell r="DC5" t="str">
            <v>45 Wayne Ave</v>
          </cell>
          <cell r="DD5" t="str">
            <v>45-47 E Paul Ave</v>
          </cell>
          <cell r="DE5" t="str">
            <v>55 E Paul</v>
          </cell>
          <cell r="DF5" t="str">
            <v>561 Centennial</v>
          </cell>
          <cell r="DG5" t="str">
            <v>618 Washington</v>
          </cell>
          <cell r="DH5" t="str">
            <v>633 Williams</v>
          </cell>
          <cell r="DI5" t="str">
            <v>744 Chambers</v>
          </cell>
          <cell r="DJ5" t="str">
            <v>77 Railroad Ave</v>
          </cell>
          <cell r="DK5" t="str">
            <v>838 Smith</v>
          </cell>
          <cell r="DL5" t="str">
            <v>912 Adeline St</v>
          </cell>
          <cell r="DM5" t="str">
            <v>92 West</v>
          </cell>
          <cell r="DN5" t="str">
            <v>Blackwood 7</v>
          </cell>
          <cell r="DO5" t="str">
            <v>1007 Southard</v>
          </cell>
          <cell r="DP5" t="str">
            <v>2030 Liberty</v>
          </cell>
          <cell r="DQ5" t="str">
            <v>208 Parkway</v>
          </cell>
          <cell r="DR5" t="str">
            <v>232 Andrew</v>
          </cell>
          <cell r="DS5" t="str">
            <v>251 Henry St</v>
          </cell>
          <cell r="DT5" t="str">
            <v>338 Gardner Ave</v>
          </cell>
          <cell r="DU5" t="str">
            <v>41 Bruce Park</v>
          </cell>
          <cell r="DV5" t="str">
            <v>Total Blackwood 7</v>
          </cell>
          <cell r="DW5" t="str">
            <v>Blackwood 8</v>
          </cell>
          <cell r="DX5" t="str">
            <v>1328 Williams St</v>
          </cell>
          <cell r="DY5" t="str">
            <v>201 Parkway Ave</v>
          </cell>
          <cell r="DZ5" t="str">
            <v>211 Parkway Ave</v>
          </cell>
          <cell r="EA5" t="str">
            <v>230 Garfield Ave</v>
          </cell>
          <cell r="EB5" t="str">
            <v>40 Arlington</v>
          </cell>
          <cell r="EC5" t="str">
            <v>605 W State</v>
          </cell>
          <cell r="ED5" t="str">
            <v>Total Blackwood 8</v>
          </cell>
          <cell r="EE5" t="str">
            <v>Blackwood 9</v>
          </cell>
          <cell r="EF5" t="str">
            <v>348-350 Farnsworth</v>
          </cell>
          <cell r="EG5" t="str">
            <v>Total Blackwood 9</v>
          </cell>
          <cell r="EH5" t="str">
            <v>Total Rentals</v>
          </cell>
          <cell r="EI5" t="str">
            <v>Wholesale</v>
          </cell>
          <cell r="EJ5" t="str">
            <v>134 Locust</v>
          </cell>
          <cell r="EK5" t="str">
            <v>156 Greenland</v>
          </cell>
          <cell r="EL5" t="str">
            <v>161 Albermarle Ave</v>
          </cell>
          <cell r="EM5" t="str">
            <v>19 Dogwood Dr</v>
          </cell>
          <cell r="EN5" t="str">
            <v>19 Parkside</v>
          </cell>
          <cell r="EO5" t="str">
            <v>22 Farrell Ave</v>
          </cell>
          <cell r="EP5" t="str">
            <v>249 Lynwood</v>
          </cell>
          <cell r="EQ5" t="str">
            <v>249 Mercer St</v>
          </cell>
          <cell r="ER5" t="str">
            <v>25-23 Old Millstone Drive</v>
          </cell>
          <cell r="ES5" t="str">
            <v>30 Vine St</v>
          </cell>
          <cell r="ET5" t="str">
            <v>37 Garfield</v>
          </cell>
          <cell r="EU5" t="str">
            <v>371 Cummings</v>
          </cell>
          <cell r="EV5" t="str">
            <v>43 Park Ave</v>
          </cell>
          <cell r="EW5" t="str">
            <v>453 Newkirk</v>
          </cell>
          <cell r="EX5" t="str">
            <v>46 Laurel Ave</v>
          </cell>
          <cell r="EY5" t="str">
            <v>46 Sussex Dr</v>
          </cell>
          <cell r="EZ5" t="str">
            <v>474 - 480 Riverside Ave</v>
          </cell>
          <cell r="FA5" t="str">
            <v>5 Edwards Place</v>
          </cell>
          <cell r="FB5" t="str">
            <v>5 Fell St</v>
          </cell>
          <cell r="FC5" t="str">
            <v>5 Lisbon Ave</v>
          </cell>
          <cell r="FD5" t="str">
            <v>633 W State</v>
          </cell>
          <cell r="FE5" t="str">
            <v>717 Southhard St</v>
          </cell>
          <cell r="FF5" t="str">
            <v>8-3 Florence Tollgate Pl #3</v>
          </cell>
          <cell r="FG5" t="str">
            <v>89 Hobart Ave</v>
          </cell>
          <cell r="FH5" t="str">
            <v>95 Hillcrest</v>
          </cell>
          <cell r="FI5" t="str">
            <v>Total Wholesale</v>
          </cell>
          <cell r="FJ5" t="str">
            <v>Not Specified</v>
          </cell>
          <cell r="FK5" t="str">
            <v>TOTAL</v>
          </cell>
        </row>
        <row r="6">
          <cell r="A6" t="str">
            <v>Income</v>
          </cell>
          <cell r="B6"/>
          <cell r="C6"/>
          <cell r="D6"/>
          <cell r="E6"/>
          <cell r="F6"/>
          <cell r="G6"/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  <cell r="AE6"/>
          <cell r="AF6"/>
          <cell r="AG6"/>
          <cell r="AH6"/>
          <cell r="AI6"/>
          <cell r="AJ6"/>
          <cell r="AK6"/>
          <cell r="AL6"/>
          <cell r="AM6"/>
          <cell r="AN6"/>
          <cell r="AO6"/>
          <cell r="AP6"/>
          <cell r="AQ6"/>
          <cell r="AR6"/>
          <cell r="AS6"/>
          <cell r="AT6"/>
          <cell r="AU6"/>
          <cell r="AV6"/>
          <cell r="AW6"/>
          <cell r="AX6"/>
          <cell r="AY6"/>
          <cell r="AZ6"/>
          <cell r="BA6"/>
          <cell r="BB6"/>
          <cell r="BC6"/>
          <cell r="BD6"/>
          <cell r="BE6"/>
          <cell r="BF6"/>
          <cell r="BG6"/>
          <cell r="BH6"/>
          <cell r="BI6"/>
          <cell r="BJ6"/>
          <cell r="BK6"/>
          <cell r="BL6"/>
          <cell r="BM6"/>
          <cell r="BN6"/>
          <cell r="BO6"/>
          <cell r="BP6"/>
          <cell r="BQ6"/>
          <cell r="BR6"/>
          <cell r="BS6"/>
          <cell r="BT6"/>
          <cell r="BU6"/>
          <cell r="BV6"/>
          <cell r="BW6"/>
          <cell r="BX6"/>
          <cell r="BY6"/>
          <cell r="BZ6"/>
          <cell r="CA6"/>
          <cell r="CB6"/>
          <cell r="CC6"/>
          <cell r="CD6"/>
          <cell r="CE6"/>
          <cell r="CF6"/>
          <cell r="CG6"/>
          <cell r="CH6"/>
          <cell r="CI6"/>
          <cell r="CJ6"/>
          <cell r="CK6"/>
          <cell r="CL6"/>
          <cell r="CM6"/>
          <cell r="CN6"/>
          <cell r="CO6"/>
          <cell r="CP6"/>
          <cell r="CQ6"/>
          <cell r="CR6"/>
          <cell r="CS6"/>
          <cell r="CT6"/>
          <cell r="CU6"/>
          <cell r="CV6"/>
          <cell r="CW6"/>
          <cell r="CX6"/>
          <cell r="CY6"/>
          <cell r="CZ6"/>
          <cell r="DA6"/>
          <cell r="DB6"/>
          <cell r="DC6"/>
          <cell r="DD6"/>
          <cell r="DE6"/>
          <cell r="DF6"/>
          <cell r="DG6"/>
          <cell r="DH6"/>
          <cell r="DI6"/>
          <cell r="DJ6"/>
          <cell r="DK6"/>
          <cell r="DL6"/>
          <cell r="DM6"/>
          <cell r="DN6"/>
          <cell r="DO6"/>
          <cell r="DP6"/>
          <cell r="DQ6"/>
          <cell r="DR6"/>
          <cell r="DS6"/>
          <cell r="DT6"/>
          <cell r="DU6"/>
          <cell r="DV6"/>
          <cell r="DW6"/>
          <cell r="DX6"/>
          <cell r="DY6"/>
          <cell r="DZ6"/>
          <cell r="EA6"/>
          <cell r="EB6"/>
          <cell r="EC6"/>
          <cell r="ED6"/>
          <cell r="EE6"/>
          <cell r="EF6"/>
          <cell r="EG6"/>
          <cell r="EH6"/>
          <cell r="EI6"/>
          <cell r="EJ6"/>
          <cell r="EK6"/>
          <cell r="EL6"/>
          <cell r="EM6"/>
          <cell r="EN6"/>
          <cell r="EO6"/>
          <cell r="EP6"/>
          <cell r="EQ6"/>
          <cell r="ER6"/>
          <cell r="ES6"/>
          <cell r="ET6"/>
          <cell r="EU6"/>
          <cell r="EV6"/>
          <cell r="EW6"/>
          <cell r="EX6"/>
          <cell r="EY6"/>
          <cell r="EZ6"/>
          <cell r="FA6"/>
          <cell r="FB6"/>
          <cell r="FC6"/>
          <cell r="FD6"/>
          <cell r="FE6"/>
          <cell r="FF6"/>
          <cell r="FG6"/>
          <cell r="FH6"/>
          <cell r="FI6"/>
          <cell r="FJ6"/>
          <cell r="FK6"/>
        </row>
        <row r="7">
          <cell r="A7" t="str">
            <v>Other Primary Income</v>
          </cell>
          <cell r="B7"/>
          <cell r="C7"/>
          <cell r="D7"/>
          <cell r="E7"/>
          <cell r="F7"/>
          <cell r="G7"/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  <cell r="S7"/>
          <cell r="T7"/>
          <cell r="U7"/>
          <cell r="V7"/>
          <cell r="W7"/>
          <cell r="X7"/>
          <cell r="Y7"/>
          <cell r="Z7"/>
          <cell r="AA7"/>
          <cell r="AB7"/>
          <cell r="AC7"/>
          <cell r="AD7"/>
          <cell r="AE7"/>
          <cell r="AF7"/>
          <cell r="AG7"/>
          <cell r="AH7"/>
          <cell r="AI7"/>
          <cell r="AJ7"/>
          <cell r="AK7"/>
          <cell r="AL7"/>
          <cell r="AM7"/>
          <cell r="AN7"/>
          <cell r="AO7"/>
          <cell r="AP7"/>
          <cell r="AQ7"/>
          <cell r="AR7"/>
          <cell r="AS7"/>
          <cell r="AT7"/>
          <cell r="AU7"/>
          <cell r="AV7"/>
          <cell r="AW7"/>
          <cell r="AX7"/>
          <cell r="AY7"/>
          <cell r="AZ7"/>
          <cell r="BA7"/>
          <cell r="BB7"/>
          <cell r="BC7"/>
          <cell r="BD7"/>
          <cell r="BE7">
            <v>0</v>
          </cell>
          <cell r="BF7"/>
          <cell r="BG7"/>
          <cell r="BH7"/>
          <cell r="BI7">
            <v>0</v>
          </cell>
          <cell r="BJ7"/>
          <cell r="BK7"/>
          <cell r="BL7">
            <v>0</v>
          </cell>
          <cell r="BM7"/>
          <cell r="BN7"/>
          <cell r="BO7"/>
          <cell r="BP7"/>
          <cell r="BQ7"/>
          <cell r="BR7"/>
          <cell r="BS7"/>
          <cell r="BT7"/>
          <cell r="BU7"/>
          <cell r="BV7"/>
          <cell r="BW7"/>
          <cell r="BX7"/>
          <cell r="BY7"/>
          <cell r="BZ7"/>
          <cell r="CA7"/>
          <cell r="CB7"/>
          <cell r="CC7"/>
          <cell r="CD7"/>
          <cell r="CE7"/>
          <cell r="CF7">
            <v>0</v>
          </cell>
          <cell r="CG7"/>
          <cell r="CH7"/>
          <cell r="CI7"/>
          <cell r="CJ7"/>
          <cell r="CK7"/>
          <cell r="CL7"/>
          <cell r="CM7"/>
          <cell r="CN7"/>
          <cell r="CO7"/>
          <cell r="CP7"/>
          <cell r="CQ7"/>
          <cell r="CR7"/>
          <cell r="CS7"/>
          <cell r="CT7"/>
          <cell r="CU7"/>
          <cell r="CV7"/>
          <cell r="CW7"/>
          <cell r="CX7"/>
          <cell r="CY7"/>
          <cell r="CZ7"/>
          <cell r="DA7"/>
          <cell r="DB7"/>
          <cell r="DC7"/>
          <cell r="DD7"/>
          <cell r="DE7"/>
          <cell r="DF7"/>
          <cell r="DG7"/>
          <cell r="DH7"/>
          <cell r="DI7"/>
          <cell r="DJ7"/>
          <cell r="DK7"/>
          <cell r="DL7"/>
          <cell r="DM7"/>
          <cell r="DN7"/>
          <cell r="DO7"/>
          <cell r="DP7"/>
          <cell r="DQ7"/>
          <cell r="DR7"/>
          <cell r="DS7"/>
          <cell r="DT7"/>
          <cell r="DU7"/>
          <cell r="DV7">
            <v>0</v>
          </cell>
          <cell r="DW7"/>
          <cell r="DX7"/>
          <cell r="DY7"/>
          <cell r="DZ7"/>
          <cell r="EA7"/>
          <cell r="EB7"/>
          <cell r="EC7"/>
          <cell r="ED7">
            <v>0</v>
          </cell>
          <cell r="EE7"/>
          <cell r="EF7"/>
          <cell r="EG7">
            <v>0</v>
          </cell>
          <cell r="EH7">
            <v>0</v>
          </cell>
          <cell r="EI7"/>
          <cell r="EJ7"/>
          <cell r="EK7"/>
          <cell r="EL7"/>
          <cell r="EM7"/>
          <cell r="EN7"/>
          <cell r="EO7"/>
          <cell r="EP7"/>
          <cell r="EQ7"/>
          <cell r="ER7"/>
          <cell r="ES7"/>
          <cell r="ET7"/>
          <cell r="EU7"/>
          <cell r="EV7"/>
          <cell r="EW7"/>
          <cell r="EX7"/>
          <cell r="EY7"/>
          <cell r="EZ7"/>
          <cell r="FA7"/>
          <cell r="FB7"/>
          <cell r="FC7"/>
          <cell r="FD7"/>
          <cell r="FE7"/>
          <cell r="FF7"/>
          <cell r="FG7"/>
          <cell r="FH7"/>
          <cell r="FI7">
            <v>0</v>
          </cell>
          <cell r="FJ7"/>
          <cell r="FK7">
            <v>0</v>
          </cell>
        </row>
        <row r="8">
          <cell r="A8" t="str">
            <v>Misc Income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  <cell r="T8"/>
          <cell r="U8"/>
          <cell r="V8"/>
          <cell r="W8"/>
          <cell r="X8">
            <v>-3500</v>
          </cell>
          <cell r="Y8">
            <v>1643.18</v>
          </cell>
          <cell r="Z8"/>
          <cell r="AA8">
            <v>101.37</v>
          </cell>
          <cell r="AB8"/>
          <cell r="AC8">
            <v>1388.51</v>
          </cell>
          <cell r="AD8"/>
          <cell r="AE8"/>
          <cell r="AF8">
            <v>5.98</v>
          </cell>
          <cell r="AG8"/>
          <cell r="AH8">
            <v>5346.72</v>
          </cell>
          <cell r="AI8"/>
          <cell r="AJ8">
            <v>3624.24</v>
          </cell>
          <cell r="AK8">
            <v>609.53</v>
          </cell>
          <cell r="AL8"/>
          <cell r="AM8">
            <v>474.36</v>
          </cell>
          <cell r="AN8"/>
          <cell r="AO8"/>
          <cell r="AP8"/>
          <cell r="AQ8"/>
          <cell r="AR8"/>
          <cell r="AS8">
            <v>3059.21</v>
          </cell>
          <cell r="AT8">
            <v>1405.76</v>
          </cell>
          <cell r="AU8"/>
          <cell r="AV8"/>
          <cell r="AW8">
            <v>593.5</v>
          </cell>
          <cell r="AX8"/>
          <cell r="AY8"/>
          <cell r="AZ8"/>
          <cell r="BA8"/>
          <cell r="BB8">
            <v>9504.09</v>
          </cell>
          <cell r="BC8"/>
          <cell r="BD8"/>
          <cell r="BE8">
            <v>24256.45</v>
          </cell>
          <cell r="BF8">
            <v>11216.12</v>
          </cell>
          <cell r="BG8"/>
          <cell r="BH8"/>
          <cell r="BI8">
            <v>0</v>
          </cell>
          <cell r="BJ8"/>
          <cell r="BK8"/>
          <cell r="BL8">
            <v>0</v>
          </cell>
          <cell r="BM8">
            <v>3710.3</v>
          </cell>
          <cell r="BN8"/>
          <cell r="BO8">
            <v>3570</v>
          </cell>
          <cell r="BP8"/>
          <cell r="BQ8"/>
          <cell r="BR8"/>
          <cell r="BS8">
            <v>5000</v>
          </cell>
          <cell r="BT8"/>
          <cell r="BU8">
            <v>2700</v>
          </cell>
          <cell r="BV8">
            <v>513.48</v>
          </cell>
          <cell r="BW8"/>
          <cell r="BX8"/>
          <cell r="BY8"/>
          <cell r="BZ8"/>
          <cell r="CA8"/>
          <cell r="CB8"/>
          <cell r="CC8">
            <v>1512.54</v>
          </cell>
          <cell r="CD8"/>
          <cell r="CE8"/>
          <cell r="CF8">
            <v>17006.32</v>
          </cell>
          <cell r="CG8">
            <v>1355.17</v>
          </cell>
          <cell r="CH8"/>
          <cell r="CI8"/>
          <cell r="CJ8"/>
          <cell r="CK8"/>
          <cell r="CL8"/>
          <cell r="CM8"/>
          <cell r="CN8"/>
          <cell r="CO8"/>
          <cell r="CP8"/>
          <cell r="CQ8"/>
          <cell r="CR8"/>
          <cell r="CS8"/>
          <cell r="CT8"/>
          <cell r="CU8"/>
          <cell r="CV8"/>
          <cell r="CW8">
            <v>196.98</v>
          </cell>
          <cell r="CX8"/>
          <cell r="CY8"/>
          <cell r="CZ8"/>
          <cell r="DA8">
            <v>600.58000000000004</v>
          </cell>
          <cell r="DB8"/>
          <cell r="DC8"/>
          <cell r="DD8">
            <v>4128.1899999999996</v>
          </cell>
          <cell r="DE8"/>
          <cell r="DF8"/>
          <cell r="DG8"/>
          <cell r="DH8"/>
          <cell r="DI8"/>
          <cell r="DJ8"/>
          <cell r="DK8"/>
          <cell r="DL8"/>
          <cell r="DM8"/>
          <cell r="DN8"/>
          <cell r="DO8"/>
          <cell r="DP8">
            <v>287.44</v>
          </cell>
          <cell r="DQ8">
            <v>92.46</v>
          </cell>
          <cell r="DR8">
            <v>523.6</v>
          </cell>
          <cell r="DS8"/>
          <cell r="DT8"/>
          <cell r="DU8">
            <v>12.05</v>
          </cell>
          <cell r="DV8">
            <v>915.55</v>
          </cell>
          <cell r="DW8"/>
          <cell r="DX8">
            <v>1817.52</v>
          </cell>
          <cell r="DY8"/>
          <cell r="DZ8"/>
          <cell r="EA8">
            <v>957.4</v>
          </cell>
          <cell r="EB8"/>
          <cell r="EC8">
            <v>1882.26</v>
          </cell>
          <cell r="ED8">
            <v>4657.18</v>
          </cell>
          <cell r="EE8"/>
          <cell r="EF8"/>
          <cell r="EG8">
            <v>0</v>
          </cell>
          <cell r="EH8">
            <v>11853.65</v>
          </cell>
          <cell r="EI8"/>
          <cell r="EJ8"/>
          <cell r="EK8"/>
          <cell r="EL8"/>
          <cell r="EM8">
            <v>2345.67</v>
          </cell>
          <cell r="EN8"/>
          <cell r="EO8"/>
          <cell r="EP8"/>
          <cell r="EQ8"/>
          <cell r="ER8"/>
          <cell r="ES8"/>
          <cell r="ET8"/>
          <cell r="EU8"/>
          <cell r="EV8"/>
          <cell r="EW8"/>
          <cell r="EX8"/>
          <cell r="EY8"/>
          <cell r="EZ8"/>
          <cell r="FA8"/>
          <cell r="FB8"/>
          <cell r="FC8"/>
          <cell r="FD8"/>
          <cell r="FE8"/>
          <cell r="FF8"/>
          <cell r="FG8">
            <v>875.19</v>
          </cell>
          <cell r="FH8"/>
          <cell r="FI8">
            <v>3220.86</v>
          </cell>
          <cell r="FJ8"/>
          <cell r="FK8">
            <v>67553.399999999994</v>
          </cell>
        </row>
        <row r="9">
          <cell r="A9" t="str">
            <v>Operating Revenue</v>
          </cell>
          <cell r="B9"/>
          <cell r="C9"/>
          <cell r="D9"/>
          <cell r="E9"/>
          <cell r="F9"/>
          <cell r="G9"/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>
            <v>0</v>
          </cell>
          <cell r="BF9"/>
          <cell r="BG9"/>
          <cell r="BH9"/>
          <cell r="BI9">
            <v>0</v>
          </cell>
          <cell r="BJ9"/>
          <cell r="BK9"/>
          <cell r="BL9">
            <v>0</v>
          </cell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  <cell r="CE9"/>
          <cell r="CF9">
            <v>0</v>
          </cell>
          <cell r="CG9"/>
          <cell r="CH9"/>
          <cell r="CI9"/>
          <cell r="CJ9"/>
          <cell r="CK9"/>
          <cell r="CL9"/>
          <cell r="CM9"/>
          <cell r="CN9"/>
          <cell r="CO9"/>
          <cell r="CP9"/>
          <cell r="CQ9"/>
          <cell r="CR9"/>
          <cell r="CS9"/>
          <cell r="CT9"/>
          <cell r="CU9"/>
          <cell r="CV9"/>
          <cell r="CW9"/>
          <cell r="CX9"/>
          <cell r="CY9"/>
          <cell r="CZ9"/>
          <cell r="DA9"/>
          <cell r="DB9"/>
          <cell r="DC9"/>
          <cell r="DD9"/>
          <cell r="DE9"/>
          <cell r="DF9"/>
          <cell r="DG9"/>
          <cell r="DH9"/>
          <cell r="DI9"/>
          <cell r="DJ9"/>
          <cell r="DK9"/>
          <cell r="DL9"/>
          <cell r="DM9"/>
          <cell r="DN9"/>
          <cell r="DO9"/>
          <cell r="DP9"/>
          <cell r="DQ9"/>
          <cell r="DR9"/>
          <cell r="DS9">
            <v>2675</v>
          </cell>
          <cell r="DT9"/>
          <cell r="DU9"/>
          <cell r="DV9">
            <v>2675</v>
          </cell>
          <cell r="DW9"/>
          <cell r="DX9"/>
          <cell r="DY9"/>
          <cell r="DZ9"/>
          <cell r="EA9"/>
          <cell r="EB9"/>
          <cell r="EC9"/>
          <cell r="ED9">
            <v>0</v>
          </cell>
          <cell r="EE9"/>
          <cell r="EF9"/>
          <cell r="EG9">
            <v>0</v>
          </cell>
          <cell r="EH9">
            <v>2675</v>
          </cell>
          <cell r="EI9"/>
          <cell r="EJ9"/>
          <cell r="EK9"/>
          <cell r="EL9"/>
          <cell r="EM9"/>
          <cell r="EN9"/>
          <cell r="EO9"/>
          <cell r="EP9"/>
          <cell r="EQ9"/>
          <cell r="ER9"/>
          <cell r="ES9"/>
          <cell r="ET9"/>
          <cell r="EU9"/>
          <cell r="EV9"/>
          <cell r="EW9"/>
          <cell r="EX9"/>
          <cell r="EY9"/>
          <cell r="EZ9"/>
          <cell r="FA9"/>
          <cell r="FB9"/>
          <cell r="FC9"/>
          <cell r="FD9"/>
          <cell r="FE9"/>
          <cell r="FF9"/>
          <cell r="FG9"/>
          <cell r="FH9"/>
          <cell r="FI9">
            <v>0</v>
          </cell>
          <cell r="FJ9"/>
          <cell r="FK9">
            <v>2675</v>
          </cell>
        </row>
        <row r="10">
          <cell r="A10" t="str">
            <v>Total Other Primary Income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-3500</v>
          </cell>
          <cell r="Y10">
            <v>1643.18</v>
          </cell>
          <cell r="Z10">
            <v>0</v>
          </cell>
          <cell r="AA10">
            <v>101.37</v>
          </cell>
          <cell r="AB10">
            <v>0</v>
          </cell>
          <cell r="AC10">
            <v>1388.51</v>
          </cell>
          <cell r="AD10">
            <v>0</v>
          </cell>
          <cell r="AE10">
            <v>0</v>
          </cell>
          <cell r="AF10">
            <v>5.98</v>
          </cell>
          <cell r="AG10">
            <v>0</v>
          </cell>
          <cell r="AH10">
            <v>5346.72</v>
          </cell>
          <cell r="AI10">
            <v>0</v>
          </cell>
          <cell r="AJ10">
            <v>3624.24</v>
          </cell>
          <cell r="AK10">
            <v>609.53</v>
          </cell>
          <cell r="AL10">
            <v>0</v>
          </cell>
          <cell r="AM10">
            <v>474.36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3059.21</v>
          </cell>
          <cell r="AT10">
            <v>1405.76</v>
          </cell>
          <cell r="AU10">
            <v>0</v>
          </cell>
          <cell r="AV10">
            <v>0</v>
          </cell>
          <cell r="AW10">
            <v>593.5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9504.09</v>
          </cell>
          <cell r="BC10">
            <v>0</v>
          </cell>
          <cell r="BD10">
            <v>0</v>
          </cell>
          <cell r="BE10">
            <v>24256.45</v>
          </cell>
          <cell r="BF10">
            <v>11216.12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3710.3</v>
          </cell>
          <cell r="BN10">
            <v>0</v>
          </cell>
          <cell r="BO10">
            <v>3570</v>
          </cell>
          <cell r="BP10">
            <v>0</v>
          </cell>
          <cell r="BQ10">
            <v>0</v>
          </cell>
          <cell r="BR10">
            <v>0</v>
          </cell>
          <cell r="BS10">
            <v>5000</v>
          </cell>
          <cell r="BT10">
            <v>0</v>
          </cell>
          <cell r="BU10">
            <v>2700</v>
          </cell>
          <cell r="BV10">
            <v>513.48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1512.54</v>
          </cell>
          <cell r="CD10">
            <v>0</v>
          </cell>
          <cell r="CE10">
            <v>0</v>
          </cell>
          <cell r="CF10">
            <v>17006.32</v>
          </cell>
          <cell r="CG10">
            <v>1355.17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196.98</v>
          </cell>
          <cell r="CX10">
            <v>0</v>
          </cell>
          <cell r="CY10">
            <v>0</v>
          </cell>
          <cell r="CZ10">
            <v>0</v>
          </cell>
          <cell r="DA10">
            <v>600.58000000000004</v>
          </cell>
          <cell r="DB10">
            <v>0</v>
          </cell>
          <cell r="DC10">
            <v>0</v>
          </cell>
          <cell r="DD10">
            <v>4128.1899999999996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287.44</v>
          </cell>
          <cell r="DQ10">
            <v>92.46</v>
          </cell>
          <cell r="DR10">
            <v>523.6</v>
          </cell>
          <cell r="DS10">
            <v>2675</v>
          </cell>
          <cell r="DT10">
            <v>0</v>
          </cell>
          <cell r="DU10">
            <v>12.05</v>
          </cell>
          <cell r="DV10">
            <v>3590.55</v>
          </cell>
          <cell r="DW10">
            <v>0</v>
          </cell>
          <cell r="DX10">
            <v>1817.52</v>
          </cell>
          <cell r="DY10">
            <v>0</v>
          </cell>
          <cell r="DZ10">
            <v>0</v>
          </cell>
          <cell r="EA10">
            <v>957.4</v>
          </cell>
          <cell r="EB10">
            <v>0</v>
          </cell>
          <cell r="EC10">
            <v>1882.26</v>
          </cell>
          <cell r="ED10">
            <v>4657.18</v>
          </cell>
          <cell r="EE10">
            <v>0</v>
          </cell>
          <cell r="EF10">
            <v>0</v>
          </cell>
          <cell r="EG10">
            <v>0</v>
          </cell>
          <cell r="EH10">
            <v>14528.65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2345.67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875.19</v>
          </cell>
          <cell r="FH10">
            <v>0</v>
          </cell>
          <cell r="FI10">
            <v>3220.86</v>
          </cell>
          <cell r="FJ10">
            <v>0</v>
          </cell>
          <cell r="FK10">
            <v>70228.399999999994</v>
          </cell>
        </row>
        <row r="11">
          <cell r="A11" t="str">
            <v>Property Income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>
            <v>0</v>
          </cell>
          <cell r="BF11"/>
          <cell r="BG11"/>
          <cell r="BH11"/>
          <cell r="BI11">
            <v>0</v>
          </cell>
          <cell r="BJ11"/>
          <cell r="BK11"/>
          <cell r="BL11">
            <v>0</v>
          </cell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  <cell r="CE11"/>
          <cell r="CF11">
            <v>0</v>
          </cell>
          <cell r="CG11"/>
          <cell r="CH11"/>
          <cell r="CI11"/>
          <cell r="CJ11"/>
          <cell r="CK11"/>
          <cell r="CL11"/>
          <cell r="CM11"/>
          <cell r="CN11"/>
          <cell r="CO11"/>
          <cell r="CP11"/>
          <cell r="CQ11"/>
          <cell r="CR11"/>
          <cell r="CS11"/>
          <cell r="CT11"/>
          <cell r="CU11"/>
          <cell r="CV11"/>
          <cell r="CW11"/>
          <cell r="CX11"/>
          <cell r="CY11"/>
          <cell r="CZ11"/>
          <cell r="DA11"/>
          <cell r="DB11"/>
          <cell r="DC11"/>
          <cell r="DD11"/>
          <cell r="DE11"/>
          <cell r="DF11"/>
          <cell r="DG11"/>
          <cell r="DH11"/>
          <cell r="DI11"/>
          <cell r="DJ11"/>
          <cell r="DK11"/>
          <cell r="DL11"/>
          <cell r="DM11"/>
          <cell r="DN11"/>
          <cell r="DO11"/>
          <cell r="DP11"/>
          <cell r="DQ11"/>
          <cell r="DR11"/>
          <cell r="DS11"/>
          <cell r="DT11"/>
          <cell r="DU11"/>
          <cell r="DV11">
            <v>0</v>
          </cell>
          <cell r="DW11"/>
          <cell r="DX11"/>
          <cell r="DY11"/>
          <cell r="DZ11"/>
          <cell r="EA11"/>
          <cell r="EB11"/>
          <cell r="EC11"/>
          <cell r="ED11">
            <v>0</v>
          </cell>
          <cell r="EE11"/>
          <cell r="EF11"/>
          <cell r="EG11">
            <v>0</v>
          </cell>
          <cell r="EH11">
            <v>0</v>
          </cell>
          <cell r="EI11"/>
          <cell r="EJ11"/>
          <cell r="EK11"/>
          <cell r="EL11"/>
          <cell r="EM11"/>
          <cell r="EN11"/>
          <cell r="EO11"/>
          <cell r="EP11"/>
          <cell r="EQ11"/>
          <cell r="ER11"/>
          <cell r="ES11"/>
          <cell r="ET11"/>
          <cell r="EU11"/>
          <cell r="EV11"/>
          <cell r="EW11"/>
          <cell r="EX11"/>
          <cell r="EY11"/>
          <cell r="EZ11"/>
          <cell r="FA11"/>
          <cell r="FB11"/>
          <cell r="FC11"/>
          <cell r="FD11"/>
          <cell r="FE11"/>
          <cell r="FF11"/>
          <cell r="FG11"/>
          <cell r="FH11"/>
          <cell r="FI11">
            <v>0</v>
          </cell>
          <cell r="FJ11"/>
          <cell r="FK11">
            <v>0</v>
          </cell>
        </row>
        <row r="12">
          <cell r="A12" t="str">
            <v>Flip Income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  <cell r="S12">
            <v>75000</v>
          </cell>
          <cell r="T12">
            <v>290000</v>
          </cell>
          <cell r="U12">
            <v>167000</v>
          </cell>
          <cell r="V12">
            <v>360000</v>
          </cell>
          <cell r="W12">
            <v>90000</v>
          </cell>
          <cell r="X12">
            <v>400000</v>
          </cell>
          <cell r="Y12">
            <v>269000</v>
          </cell>
          <cell r="Z12">
            <v>259000</v>
          </cell>
          <cell r="AA12">
            <v>479000</v>
          </cell>
          <cell r="AB12">
            <v>631000</v>
          </cell>
          <cell r="AC12">
            <v>295000</v>
          </cell>
          <cell r="AD12">
            <v>399000</v>
          </cell>
          <cell r="AE12">
            <v>394000</v>
          </cell>
          <cell r="AF12">
            <v>425000</v>
          </cell>
          <cell r="AG12">
            <v>259000</v>
          </cell>
          <cell r="AH12">
            <v>360000</v>
          </cell>
          <cell r="AI12">
            <v>415000</v>
          </cell>
          <cell r="AJ12">
            <v>240000</v>
          </cell>
          <cell r="AK12">
            <v>330000</v>
          </cell>
          <cell r="AL12"/>
          <cell r="AM12">
            <v>234000</v>
          </cell>
          <cell r="AN12"/>
          <cell r="AO12">
            <v>236000</v>
          </cell>
          <cell r="AP12">
            <v>260000</v>
          </cell>
          <cell r="AQ12"/>
          <cell r="AR12">
            <v>357000</v>
          </cell>
          <cell r="AS12">
            <v>359000</v>
          </cell>
          <cell r="AT12">
            <v>245000</v>
          </cell>
          <cell r="AU12">
            <v>170000</v>
          </cell>
          <cell r="AV12">
            <v>224500</v>
          </cell>
          <cell r="AW12">
            <v>280000</v>
          </cell>
          <cell r="AX12">
            <v>540000</v>
          </cell>
          <cell r="AY12">
            <v>480000</v>
          </cell>
          <cell r="AZ12">
            <v>234900</v>
          </cell>
          <cell r="BA12">
            <v>315000</v>
          </cell>
          <cell r="BB12">
            <v>200000</v>
          </cell>
          <cell r="BC12"/>
          <cell r="BD12">
            <v>380000</v>
          </cell>
          <cell r="BE12">
            <v>10652400</v>
          </cell>
          <cell r="BF12"/>
          <cell r="BG12"/>
          <cell r="BH12"/>
          <cell r="BI12">
            <v>0</v>
          </cell>
          <cell r="BJ12"/>
          <cell r="BK12"/>
          <cell r="BL12">
            <v>0</v>
          </cell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>
            <v>295000</v>
          </cell>
          <cell r="CD12"/>
          <cell r="CE12"/>
          <cell r="CF12">
            <v>295000</v>
          </cell>
          <cell r="CG12"/>
          <cell r="CH12"/>
          <cell r="CI12"/>
          <cell r="CJ12"/>
          <cell r="CK12"/>
          <cell r="CL12"/>
          <cell r="CM12"/>
          <cell r="CN12"/>
          <cell r="CO12"/>
          <cell r="CP12"/>
          <cell r="CQ12"/>
          <cell r="CR12"/>
          <cell r="CS12"/>
          <cell r="CT12"/>
          <cell r="CU12"/>
          <cell r="CV12"/>
          <cell r="CW12"/>
          <cell r="CX12"/>
          <cell r="CY12"/>
          <cell r="CZ12"/>
          <cell r="DA12"/>
          <cell r="DB12"/>
          <cell r="DC12"/>
          <cell r="DD12"/>
          <cell r="DE12"/>
          <cell r="DF12"/>
          <cell r="DG12"/>
          <cell r="DH12"/>
          <cell r="DI12"/>
          <cell r="DJ12"/>
          <cell r="DK12"/>
          <cell r="DL12"/>
          <cell r="DM12"/>
          <cell r="DN12"/>
          <cell r="DO12"/>
          <cell r="DP12"/>
          <cell r="DQ12"/>
          <cell r="DR12"/>
          <cell r="DS12"/>
          <cell r="DT12"/>
          <cell r="DU12"/>
          <cell r="DV12">
            <v>0</v>
          </cell>
          <cell r="DW12"/>
          <cell r="DX12"/>
          <cell r="DY12"/>
          <cell r="DZ12"/>
          <cell r="EA12"/>
          <cell r="EB12"/>
          <cell r="EC12"/>
          <cell r="ED12">
            <v>0</v>
          </cell>
          <cell r="EE12"/>
          <cell r="EF12"/>
          <cell r="EG12">
            <v>0</v>
          </cell>
          <cell r="EH12">
            <v>0</v>
          </cell>
          <cell r="EI12"/>
          <cell r="EJ12"/>
          <cell r="EK12"/>
          <cell r="EL12"/>
          <cell r="EM12"/>
          <cell r="EN12"/>
          <cell r="EO12"/>
          <cell r="EP12"/>
          <cell r="EQ12"/>
          <cell r="ER12"/>
          <cell r="ES12"/>
          <cell r="ET12"/>
          <cell r="EU12"/>
          <cell r="EV12"/>
          <cell r="EW12"/>
          <cell r="EX12"/>
          <cell r="EY12"/>
          <cell r="EZ12"/>
          <cell r="FA12"/>
          <cell r="FB12"/>
          <cell r="FC12"/>
          <cell r="FD12"/>
          <cell r="FE12"/>
          <cell r="FF12"/>
          <cell r="FG12"/>
          <cell r="FH12"/>
          <cell r="FI12">
            <v>0</v>
          </cell>
          <cell r="FJ12"/>
          <cell r="FK12">
            <v>10947400</v>
          </cell>
        </row>
        <row r="13">
          <cell r="A13" t="str">
            <v>Lot/Land Income</v>
          </cell>
          <cell r="B13"/>
          <cell r="C13"/>
          <cell r="D13"/>
          <cell r="E13"/>
          <cell r="F13"/>
          <cell r="G13">
            <v>13382</v>
          </cell>
          <cell r="H13">
            <v>13382</v>
          </cell>
          <cell r="I13">
            <v>92432</v>
          </cell>
          <cell r="J13">
            <v>102586</v>
          </cell>
          <cell r="K13">
            <v>102586</v>
          </cell>
          <cell r="L13"/>
          <cell r="M13"/>
          <cell r="N13"/>
          <cell r="O13"/>
          <cell r="P13"/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>
            <v>0</v>
          </cell>
          <cell r="BF13"/>
          <cell r="BG13"/>
          <cell r="BH13">
            <v>15632</v>
          </cell>
          <cell r="BI13">
            <v>15632</v>
          </cell>
          <cell r="BJ13"/>
          <cell r="BK13"/>
          <cell r="BL13">
            <v>0</v>
          </cell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  <cell r="CE13"/>
          <cell r="CF13">
            <v>0</v>
          </cell>
          <cell r="CG13"/>
          <cell r="CH13"/>
          <cell r="CI13"/>
          <cell r="CJ13"/>
          <cell r="CK13"/>
          <cell r="CL13"/>
          <cell r="CM13"/>
          <cell r="CN13"/>
          <cell r="CO13"/>
          <cell r="CP13"/>
          <cell r="CQ13"/>
          <cell r="CR13"/>
          <cell r="CS13"/>
          <cell r="CT13"/>
          <cell r="CU13"/>
          <cell r="CV13"/>
          <cell r="CW13"/>
          <cell r="CX13"/>
          <cell r="CY13"/>
          <cell r="CZ13"/>
          <cell r="DA13"/>
          <cell r="DB13"/>
          <cell r="DC13"/>
          <cell r="DD13"/>
          <cell r="DE13"/>
          <cell r="DF13"/>
          <cell r="DG13"/>
          <cell r="DH13"/>
          <cell r="DI13"/>
          <cell r="DJ13"/>
          <cell r="DK13"/>
          <cell r="DL13"/>
          <cell r="DM13"/>
          <cell r="DN13"/>
          <cell r="DO13"/>
          <cell r="DP13"/>
          <cell r="DQ13"/>
          <cell r="DR13"/>
          <cell r="DS13"/>
          <cell r="DT13"/>
          <cell r="DU13"/>
          <cell r="DV13">
            <v>0</v>
          </cell>
          <cell r="DW13"/>
          <cell r="DX13"/>
          <cell r="DY13"/>
          <cell r="DZ13"/>
          <cell r="EA13"/>
          <cell r="EB13"/>
          <cell r="EC13"/>
          <cell r="ED13">
            <v>0</v>
          </cell>
          <cell r="EE13"/>
          <cell r="EF13"/>
          <cell r="EG13">
            <v>0</v>
          </cell>
          <cell r="EH13">
            <v>0</v>
          </cell>
          <cell r="EI13"/>
          <cell r="EJ13"/>
          <cell r="EK13"/>
          <cell r="EL13"/>
          <cell r="EM13"/>
          <cell r="EN13"/>
          <cell r="EO13"/>
          <cell r="EP13"/>
          <cell r="EQ13"/>
          <cell r="ER13"/>
          <cell r="ES13"/>
          <cell r="ET13"/>
          <cell r="EU13"/>
          <cell r="EV13"/>
          <cell r="EW13"/>
          <cell r="EX13"/>
          <cell r="EY13"/>
          <cell r="EZ13"/>
          <cell r="FA13"/>
          <cell r="FB13"/>
          <cell r="FC13"/>
          <cell r="FD13"/>
          <cell r="FE13"/>
          <cell r="FF13"/>
          <cell r="FG13"/>
          <cell r="FH13"/>
          <cell r="FI13">
            <v>0</v>
          </cell>
          <cell r="FJ13"/>
          <cell r="FK13">
            <v>340000</v>
          </cell>
        </row>
        <row r="14">
          <cell r="A14" t="str">
            <v>Novation Income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>
            <v>0</v>
          </cell>
          <cell r="BF14"/>
          <cell r="BG14"/>
          <cell r="BH14"/>
          <cell r="BI14">
            <v>0</v>
          </cell>
          <cell r="BJ14"/>
          <cell r="BK14">
            <v>24078.3</v>
          </cell>
          <cell r="BL14">
            <v>24078.3</v>
          </cell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  <cell r="CE14"/>
          <cell r="CF14">
            <v>0</v>
          </cell>
          <cell r="CG14"/>
          <cell r="CH14"/>
          <cell r="CI14"/>
          <cell r="CJ14"/>
          <cell r="CK14"/>
          <cell r="CL14"/>
          <cell r="CM14"/>
          <cell r="CN14"/>
          <cell r="CO14"/>
          <cell r="CP14"/>
          <cell r="CQ14"/>
          <cell r="CR14"/>
          <cell r="CS14"/>
          <cell r="CT14"/>
          <cell r="CU14"/>
          <cell r="CV14"/>
          <cell r="CW14"/>
          <cell r="CX14"/>
          <cell r="CY14"/>
          <cell r="CZ14"/>
          <cell r="DA14"/>
          <cell r="DB14"/>
          <cell r="DC14"/>
          <cell r="DD14"/>
          <cell r="DE14"/>
          <cell r="DF14"/>
          <cell r="DG14"/>
          <cell r="DH14"/>
          <cell r="DI14"/>
          <cell r="DJ14"/>
          <cell r="DK14"/>
          <cell r="DL14"/>
          <cell r="DM14"/>
          <cell r="DN14"/>
          <cell r="DO14"/>
          <cell r="DP14"/>
          <cell r="DQ14"/>
          <cell r="DR14"/>
          <cell r="DS14"/>
          <cell r="DT14"/>
          <cell r="DU14"/>
          <cell r="DV14">
            <v>0</v>
          </cell>
          <cell r="DW14"/>
          <cell r="DX14"/>
          <cell r="DY14"/>
          <cell r="DZ14"/>
          <cell r="EA14"/>
          <cell r="EB14"/>
          <cell r="EC14"/>
          <cell r="ED14">
            <v>0</v>
          </cell>
          <cell r="EE14"/>
          <cell r="EF14"/>
          <cell r="EG14">
            <v>0</v>
          </cell>
          <cell r="EH14">
            <v>0</v>
          </cell>
          <cell r="EI14"/>
          <cell r="EJ14"/>
          <cell r="EK14"/>
          <cell r="EL14"/>
          <cell r="EM14"/>
          <cell r="EN14"/>
          <cell r="EO14"/>
          <cell r="EP14"/>
          <cell r="EQ14"/>
          <cell r="ER14"/>
          <cell r="ES14"/>
          <cell r="ET14"/>
          <cell r="EU14"/>
          <cell r="EV14"/>
          <cell r="EW14"/>
          <cell r="EX14"/>
          <cell r="EY14"/>
          <cell r="EZ14"/>
          <cell r="FA14"/>
          <cell r="FB14"/>
          <cell r="FC14"/>
          <cell r="FD14"/>
          <cell r="FE14"/>
          <cell r="FF14"/>
          <cell r="FG14"/>
          <cell r="FH14"/>
          <cell r="FI14">
            <v>0</v>
          </cell>
          <cell r="FJ14"/>
          <cell r="FK14">
            <v>24078.3</v>
          </cell>
        </row>
        <row r="15">
          <cell r="A15" t="str">
            <v>Rental Income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>
            <v>0</v>
          </cell>
          <cell r="BF15"/>
          <cell r="BG15"/>
          <cell r="BH15"/>
          <cell r="BI15">
            <v>0</v>
          </cell>
          <cell r="BJ15"/>
          <cell r="BK15"/>
          <cell r="BL15">
            <v>0</v>
          </cell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  <cell r="CE15"/>
          <cell r="CF15">
            <v>0</v>
          </cell>
          <cell r="CG15"/>
          <cell r="CH15">
            <v>4400</v>
          </cell>
          <cell r="CI15">
            <v>40733</v>
          </cell>
          <cell r="CJ15">
            <v>31800</v>
          </cell>
          <cell r="CK15"/>
          <cell r="CL15">
            <v>44537</v>
          </cell>
          <cell r="CM15">
            <v>38445.480000000003</v>
          </cell>
          <cell r="CN15">
            <v>390</v>
          </cell>
          <cell r="CO15">
            <v>33440</v>
          </cell>
          <cell r="CP15">
            <v>19904.52</v>
          </cell>
          <cell r="CQ15">
            <v>31568.639999999999</v>
          </cell>
          <cell r="CR15"/>
          <cell r="CS15">
            <v>52500</v>
          </cell>
          <cell r="CT15"/>
          <cell r="CU15">
            <v>15566</v>
          </cell>
          <cell r="CV15">
            <v>36800</v>
          </cell>
          <cell r="CW15">
            <v>36431.43</v>
          </cell>
          <cell r="CX15">
            <v>45180</v>
          </cell>
          <cell r="CY15">
            <v>22500</v>
          </cell>
          <cell r="CZ15"/>
          <cell r="DA15">
            <v>27390.25</v>
          </cell>
          <cell r="DB15">
            <v>7105</v>
          </cell>
          <cell r="DC15">
            <v>39450.620000000003</v>
          </cell>
          <cell r="DD15">
            <v>50246.04</v>
          </cell>
          <cell r="DE15">
            <v>16467</v>
          </cell>
          <cell r="DF15">
            <v>31539</v>
          </cell>
          <cell r="DG15">
            <v>45322.3</v>
          </cell>
          <cell r="DH15">
            <v>27065</v>
          </cell>
          <cell r="DI15">
            <v>42427.49</v>
          </cell>
          <cell r="DJ15">
            <v>19550.240000000002</v>
          </cell>
          <cell r="DK15">
            <v>61988.44</v>
          </cell>
          <cell r="DL15">
            <v>2850</v>
          </cell>
          <cell r="DM15">
            <v>31250</v>
          </cell>
          <cell r="DN15"/>
          <cell r="DO15">
            <v>1800</v>
          </cell>
          <cell r="DP15">
            <v>13614.29</v>
          </cell>
          <cell r="DQ15">
            <v>12350</v>
          </cell>
          <cell r="DR15">
            <v>12258</v>
          </cell>
          <cell r="DS15">
            <v>4586.1899999999996</v>
          </cell>
          <cell r="DT15">
            <v>42520</v>
          </cell>
          <cell r="DU15">
            <v>3054</v>
          </cell>
          <cell r="DV15">
            <v>90182.48</v>
          </cell>
          <cell r="DW15"/>
          <cell r="DX15">
            <v>66000</v>
          </cell>
          <cell r="DY15">
            <v>15637.37</v>
          </cell>
          <cell r="DZ15">
            <v>8762.15</v>
          </cell>
          <cell r="EA15">
            <v>48247.5</v>
          </cell>
          <cell r="EB15">
            <v>16200</v>
          </cell>
          <cell r="EC15">
            <v>36975</v>
          </cell>
          <cell r="ED15">
            <v>191822.02</v>
          </cell>
          <cell r="EE15"/>
          <cell r="EF15"/>
          <cell r="EG15">
            <v>0</v>
          </cell>
          <cell r="EH15">
            <v>1138851.95</v>
          </cell>
          <cell r="EI15"/>
          <cell r="EJ15"/>
          <cell r="EK15"/>
          <cell r="EL15"/>
          <cell r="EM15"/>
          <cell r="EN15"/>
          <cell r="EO15"/>
          <cell r="EP15"/>
          <cell r="EQ15"/>
          <cell r="ER15"/>
          <cell r="ES15"/>
          <cell r="ET15"/>
          <cell r="EU15"/>
          <cell r="EV15"/>
          <cell r="EW15"/>
          <cell r="EX15"/>
          <cell r="EY15"/>
          <cell r="EZ15"/>
          <cell r="FA15"/>
          <cell r="FB15"/>
          <cell r="FC15"/>
          <cell r="FD15"/>
          <cell r="FE15"/>
          <cell r="FF15"/>
          <cell r="FG15"/>
          <cell r="FH15"/>
          <cell r="FI15">
            <v>0</v>
          </cell>
          <cell r="FJ15">
            <v>2850</v>
          </cell>
          <cell r="FK15">
            <v>1141701.95</v>
          </cell>
        </row>
        <row r="16">
          <cell r="A16" t="str">
            <v>Rental Late Fee Income</v>
          </cell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>
            <v>0</v>
          </cell>
          <cell r="BF16"/>
          <cell r="BG16"/>
          <cell r="BH16"/>
          <cell r="BI16">
            <v>0</v>
          </cell>
          <cell r="BJ16"/>
          <cell r="BK16"/>
          <cell r="BL16">
            <v>0</v>
          </cell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  <cell r="CE16"/>
          <cell r="CF16">
            <v>0</v>
          </cell>
          <cell r="CG16"/>
          <cell r="CH16"/>
          <cell r="CI16">
            <v>105</v>
          </cell>
          <cell r="CJ16"/>
          <cell r="CK16"/>
          <cell r="CL16">
            <v>3.74</v>
          </cell>
          <cell r="CM16">
            <v>164.52</v>
          </cell>
          <cell r="CN16"/>
          <cell r="CO16"/>
          <cell r="CP16">
            <v>185.48</v>
          </cell>
          <cell r="CQ16">
            <v>231.36</v>
          </cell>
          <cell r="CR16"/>
          <cell r="CS16">
            <v>125</v>
          </cell>
          <cell r="CT16"/>
          <cell r="CU16"/>
          <cell r="CV16"/>
          <cell r="CW16">
            <v>788.57</v>
          </cell>
          <cell r="CX16"/>
          <cell r="CY16"/>
          <cell r="CZ16"/>
          <cell r="DA16"/>
          <cell r="DB16">
            <v>42.5</v>
          </cell>
          <cell r="DC16"/>
          <cell r="DD16">
            <v>21.22</v>
          </cell>
          <cell r="DE16"/>
          <cell r="DF16"/>
          <cell r="DG16">
            <v>496.66</v>
          </cell>
          <cell r="DH16"/>
          <cell r="DI16">
            <v>548.01</v>
          </cell>
          <cell r="DJ16">
            <v>324.76</v>
          </cell>
          <cell r="DK16">
            <v>1536.81</v>
          </cell>
          <cell r="DL16"/>
          <cell r="DM16"/>
          <cell r="DN16"/>
          <cell r="DO16"/>
          <cell r="DP16">
            <v>655.71</v>
          </cell>
          <cell r="DQ16"/>
          <cell r="DR16">
            <v>180</v>
          </cell>
          <cell r="DS16">
            <v>95.56</v>
          </cell>
          <cell r="DT16">
            <v>386.75</v>
          </cell>
          <cell r="DU16">
            <v>140</v>
          </cell>
          <cell r="DV16">
            <v>1458.02</v>
          </cell>
          <cell r="DW16"/>
          <cell r="DX16"/>
          <cell r="DY16">
            <v>648.13</v>
          </cell>
          <cell r="DZ16">
            <v>203.85</v>
          </cell>
          <cell r="EA16">
            <v>223.47</v>
          </cell>
          <cell r="EB16"/>
          <cell r="EC16"/>
          <cell r="ED16">
            <v>1075.45</v>
          </cell>
          <cell r="EE16"/>
          <cell r="EF16"/>
          <cell r="EG16">
            <v>0</v>
          </cell>
          <cell r="EH16">
            <v>7107.1</v>
          </cell>
          <cell r="EI16"/>
          <cell r="EJ16"/>
          <cell r="EK16"/>
          <cell r="EL16"/>
          <cell r="EM16"/>
          <cell r="EN16"/>
          <cell r="EO16"/>
          <cell r="EP16"/>
          <cell r="EQ16"/>
          <cell r="ER16"/>
          <cell r="ES16"/>
          <cell r="ET16"/>
          <cell r="EU16"/>
          <cell r="EV16"/>
          <cell r="EW16"/>
          <cell r="EX16"/>
          <cell r="EY16"/>
          <cell r="EZ16"/>
          <cell r="FA16"/>
          <cell r="FB16"/>
          <cell r="FC16"/>
          <cell r="FD16"/>
          <cell r="FE16"/>
          <cell r="FF16"/>
          <cell r="FG16"/>
          <cell r="FH16"/>
          <cell r="FI16">
            <v>0</v>
          </cell>
          <cell r="FJ16"/>
          <cell r="FK16">
            <v>7107.1</v>
          </cell>
        </row>
        <row r="17">
          <cell r="A17" t="str">
            <v>Rental Property Sale</v>
          </cell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>
            <v>0</v>
          </cell>
          <cell r="BF17"/>
          <cell r="BG17"/>
          <cell r="BH17"/>
          <cell r="BI17">
            <v>0</v>
          </cell>
          <cell r="BJ17"/>
          <cell r="BK17"/>
          <cell r="BL17">
            <v>0</v>
          </cell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  <cell r="CE17"/>
          <cell r="CF17">
            <v>0</v>
          </cell>
          <cell r="CG17"/>
          <cell r="CH17"/>
          <cell r="CI17"/>
          <cell r="CJ17"/>
          <cell r="CK17"/>
          <cell r="CL17"/>
          <cell r="CM17"/>
          <cell r="CN17"/>
          <cell r="CO17"/>
          <cell r="CP17"/>
          <cell r="CQ17"/>
          <cell r="CR17"/>
          <cell r="CS17"/>
          <cell r="CT17"/>
          <cell r="CU17"/>
          <cell r="CV17"/>
          <cell r="CW17"/>
          <cell r="CX17"/>
          <cell r="CY17"/>
          <cell r="CZ17"/>
          <cell r="DA17"/>
          <cell r="DB17"/>
          <cell r="DC17"/>
          <cell r="DD17">
            <v>400000</v>
          </cell>
          <cell r="DE17">
            <v>125000</v>
          </cell>
          <cell r="DF17"/>
          <cell r="DG17"/>
          <cell r="DH17"/>
          <cell r="DI17"/>
          <cell r="DJ17"/>
          <cell r="DK17"/>
          <cell r="DL17"/>
          <cell r="DM17"/>
          <cell r="DN17"/>
          <cell r="DO17"/>
          <cell r="DP17"/>
          <cell r="DQ17"/>
          <cell r="DR17"/>
          <cell r="DS17"/>
          <cell r="DT17"/>
          <cell r="DU17"/>
          <cell r="DV17">
            <v>0</v>
          </cell>
          <cell r="DW17"/>
          <cell r="DX17"/>
          <cell r="DY17"/>
          <cell r="DZ17"/>
          <cell r="EA17"/>
          <cell r="EB17"/>
          <cell r="EC17"/>
          <cell r="ED17">
            <v>0</v>
          </cell>
          <cell r="EE17"/>
          <cell r="EF17"/>
          <cell r="EG17">
            <v>0</v>
          </cell>
          <cell r="EH17">
            <v>525000</v>
          </cell>
          <cell r="EI17"/>
          <cell r="EJ17"/>
          <cell r="EK17"/>
          <cell r="EL17"/>
          <cell r="EM17"/>
          <cell r="EN17"/>
          <cell r="EO17"/>
          <cell r="EP17"/>
          <cell r="EQ17"/>
          <cell r="ER17"/>
          <cell r="ES17"/>
          <cell r="ET17"/>
          <cell r="EU17"/>
          <cell r="EV17"/>
          <cell r="EW17"/>
          <cell r="EX17"/>
          <cell r="EY17"/>
          <cell r="EZ17"/>
          <cell r="FA17"/>
          <cell r="FB17"/>
          <cell r="FC17"/>
          <cell r="FD17"/>
          <cell r="FE17"/>
          <cell r="FF17"/>
          <cell r="FG17"/>
          <cell r="FH17"/>
          <cell r="FI17">
            <v>0</v>
          </cell>
          <cell r="FJ17"/>
          <cell r="FK17">
            <v>525000</v>
          </cell>
        </row>
        <row r="18">
          <cell r="A18" t="str">
            <v>Rental Utility Income</v>
          </cell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>
            <v>0</v>
          </cell>
          <cell r="BF18"/>
          <cell r="BG18"/>
          <cell r="BH18"/>
          <cell r="BI18">
            <v>0</v>
          </cell>
          <cell r="BJ18"/>
          <cell r="BK18"/>
          <cell r="BL18">
            <v>0</v>
          </cell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  <cell r="CE18"/>
          <cell r="CF18">
            <v>0</v>
          </cell>
          <cell r="CG18"/>
          <cell r="CH18"/>
          <cell r="CI18">
            <v>230</v>
          </cell>
          <cell r="CJ18"/>
          <cell r="CK18"/>
          <cell r="CL18">
            <v>716.26</v>
          </cell>
          <cell r="CM18">
            <v>200</v>
          </cell>
          <cell r="CN18"/>
          <cell r="CO18"/>
          <cell r="CP18"/>
          <cell r="CQ18">
            <v>246.26</v>
          </cell>
          <cell r="CR18"/>
          <cell r="CS18"/>
          <cell r="CT18"/>
          <cell r="CU18"/>
          <cell r="CV18"/>
          <cell r="CW18"/>
          <cell r="CX18">
            <v>255.38</v>
          </cell>
          <cell r="CY18"/>
          <cell r="CZ18"/>
          <cell r="DA18">
            <v>12</v>
          </cell>
          <cell r="DB18"/>
          <cell r="DC18"/>
          <cell r="DD18"/>
          <cell r="DE18">
            <v>100</v>
          </cell>
          <cell r="DF18">
            <v>204.96</v>
          </cell>
          <cell r="DG18">
            <v>155.96</v>
          </cell>
          <cell r="DH18"/>
          <cell r="DI18"/>
          <cell r="DJ18"/>
          <cell r="DK18">
            <v>240.75</v>
          </cell>
          <cell r="DL18"/>
          <cell r="DM18"/>
          <cell r="DN18"/>
          <cell r="DO18"/>
          <cell r="DP18"/>
          <cell r="DQ18"/>
          <cell r="DR18"/>
          <cell r="DS18"/>
          <cell r="DT18"/>
          <cell r="DU18"/>
          <cell r="DV18">
            <v>0</v>
          </cell>
          <cell r="DW18"/>
          <cell r="DX18"/>
          <cell r="DY18"/>
          <cell r="DZ18"/>
          <cell r="EA18">
            <v>819.03</v>
          </cell>
          <cell r="EB18"/>
          <cell r="EC18"/>
          <cell r="ED18">
            <v>819.03</v>
          </cell>
          <cell r="EE18"/>
          <cell r="EF18"/>
          <cell r="EG18">
            <v>0</v>
          </cell>
          <cell r="EH18">
            <v>3180.6</v>
          </cell>
          <cell r="EI18"/>
          <cell r="EJ18"/>
          <cell r="EK18"/>
          <cell r="EL18"/>
          <cell r="EM18"/>
          <cell r="EN18"/>
          <cell r="EO18"/>
          <cell r="EP18"/>
          <cell r="EQ18"/>
          <cell r="ER18"/>
          <cell r="ES18"/>
          <cell r="ET18"/>
          <cell r="EU18"/>
          <cell r="EV18"/>
          <cell r="EW18"/>
          <cell r="EX18"/>
          <cell r="EY18"/>
          <cell r="EZ18"/>
          <cell r="FA18"/>
          <cell r="FB18"/>
          <cell r="FC18"/>
          <cell r="FD18"/>
          <cell r="FE18"/>
          <cell r="FF18"/>
          <cell r="FG18"/>
          <cell r="FH18"/>
          <cell r="FI18">
            <v>0</v>
          </cell>
          <cell r="FJ18"/>
          <cell r="FK18">
            <v>3180.6</v>
          </cell>
        </row>
        <row r="19">
          <cell r="A19" t="str">
            <v>Wholesale Income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>
            <v>78000</v>
          </cell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>
            <v>0</v>
          </cell>
          <cell r="BF19"/>
          <cell r="BG19"/>
          <cell r="BH19"/>
          <cell r="BI19">
            <v>0</v>
          </cell>
          <cell r="BJ19"/>
          <cell r="BK19"/>
          <cell r="BL19">
            <v>0</v>
          </cell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>
            <v>0</v>
          </cell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>
            <v>0</v>
          </cell>
          <cell r="DW19"/>
          <cell r="DX19"/>
          <cell r="DY19"/>
          <cell r="DZ19"/>
          <cell r="EA19"/>
          <cell r="EB19"/>
          <cell r="EC19"/>
          <cell r="ED19">
            <v>0</v>
          </cell>
          <cell r="EE19"/>
          <cell r="EF19"/>
          <cell r="EG19">
            <v>0</v>
          </cell>
          <cell r="EH19">
            <v>0</v>
          </cell>
          <cell r="EI19"/>
          <cell r="EJ19">
            <v>120000</v>
          </cell>
          <cell r="EK19">
            <v>125000</v>
          </cell>
          <cell r="EL19">
            <v>210000</v>
          </cell>
          <cell r="EM19">
            <v>249000</v>
          </cell>
          <cell r="EN19">
            <v>243000</v>
          </cell>
          <cell r="EO19">
            <v>230000</v>
          </cell>
          <cell r="EP19">
            <v>17448.97</v>
          </cell>
          <cell r="EQ19">
            <v>140000</v>
          </cell>
          <cell r="ER19">
            <v>167500</v>
          </cell>
          <cell r="ES19">
            <v>128500</v>
          </cell>
          <cell r="ET19">
            <v>62500</v>
          </cell>
          <cell r="EU19">
            <v>60000</v>
          </cell>
          <cell r="EV19">
            <v>140000</v>
          </cell>
          <cell r="EW19">
            <v>31687.24</v>
          </cell>
          <cell r="EX19">
            <v>79500</v>
          </cell>
          <cell r="EY19">
            <v>235000</v>
          </cell>
          <cell r="EZ19">
            <v>90000</v>
          </cell>
          <cell r="FA19">
            <v>355000</v>
          </cell>
          <cell r="FB19">
            <v>100000</v>
          </cell>
          <cell r="FC19">
            <v>220000</v>
          </cell>
          <cell r="FD19">
            <v>117000</v>
          </cell>
          <cell r="FE19">
            <v>79000</v>
          </cell>
          <cell r="FF19">
            <v>112000</v>
          </cell>
          <cell r="FG19">
            <v>85000</v>
          </cell>
          <cell r="FH19">
            <v>120000</v>
          </cell>
          <cell r="FI19">
            <v>3517136.21</v>
          </cell>
          <cell r="FJ19"/>
          <cell r="FK19">
            <v>3595136.21</v>
          </cell>
        </row>
        <row r="20">
          <cell r="A20" t="str">
            <v>Total Property Income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13382</v>
          </cell>
          <cell r="H20">
            <v>13382</v>
          </cell>
          <cell r="I20">
            <v>92432</v>
          </cell>
          <cell r="J20">
            <v>102586</v>
          </cell>
          <cell r="K20">
            <v>102586</v>
          </cell>
          <cell r="L20">
            <v>78000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75000</v>
          </cell>
          <cell r="T20">
            <v>290000</v>
          </cell>
          <cell r="U20">
            <v>167000</v>
          </cell>
          <cell r="V20">
            <v>360000</v>
          </cell>
          <cell r="W20">
            <v>90000</v>
          </cell>
          <cell r="X20">
            <v>400000</v>
          </cell>
          <cell r="Y20">
            <v>269000</v>
          </cell>
          <cell r="Z20">
            <v>259000</v>
          </cell>
          <cell r="AA20">
            <v>479000</v>
          </cell>
          <cell r="AB20">
            <v>631000</v>
          </cell>
          <cell r="AC20">
            <v>295000</v>
          </cell>
          <cell r="AD20">
            <v>399000</v>
          </cell>
          <cell r="AE20">
            <v>394000</v>
          </cell>
          <cell r="AF20">
            <v>425000</v>
          </cell>
          <cell r="AG20">
            <v>259000</v>
          </cell>
          <cell r="AH20">
            <v>360000</v>
          </cell>
          <cell r="AI20">
            <v>415000</v>
          </cell>
          <cell r="AJ20">
            <v>240000</v>
          </cell>
          <cell r="AK20">
            <v>330000</v>
          </cell>
          <cell r="AL20">
            <v>0</v>
          </cell>
          <cell r="AM20">
            <v>234000</v>
          </cell>
          <cell r="AN20">
            <v>0</v>
          </cell>
          <cell r="AO20">
            <v>236000</v>
          </cell>
          <cell r="AP20">
            <v>260000</v>
          </cell>
          <cell r="AQ20">
            <v>0</v>
          </cell>
          <cell r="AR20">
            <v>357000</v>
          </cell>
          <cell r="AS20">
            <v>359000</v>
          </cell>
          <cell r="AT20">
            <v>245000</v>
          </cell>
          <cell r="AU20">
            <v>170000</v>
          </cell>
          <cell r="AV20">
            <v>224500</v>
          </cell>
          <cell r="AW20">
            <v>280000</v>
          </cell>
          <cell r="AX20">
            <v>540000</v>
          </cell>
          <cell r="AY20">
            <v>480000</v>
          </cell>
          <cell r="AZ20">
            <v>234900</v>
          </cell>
          <cell r="BA20">
            <v>315000</v>
          </cell>
          <cell r="BB20">
            <v>200000</v>
          </cell>
          <cell r="BC20">
            <v>0</v>
          </cell>
          <cell r="BD20">
            <v>380000</v>
          </cell>
          <cell r="BE20">
            <v>10652400</v>
          </cell>
          <cell r="BF20">
            <v>0</v>
          </cell>
          <cell r="BG20">
            <v>0</v>
          </cell>
          <cell r="BH20">
            <v>15632</v>
          </cell>
          <cell r="BI20">
            <v>15632</v>
          </cell>
          <cell r="BJ20">
            <v>0</v>
          </cell>
          <cell r="BK20">
            <v>24078.3</v>
          </cell>
          <cell r="BL20">
            <v>24078.3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295000</v>
          </cell>
          <cell r="CD20">
            <v>0</v>
          </cell>
          <cell r="CE20">
            <v>0</v>
          </cell>
          <cell r="CF20">
            <v>295000</v>
          </cell>
          <cell r="CG20">
            <v>0</v>
          </cell>
          <cell r="CH20">
            <v>4400</v>
          </cell>
          <cell r="CI20">
            <v>41068</v>
          </cell>
          <cell r="CJ20">
            <v>31800</v>
          </cell>
          <cell r="CK20">
            <v>0</v>
          </cell>
          <cell r="CL20">
            <v>45257</v>
          </cell>
          <cell r="CM20">
            <v>38810</v>
          </cell>
          <cell r="CN20">
            <v>390</v>
          </cell>
          <cell r="CO20">
            <v>33440</v>
          </cell>
          <cell r="CP20">
            <v>20090</v>
          </cell>
          <cell r="CQ20">
            <v>32046.26</v>
          </cell>
          <cell r="CR20">
            <v>0</v>
          </cell>
          <cell r="CS20">
            <v>52625</v>
          </cell>
          <cell r="CT20">
            <v>0</v>
          </cell>
          <cell r="CU20">
            <v>15566</v>
          </cell>
          <cell r="CV20">
            <v>36800</v>
          </cell>
          <cell r="CW20">
            <v>37220</v>
          </cell>
          <cell r="CX20">
            <v>45435.38</v>
          </cell>
          <cell r="CY20">
            <v>22500</v>
          </cell>
          <cell r="CZ20">
            <v>0</v>
          </cell>
          <cell r="DA20">
            <v>27402.25</v>
          </cell>
          <cell r="DB20">
            <v>7147.5</v>
          </cell>
          <cell r="DC20">
            <v>39450.620000000003</v>
          </cell>
          <cell r="DD20">
            <v>450267.26</v>
          </cell>
          <cell r="DE20">
            <v>141567</v>
          </cell>
          <cell r="DF20">
            <v>31743.96</v>
          </cell>
          <cell r="DG20">
            <v>45974.92</v>
          </cell>
          <cell r="DH20">
            <v>27065</v>
          </cell>
          <cell r="DI20">
            <v>42975.5</v>
          </cell>
          <cell r="DJ20">
            <v>19875</v>
          </cell>
          <cell r="DK20">
            <v>63766</v>
          </cell>
          <cell r="DL20">
            <v>2850</v>
          </cell>
          <cell r="DM20">
            <v>31250</v>
          </cell>
          <cell r="DN20">
            <v>0</v>
          </cell>
          <cell r="DO20">
            <v>1800</v>
          </cell>
          <cell r="DP20">
            <v>14270</v>
          </cell>
          <cell r="DQ20">
            <v>12350</v>
          </cell>
          <cell r="DR20">
            <v>12438</v>
          </cell>
          <cell r="DS20">
            <v>4681.75</v>
          </cell>
          <cell r="DT20">
            <v>42906.75</v>
          </cell>
          <cell r="DU20">
            <v>3194</v>
          </cell>
          <cell r="DV20">
            <v>91640.5</v>
          </cell>
          <cell r="DW20">
            <v>0</v>
          </cell>
          <cell r="DX20">
            <v>66000</v>
          </cell>
          <cell r="DY20">
            <v>16285.5</v>
          </cell>
          <cell r="DZ20">
            <v>8966</v>
          </cell>
          <cell r="EA20">
            <v>49290</v>
          </cell>
          <cell r="EB20">
            <v>16200</v>
          </cell>
          <cell r="EC20">
            <v>36975</v>
          </cell>
          <cell r="ED20">
            <v>193716.5</v>
          </cell>
          <cell r="EE20">
            <v>0</v>
          </cell>
          <cell r="EF20">
            <v>0</v>
          </cell>
          <cell r="EG20">
            <v>0</v>
          </cell>
          <cell r="EH20">
            <v>1674139.65</v>
          </cell>
          <cell r="EI20">
            <v>0</v>
          </cell>
          <cell r="EJ20">
            <v>120000</v>
          </cell>
          <cell r="EK20">
            <v>125000</v>
          </cell>
          <cell r="EL20">
            <v>210000</v>
          </cell>
          <cell r="EM20">
            <v>249000</v>
          </cell>
          <cell r="EN20">
            <v>243000</v>
          </cell>
          <cell r="EO20">
            <v>230000</v>
          </cell>
          <cell r="EP20">
            <v>17448.97</v>
          </cell>
          <cell r="EQ20">
            <v>140000</v>
          </cell>
          <cell r="ER20">
            <v>167500</v>
          </cell>
          <cell r="ES20">
            <v>128500</v>
          </cell>
          <cell r="ET20">
            <v>62500</v>
          </cell>
          <cell r="EU20">
            <v>60000</v>
          </cell>
          <cell r="EV20">
            <v>140000</v>
          </cell>
          <cell r="EW20">
            <v>31687.24</v>
          </cell>
          <cell r="EX20">
            <v>79500</v>
          </cell>
          <cell r="EY20">
            <v>235000</v>
          </cell>
          <cell r="EZ20">
            <v>90000</v>
          </cell>
          <cell r="FA20">
            <v>355000</v>
          </cell>
          <cell r="FB20">
            <v>100000</v>
          </cell>
          <cell r="FC20">
            <v>220000</v>
          </cell>
          <cell r="FD20">
            <v>117000</v>
          </cell>
          <cell r="FE20">
            <v>79000</v>
          </cell>
          <cell r="FF20">
            <v>112000</v>
          </cell>
          <cell r="FG20">
            <v>85000</v>
          </cell>
          <cell r="FH20">
            <v>120000</v>
          </cell>
          <cell r="FI20">
            <v>3517136.21</v>
          </cell>
          <cell r="FJ20">
            <v>2850</v>
          </cell>
          <cell r="FK20">
            <v>16583604.16</v>
          </cell>
        </row>
        <row r="21">
          <cell r="A21" t="str">
            <v>Security Deposit Income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>
            <v>0</v>
          </cell>
          <cell r="BF21"/>
          <cell r="BG21"/>
          <cell r="BH21"/>
          <cell r="BI21">
            <v>0</v>
          </cell>
          <cell r="BJ21"/>
          <cell r="BK21"/>
          <cell r="BL21">
            <v>0</v>
          </cell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  <cell r="CE21"/>
          <cell r="CF21">
            <v>0</v>
          </cell>
          <cell r="CG21"/>
          <cell r="CH21"/>
          <cell r="CI21"/>
          <cell r="CJ21"/>
          <cell r="CK21"/>
          <cell r="CL21"/>
          <cell r="CM21"/>
          <cell r="CN21"/>
          <cell r="CO21"/>
          <cell r="CP21"/>
          <cell r="CQ21"/>
          <cell r="CR21"/>
          <cell r="CS21"/>
          <cell r="CT21"/>
          <cell r="CU21"/>
          <cell r="CV21"/>
          <cell r="CW21"/>
          <cell r="CX21"/>
          <cell r="CY21"/>
          <cell r="CZ21"/>
          <cell r="DA21">
            <v>1188</v>
          </cell>
          <cell r="DB21"/>
          <cell r="DC21"/>
          <cell r="DD21"/>
          <cell r="DE21"/>
          <cell r="DF21"/>
          <cell r="DG21"/>
          <cell r="DH21"/>
          <cell r="DI21"/>
          <cell r="DJ21"/>
          <cell r="DK21"/>
          <cell r="DL21"/>
          <cell r="DM21"/>
          <cell r="DN21"/>
          <cell r="DO21"/>
          <cell r="DP21"/>
          <cell r="DQ21"/>
          <cell r="DR21"/>
          <cell r="DS21"/>
          <cell r="DT21"/>
          <cell r="DU21"/>
          <cell r="DV21">
            <v>0</v>
          </cell>
          <cell r="DW21"/>
          <cell r="DX21"/>
          <cell r="DY21"/>
          <cell r="DZ21"/>
          <cell r="EA21"/>
          <cell r="EB21"/>
          <cell r="EC21"/>
          <cell r="ED21">
            <v>0</v>
          </cell>
          <cell r="EE21"/>
          <cell r="EF21"/>
          <cell r="EG21">
            <v>0</v>
          </cell>
          <cell r="EH21">
            <v>1188</v>
          </cell>
          <cell r="EI21"/>
          <cell r="EJ21"/>
          <cell r="EK21"/>
          <cell r="EL21"/>
          <cell r="EM21"/>
          <cell r="EN21"/>
          <cell r="EO21"/>
          <cell r="EP21"/>
          <cell r="EQ21"/>
          <cell r="ER21"/>
          <cell r="ES21"/>
          <cell r="ET21"/>
          <cell r="EU21"/>
          <cell r="EV21"/>
          <cell r="EW21"/>
          <cell r="EX21"/>
          <cell r="EY21"/>
          <cell r="EZ21"/>
          <cell r="FA21"/>
          <cell r="FB21"/>
          <cell r="FC21"/>
          <cell r="FD21"/>
          <cell r="FE21"/>
          <cell r="FF21"/>
          <cell r="FG21"/>
          <cell r="FH21"/>
          <cell r="FI21">
            <v>0</v>
          </cell>
          <cell r="FJ21"/>
          <cell r="FK21">
            <v>1188</v>
          </cell>
        </row>
        <row r="22">
          <cell r="A22" t="str">
            <v>Unapplied Cash Payment Income</v>
          </cell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>
            <v>0</v>
          </cell>
          <cell r="BF22"/>
          <cell r="BG22"/>
          <cell r="BH22"/>
          <cell r="BI22">
            <v>0</v>
          </cell>
          <cell r="BJ22"/>
          <cell r="BK22"/>
          <cell r="BL22">
            <v>0</v>
          </cell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  <cell r="CE22"/>
          <cell r="CF22">
            <v>0</v>
          </cell>
          <cell r="CG22"/>
          <cell r="CH22"/>
          <cell r="CI22"/>
          <cell r="CJ22"/>
          <cell r="CK22"/>
          <cell r="CL22"/>
          <cell r="CM22"/>
          <cell r="CN22"/>
          <cell r="CO22"/>
          <cell r="CP22"/>
          <cell r="CQ22"/>
          <cell r="CR22"/>
          <cell r="CS22"/>
          <cell r="CT22"/>
          <cell r="CU22"/>
          <cell r="CV22"/>
          <cell r="CW22"/>
          <cell r="CX22"/>
          <cell r="CY22"/>
          <cell r="CZ22"/>
          <cell r="DA22"/>
          <cell r="DB22"/>
          <cell r="DC22"/>
          <cell r="DD22"/>
          <cell r="DE22"/>
          <cell r="DF22"/>
          <cell r="DG22"/>
          <cell r="DH22"/>
          <cell r="DI22"/>
          <cell r="DJ22"/>
          <cell r="DK22"/>
          <cell r="DL22"/>
          <cell r="DM22"/>
          <cell r="DN22"/>
          <cell r="DO22"/>
          <cell r="DP22"/>
          <cell r="DQ22"/>
          <cell r="DR22"/>
          <cell r="DS22"/>
          <cell r="DT22"/>
          <cell r="DU22"/>
          <cell r="DV22">
            <v>0</v>
          </cell>
          <cell r="DW22"/>
          <cell r="DX22"/>
          <cell r="DY22"/>
          <cell r="DZ22"/>
          <cell r="EA22"/>
          <cell r="EB22"/>
          <cell r="EC22"/>
          <cell r="ED22">
            <v>0</v>
          </cell>
          <cell r="EE22"/>
          <cell r="EF22"/>
          <cell r="EG22">
            <v>0</v>
          </cell>
          <cell r="EH22">
            <v>0</v>
          </cell>
          <cell r="EI22"/>
          <cell r="EJ22"/>
          <cell r="EK22"/>
          <cell r="EL22"/>
          <cell r="EM22"/>
          <cell r="EN22"/>
          <cell r="EO22"/>
          <cell r="EP22"/>
          <cell r="EQ22"/>
          <cell r="ER22"/>
          <cell r="ES22"/>
          <cell r="ET22"/>
          <cell r="EU22"/>
          <cell r="EV22"/>
          <cell r="EW22"/>
          <cell r="EX22"/>
          <cell r="EY22"/>
          <cell r="EZ22"/>
          <cell r="FA22"/>
          <cell r="FB22"/>
          <cell r="FC22"/>
          <cell r="FD22"/>
          <cell r="FE22"/>
          <cell r="FF22"/>
          <cell r="FG22"/>
          <cell r="FH22"/>
          <cell r="FI22">
            <v>0</v>
          </cell>
          <cell r="FJ22">
            <v>2551</v>
          </cell>
          <cell r="FK22">
            <v>2551</v>
          </cell>
        </row>
        <row r="23">
          <cell r="A23" t="str">
            <v>Total Income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13382</v>
          </cell>
          <cell r="H23">
            <v>13382</v>
          </cell>
          <cell r="I23">
            <v>92432</v>
          </cell>
          <cell r="J23">
            <v>102586</v>
          </cell>
          <cell r="K23">
            <v>102586</v>
          </cell>
          <cell r="L23">
            <v>78000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75000</v>
          </cell>
          <cell r="T23">
            <v>290000</v>
          </cell>
          <cell r="U23">
            <v>167000</v>
          </cell>
          <cell r="V23">
            <v>360000</v>
          </cell>
          <cell r="W23">
            <v>90000</v>
          </cell>
          <cell r="X23">
            <v>396500</v>
          </cell>
          <cell r="Y23">
            <v>270643.18</v>
          </cell>
          <cell r="Z23">
            <v>259000</v>
          </cell>
          <cell r="AA23">
            <v>479101.37</v>
          </cell>
          <cell r="AB23">
            <v>631000</v>
          </cell>
          <cell r="AC23">
            <v>296388.51</v>
          </cell>
          <cell r="AD23">
            <v>399000</v>
          </cell>
          <cell r="AE23">
            <v>394000</v>
          </cell>
          <cell r="AF23">
            <v>425005.98</v>
          </cell>
          <cell r="AG23">
            <v>259000</v>
          </cell>
          <cell r="AH23">
            <v>365346.72</v>
          </cell>
          <cell r="AI23">
            <v>415000</v>
          </cell>
          <cell r="AJ23">
            <v>243624.24</v>
          </cell>
          <cell r="AK23">
            <v>330609.53000000003</v>
          </cell>
          <cell r="AL23">
            <v>0</v>
          </cell>
          <cell r="AM23">
            <v>234474.36</v>
          </cell>
          <cell r="AN23">
            <v>0</v>
          </cell>
          <cell r="AO23">
            <v>236000</v>
          </cell>
          <cell r="AP23">
            <v>260000</v>
          </cell>
          <cell r="AQ23">
            <v>0</v>
          </cell>
          <cell r="AR23">
            <v>357000</v>
          </cell>
          <cell r="AS23">
            <v>362059.21</v>
          </cell>
          <cell r="AT23">
            <v>246405.76000000001</v>
          </cell>
          <cell r="AU23">
            <v>170000</v>
          </cell>
          <cell r="AV23">
            <v>224500</v>
          </cell>
          <cell r="AW23">
            <v>280593.5</v>
          </cell>
          <cell r="AX23">
            <v>540000</v>
          </cell>
          <cell r="AY23">
            <v>480000</v>
          </cell>
          <cell r="AZ23">
            <v>234900</v>
          </cell>
          <cell r="BA23">
            <v>315000</v>
          </cell>
          <cell r="BB23">
            <v>209504.09</v>
          </cell>
          <cell r="BC23">
            <v>0</v>
          </cell>
          <cell r="BD23">
            <v>380000</v>
          </cell>
          <cell r="BE23">
            <v>10676656.449999999</v>
          </cell>
          <cell r="BF23">
            <v>11216.12</v>
          </cell>
          <cell r="BG23">
            <v>0</v>
          </cell>
          <cell r="BH23">
            <v>15632</v>
          </cell>
          <cell r="BI23">
            <v>15632</v>
          </cell>
          <cell r="BJ23">
            <v>0</v>
          </cell>
          <cell r="BK23">
            <v>24078.3</v>
          </cell>
          <cell r="BL23">
            <v>24078.3</v>
          </cell>
          <cell r="BM23">
            <v>3710.3</v>
          </cell>
          <cell r="BN23">
            <v>0</v>
          </cell>
          <cell r="BO23">
            <v>3570</v>
          </cell>
          <cell r="BP23">
            <v>0</v>
          </cell>
          <cell r="BQ23">
            <v>0</v>
          </cell>
          <cell r="BR23">
            <v>0</v>
          </cell>
          <cell r="BS23">
            <v>5000</v>
          </cell>
          <cell r="BT23">
            <v>0</v>
          </cell>
          <cell r="BU23">
            <v>2700</v>
          </cell>
          <cell r="BV23">
            <v>513.48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296512.53999999998</v>
          </cell>
          <cell r="CD23">
            <v>0</v>
          </cell>
          <cell r="CE23">
            <v>0</v>
          </cell>
          <cell r="CF23">
            <v>312006.32</v>
          </cell>
          <cell r="CG23">
            <v>1355.17</v>
          </cell>
          <cell r="CH23">
            <v>4400</v>
          </cell>
          <cell r="CI23">
            <v>41068</v>
          </cell>
          <cell r="CJ23">
            <v>31800</v>
          </cell>
          <cell r="CK23">
            <v>0</v>
          </cell>
          <cell r="CL23">
            <v>45257</v>
          </cell>
          <cell r="CM23">
            <v>38810</v>
          </cell>
          <cell r="CN23">
            <v>390</v>
          </cell>
          <cell r="CO23">
            <v>33440</v>
          </cell>
          <cell r="CP23">
            <v>20090</v>
          </cell>
          <cell r="CQ23">
            <v>32046.26</v>
          </cell>
          <cell r="CR23">
            <v>0</v>
          </cell>
          <cell r="CS23">
            <v>52625</v>
          </cell>
          <cell r="CT23">
            <v>0</v>
          </cell>
          <cell r="CU23">
            <v>15566</v>
          </cell>
          <cell r="CV23">
            <v>36800</v>
          </cell>
          <cell r="CW23">
            <v>37416.980000000003</v>
          </cell>
          <cell r="CX23">
            <v>45435.38</v>
          </cell>
          <cell r="CY23">
            <v>22500</v>
          </cell>
          <cell r="CZ23">
            <v>0</v>
          </cell>
          <cell r="DA23">
            <v>29190.83</v>
          </cell>
          <cell r="DB23">
            <v>7147.5</v>
          </cell>
          <cell r="DC23">
            <v>39450.620000000003</v>
          </cell>
          <cell r="DD23">
            <v>454395.45</v>
          </cell>
          <cell r="DE23">
            <v>141567</v>
          </cell>
          <cell r="DF23">
            <v>31743.96</v>
          </cell>
          <cell r="DG23">
            <v>45974.92</v>
          </cell>
          <cell r="DH23">
            <v>27065</v>
          </cell>
          <cell r="DI23">
            <v>42975.5</v>
          </cell>
          <cell r="DJ23">
            <v>19875</v>
          </cell>
          <cell r="DK23">
            <v>63766</v>
          </cell>
          <cell r="DL23">
            <v>2850</v>
          </cell>
          <cell r="DM23">
            <v>31250</v>
          </cell>
          <cell r="DN23">
            <v>0</v>
          </cell>
          <cell r="DO23">
            <v>1800</v>
          </cell>
          <cell r="DP23">
            <v>14557.44</v>
          </cell>
          <cell r="DQ23">
            <v>12442.46</v>
          </cell>
          <cell r="DR23">
            <v>12961.6</v>
          </cell>
          <cell r="DS23">
            <v>7356.75</v>
          </cell>
          <cell r="DT23">
            <v>42906.75</v>
          </cell>
          <cell r="DU23">
            <v>3206.05</v>
          </cell>
          <cell r="DV23">
            <v>95231.05</v>
          </cell>
          <cell r="DW23">
            <v>0</v>
          </cell>
          <cell r="DX23">
            <v>67817.52</v>
          </cell>
          <cell r="DY23">
            <v>16285.5</v>
          </cell>
          <cell r="DZ23">
            <v>8966</v>
          </cell>
          <cell r="EA23">
            <v>50247.4</v>
          </cell>
          <cell r="EB23">
            <v>16200</v>
          </cell>
          <cell r="EC23">
            <v>38857.26</v>
          </cell>
          <cell r="ED23">
            <v>198373.68</v>
          </cell>
          <cell r="EE23">
            <v>0</v>
          </cell>
          <cell r="EF23">
            <v>0</v>
          </cell>
          <cell r="EG23">
            <v>0</v>
          </cell>
          <cell r="EH23">
            <v>1689856.3</v>
          </cell>
          <cell r="EI23">
            <v>0</v>
          </cell>
          <cell r="EJ23">
            <v>120000</v>
          </cell>
          <cell r="EK23">
            <v>125000</v>
          </cell>
          <cell r="EL23">
            <v>210000</v>
          </cell>
          <cell r="EM23">
            <v>251345.67</v>
          </cell>
          <cell r="EN23">
            <v>243000</v>
          </cell>
          <cell r="EO23">
            <v>230000</v>
          </cell>
          <cell r="EP23">
            <v>17448.97</v>
          </cell>
          <cell r="EQ23">
            <v>140000</v>
          </cell>
          <cell r="ER23">
            <v>167500</v>
          </cell>
          <cell r="ES23">
            <v>128500</v>
          </cell>
          <cell r="ET23">
            <v>62500</v>
          </cell>
          <cell r="EU23">
            <v>60000</v>
          </cell>
          <cell r="EV23">
            <v>140000</v>
          </cell>
          <cell r="EW23">
            <v>31687.24</v>
          </cell>
          <cell r="EX23">
            <v>79500</v>
          </cell>
          <cell r="EY23">
            <v>235000</v>
          </cell>
          <cell r="EZ23">
            <v>90000</v>
          </cell>
          <cell r="FA23">
            <v>355000</v>
          </cell>
          <cell r="FB23">
            <v>100000</v>
          </cell>
          <cell r="FC23">
            <v>220000</v>
          </cell>
          <cell r="FD23">
            <v>117000</v>
          </cell>
          <cell r="FE23">
            <v>79000</v>
          </cell>
          <cell r="FF23">
            <v>112000</v>
          </cell>
          <cell r="FG23">
            <v>85875.19</v>
          </cell>
          <cell r="FH23">
            <v>120000</v>
          </cell>
          <cell r="FI23">
            <v>3520357.07</v>
          </cell>
          <cell r="FJ23">
            <v>5401</v>
          </cell>
          <cell r="FK23">
            <v>16657571.560000001</v>
          </cell>
        </row>
        <row r="24">
          <cell r="A24" t="str">
            <v>Cost of Goods Sold</v>
          </cell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  <cell r="CE24"/>
          <cell r="CF24"/>
          <cell r="CG24"/>
          <cell r="CH24"/>
          <cell r="CI24"/>
          <cell r="CJ24"/>
          <cell r="CK24"/>
          <cell r="CL24"/>
          <cell r="CM24"/>
          <cell r="CN24"/>
          <cell r="CO24"/>
          <cell r="CP24"/>
          <cell r="CQ24"/>
          <cell r="CR24"/>
          <cell r="CS24"/>
          <cell r="CT24"/>
          <cell r="CU24"/>
          <cell r="CV24"/>
          <cell r="CW24"/>
          <cell r="CX24"/>
          <cell r="CY24"/>
          <cell r="CZ24"/>
          <cell r="DA24"/>
          <cell r="DB24"/>
          <cell r="DC24"/>
          <cell r="DD24"/>
          <cell r="DE24"/>
          <cell r="DF24"/>
          <cell r="DG24"/>
          <cell r="DH24"/>
          <cell r="DI24"/>
          <cell r="DJ24"/>
          <cell r="DK24"/>
          <cell r="DL24"/>
          <cell r="DM24"/>
          <cell r="DN24"/>
          <cell r="DO24"/>
          <cell r="DP24"/>
          <cell r="DQ24"/>
          <cell r="DR24"/>
          <cell r="DS24"/>
          <cell r="DT24"/>
          <cell r="DU24"/>
          <cell r="DV24"/>
          <cell r="DW24"/>
          <cell r="DX24"/>
          <cell r="DY24"/>
          <cell r="DZ24"/>
          <cell r="EA24"/>
          <cell r="EB24"/>
          <cell r="EC24"/>
          <cell r="ED24"/>
          <cell r="EE24"/>
          <cell r="EF24"/>
          <cell r="EG24"/>
          <cell r="EH24"/>
          <cell r="EI24"/>
          <cell r="EJ24"/>
          <cell r="EK24"/>
          <cell r="EL24"/>
          <cell r="EM24"/>
          <cell r="EN24"/>
          <cell r="EO24"/>
          <cell r="EP24"/>
          <cell r="EQ24"/>
          <cell r="ER24"/>
          <cell r="ES24"/>
          <cell r="ET24"/>
          <cell r="EU24"/>
          <cell r="EV24"/>
          <cell r="EW24"/>
          <cell r="EX24"/>
          <cell r="EY24"/>
          <cell r="EZ24"/>
          <cell r="FA24"/>
          <cell r="FB24"/>
          <cell r="FC24"/>
          <cell r="FD24"/>
          <cell r="FE24"/>
          <cell r="FF24"/>
          <cell r="FG24"/>
          <cell r="FH24"/>
          <cell r="FI24"/>
          <cell r="FJ24"/>
          <cell r="FK24"/>
        </row>
        <row r="25">
          <cell r="A25" t="str">
            <v>COGS - Flips</v>
          </cell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>
            <v>0</v>
          </cell>
          <cell r="BF25"/>
          <cell r="BG25"/>
          <cell r="BH25"/>
          <cell r="BI25">
            <v>0</v>
          </cell>
          <cell r="BJ25"/>
          <cell r="BK25"/>
          <cell r="BL25">
            <v>0</v>
          </cell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  <cell r="CE25"/>
          <cell r="CF25">
            <v>0</v>
          </cell>
          <cell r="CG25"/>
          <cell r="CH25"/>
          <cell r="CI25"/>
          <cell r="CJ25"/>
          <cell r="CK25"/>
          <cell r="CL25"/>
          <cell r="CM25"/>
          <cell r="CN25"/>
          <cell r="CO25"/>
          <cell r="CP25"/>
          <cell r="CQ25"/>
          <cell r="CR25"/>
          <cell r="CS25"/>
          <cell r="CT25"/>
          <cell r="CU25"/>
          <cell r="CV25"/>
          <cell r="CW25"/>
          <cell r="CX25"/>
          <cell r="CY25"/>
          <cell r="CZ25"/>
          <cell r="DA25"/>
          <cell r="DB25"/>
          <cell r="DC25"/>
          <cell r="DD25"/>
          <cell r="DE25"/>
          <cell r="DF25"/>
          <cell r="DG25"/>
          <cell r="DH25"/>
          <cell r="DI25"/>
          <cell r="DJ25"/>
          <cell r="DK25"/>
          <cell r="DL25"/>
          <cell r="DM25"/>
          <cell r="DN25"/>
          <cell r="DO25"/>
          <cell r="DP25"/>
          <cell r="DQ25"/>
          <cell r="DR25"/>
          <cell r="DS25"/>
          <cell r="DT25"/>
          <cell r="DU25"/>
          <cell r="DV25">
            <v>0</v>
          </cell>
          <cell r="DW25"/>
          <cell r="DX25"/>
          <cell r="DY25"/>
          <cell r="DZ25"/>
          <cell r="EA25"/>
          <cell r="EB25"/>
          <cell r="EC25"/>
          <cell r="ED25">
            <v>0</v>
          </cell>
          <cell r="EE25"/>
          <cell r="EF25"/>
          <cell r="EG25">
            <v>0</v>
          </cell>
          <cell r="EH25">
            <v>0</v>
          </cell>
          <cell r="EI25"/>
          <cell r="EJ25"/>
          <cell r="EK25"/>
          <cell r="EL25"/>
          <cell r="EM25"/>
          <cell r="EN25"/>
          <cell r="EO25"/>
          <cell r="EP25"/>
          <cell r="EQ25"/>
          <cell r="ER25"/>
          <cell r="ES25"/>
          <cell r="ET25"/>
          <cell r="EU25"/>
          <cell r="EV25"/>
          <cell r="EW25"/>
          <cell r="EX25"/>
          <cell r="EY25"/>
          <cell r="EZ25"/>
          <cell r="FA25"/>
          <cell r="FB25"/>
          <cell r="FC25"/>
          <cell r="FD25"/>
          <cell r="FE25"/>
          <cell r="FF25"/>
          <cell r="FG25"/>
          <cell r="FH25"/>
          <cell r="FI25">
            <v>0</v>
          </cell>
          <cell r="FJ25"/>
          <cell r="FK25">
            <v>0</v>
          </cell>
        </row>
        <row r="26">
          <cell r="A26" t="str">
            <v>Cash For Keys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  <cell r="Z26">
            <v>1500</v>
          </cell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>
            <v>2000</v>
          </cell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>
            <v>3500</v>
          </cell>
          <cell r="BF26"/>
          <cell r="BG26"/>
          <cell r="BH26"/>
          <cell r="BI26">
            <v>0</v>
          </cell>
          <cell r="BJ26"/>
          <cell r="BK26"/>
          <cell r="BL26">
            <v>0</v>
          </cell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  <cell r="CE26"/>
          <cell r="CF26">
            <v>0</v>
          </cell>
          <cell r="CG26"/>
          <cell r="CH26"/>
          <cell r="CI26"/>
          <cell r="CJ26"/>
          <cell r="CK26"/>
          <cell r="CL26"/>
          <cell r="CM26"/>
          <cell r="CN26"/>
          <cell r="CO26"/>
          <cell r="CP26"/>
          <cell r="CQ26"/>
          <cell r="CR26"/>
          <cell r="CS26"/>
          <cell r="CT26"/>
          <cell r="CU26"/>
          <cell r="CV26"/>
          <cell r="CW26"/>
          <cell r="CX26"/>
          <cell r="CY26"/>
          <cell r="CZ26"/>
          <cell r="DA26"/>
          <cell r="DB26"/>
          <cell r="DC26"/>
          <cell r="DD26"/>
          <cell r="DE26"/>
          <cell r="DF26"/>
          <cell r="DG26"/>
          <cell r="DH26"/>
          <cell r="DI26"/>
          <cell r="DJ26"/>
          <cell r="DK26"/>
          <cell r="DL26"/>
          <cell r="DM26"/>
          <cell r="DN26"/>
          <cell r="DO26"/>
          <cell r="DP26"/>
          <cell r="DQ26"/>
          <cell r="DR26"/>
          <cell r="DS26"/>
          <cell r="DT26"/>
          <cell r="DU26"/>
          <cell r="DV26">
            <v>0</v>
          </cell>
          <cell r="DW26"/>
          <cell r="DX26"/>
          <cell r="DY26"/>
          <cell r="DZ26"/>
          <cell r="EA26"/>
          <cell r="EB26"/>
          <cell r="EC26"/>
          <cell r="ED26">
            <v>0</v>
          </cell>
          <cell r="EE26"/>
          <cell r="EF26"/>
          <cell r="EG26">
            <v>0</v>
          </cell>
          <cell r="EH26">
            <v>0</v>
          </cell>
          <cell r="EI26"/>
          <cell r="EJ26"/>
          <cell r="EK26"/>
          <cell r="EL26"/>
          <cell r="EM26"/>
          <cell r="EN26"/>
          <cell r="EO26"/>
          <cell r="EP26"/>
          <cell r="EQ26"/>
          <cell r="ER26"/>
          <cell r="ES26"/>
          <cell r="ET26"/>
          <cell r="EU26"/>
          <cell r="EV26"/>
          <cell r="EW26"/>
          <cell r="EX26"/>
          <cell r="EY26"/>
          <cell r="EZ26"/>
          <cell r="FA26"/>
          <cell r="FB26"/>
          <cell r="FC26"/>
          <cell r="FD26"/>
          <cell r="FE26"/>
          <cell r="FF26"/>
          <cell r="FG26"/>
          <cell r="FH26"/>
          <cell r="FI26">
            <v>0</v>
          </cell>
          <cell r="FJ26"/>
          <cell r="FK26">
            <v>3500</v>
          </cell>
        </row>
        <row r="27">
          <cell r="A27" t="str">
            <v>Flip Closing Costs</v>
          </cell>
          <cell r="B27"/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>
            <v>4454</v>
          </cell>
          <cell r="R27"/>
          <cell r="S27">
            <v>8273.7900000000009</v>
          </cell>
          <cell r="T27">
            <v>34744.74</v>
          </cell>
          <cell r="U27">
            <v>26400.26</v>
          </cell>
          <cell r="V27">
            <v>34754.660000000003</v>
          </cell>
          <cell r="W27">
            <v>17074.07</v>
          </cell>
          <cell r="X27">
            <v>35225.410000000003</v>
          </cell>
          <cell r="Y27">
            <v>28755.599999999999</v>
          </cell>
          <cell r="Z27">
            <v>24327.47</v>
          </cell>
          <cell r="AA27">
            <v>90231.69</v>
          </cell>
          <cell r="AB27">
            <v>39450.99</v>
          </cell>
          <cell r="AC27">
            <v>27621.37</v>
          </cell>
          <cell r="AD27">
            <v>34767.18</v>
          </cell>
          <cell r="AE27">
            <v>36990.86</v>
          </cell>
          <cell r="AF27">
            <v>42405.67</v>
          </cell>
          <cell r="AG27">
            <v>25640.92</v>
          </cell>
          <cell r="AH27">
            <v>53324.639999999999</v>
          </cell>
          <cell r="AI27">
            <v>43476.94</v>
          </cell>
          <cell r="AJ27">
            <v>29559.95</v>
          </cell>
          <cell r="AK27">
            <v>22956.22</v>
          </cell>
          <cell r="AL27"/>
          <cell r="AM27">
            <v>24210.68</v>
          </cell>
          <cell r="AN27"/>
          <cell r="AO27">
            <v>20860.2</v>
          </cell>
          <cell r="AP27">
            <v>40835.85</v>
          </cell>
          <cell r="AQ27"/>
          <cell r="AR27">
            <v>32538.080000000002</v>
          </cell>
          <cell r="AS27">
            <v>44243.61</v>
          </cell>
          <cell r="AT27">
            <v>28620.86</v>
          </cell>
          <cell r="AU27">
            <v>4155.6899999999996</v>
          </cell>
          <cell r="AV27">
            <v>25170.98</v>
          </cell>
          <cell r="AW27">
            <v>21410.91</v>
          </cell>
          <cell r="AX27">
            <v>47040.91</v>
          </cell>
          <cell r="AY27">
            <v>36512.58</v>
          </cell>
          <cell r="AZ27">
            <v>19641.11</v>
          </cell>
          <cell r="BA27">
            <v>40728.6</v>
          </cell>
          <cell r="BB27">
            <v>25560.92</v>
          </cell>
          <cell r="BC27"/>
          <cell r="BD27">
            <v>48417.79</v>
          </cell>
          <cell r="BE27">
            <v>1115931.2</v>
          </cell>
          <cell r="BF27">
            <v>-3128.59</v>
          </cell>
          <cell r="BG27"/>
          <cell r="BH27"/>
          <cell r="BI27">
            <v>0</v>
          </cell>
          <cell r="BJ27"/>
          <cell r="BK27"/>
          <cell r="BL27">
            <v>0</v>
          </cell>
          <cell r="BM27">
            <v>800</v>
          </cell>
          <cell r="BN27">
            <v>2077.54</v>
          </cell>
          <cell r="BO27">
            <v>0</v>
          </cell>
          <cell r="BP27">
            <v>-252.32</v>
          </cell>
          <cell r="BQ27">
            <v>-887.01</v>
          </cell>
          <cell r="BR27"/>
          <cell r="BS27"/>
          <cell r="BT27"/>
          <cell r="BU27"/>
          <cell r="BV27"/>
          <cell r="BW27">
            <v>-195.8</v>
          </cell>
          <cell r="BX27">
            <v>1000</v>
          </cell>
          <cell r="BY27"/>
          <cell r="BZ27"/>
          <cell r="CA27"/>
          <cell r="CB27">
            <v>-153.44</v>
          </cell>
          <cell r="CC27">
            <v>22972.94</v>
          </cell>
          <cell r="CD27">
            <v>-156</v>
          </cell>
          <cell r="CE27">
            <v>52.62</v>
          </cell>
          <cell r="CF27">
            <v>25258.53</v>
          </cell>
          <cell r="CG27"/>
          <cell r="CH27"/>
          <cell r="CI27"/>
          <cell r="CJ27"/>
          <cell r="CK27"/>
          <cell r="CL27"/>
          <cell r="CM27"/>
          <cell r="CN27"/>
          <cell r="CO27"/>
          <cell r="CP27"/>
          <cell r="CQ27"/>
          <cell r="CR27"/>
          <cell r="CS27"/>
          <cell r="CT27"/>
          <cell r="CU27"/>
          <cell r="CV27"/>
          <cell r="CW27"/>
          <cell r="CX27"/>
          <cell r="CY27"/>
          <cell r="CZ27"/>
          <cell r="DA27"/>
          <cell r="DB27"/>
          <cell r="DC27"/>
          <cell r="DD27"/>
          <cell r="DE27"/>
          <cell r="DF27"/>
          <cell r="DG27"/>
          <cell r="DH27"/>
          <cell r="DI27"/>
          <cell r="DJ27"/>
          <cell r="DK27"/>
          <cell r="DL27"/>
          <cell r="DM27"/>
          <cell r="DN27"/>
          <cell r="DO27"/>
          <cell r="DP27"/>
          <cell r="DQ27"/>
          <cell r="DR27"/>
          <cell r="DS27"/>
          <cell r="DT27"/>
          <cell r="DU27"/>
          <cell r="DV27">
            <v>0</v>
          </cell>
          <cell r="DW27"/>
          <cell r="DX27"/>
          <cell r="DY27"/>
          <cell r="DZ27"/>
          <cell r="EA27"/>
          <cell r="EB27"/>
          <cell r="EC27"/>
          <cell r="ED27">
            <v>0</v>
          </cell>
          <cell r="EE27"/>
          <cell r="EF27"/>
          <cell r="EG27">
            <v>0</v>
          </cell>
          <cell r="EH27">
            <v>0</v>
          </cell>
          <cell r="EI27"/>
          <cell r="EJ27"/>
          <cell r="EK27"/>
          <cell r="EL27"/>
          <cell r="EM27"/>
          <cell r="EN27"/>
          <cell r="EO27"/>
          <cell r="EP27"/>
          <cell r="EQ27"/>
          <cell r="ER27"/>
          <cell r="ES27"/>
          <cell r="ET27"/>
          <cell r="EU27"/>
          <cell r="EV27"/>
          <cell r="EW27"/>
          <cell r="EX27"/>
          <cell r="EY27"/>
          <cell r="EZ27"/>
          <cell r="FA27"/>
          <cell r="FB27"/>
          <cell r="FC27"/>
          <cell r="FD27"/>
          <cell r="FE27"/>
          <cell r="FF27"/>
          <cell r="FG27"/>
          <cell r="FH27"/>
          <cell r="FI27">
            <v>0</v>
          </cell>
          <cell r="FJ27"/>
          <cell r="FK27">
            <v>1142515.1399999999</v>
          </cell>
        </row>
        <row r="28">
          <cell r="A28" t="str">
            <v>Flip Commission</v>
          </cell>
          <cell r="B28"/>
          <cell r="C28"/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  <cell r="V28"/>
          <cell r="W28">
            <v>4500</v>
          </cell>
          <cell r="X28">
            <v>33823.46</v>
          </cell>
          <cell r="Y28"/>
          <cell r="Z28"/>
          <cell r="AA28"/>
          <cell r="AB28"/>
          <cell r="AC28"/>
          <cell r="AD28">
            <v>250</v>
          </cell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>
            <v>1800</v>
          </cell>
          <cell r="AS28"/>
          <cell r="AT28"/>
          <cell r="AU28">
            <v>12500</v>
          </cell>
          <cell r="AV28"/>
          <cell r="AW28"/>
          <cell r="AX28">
            <v>2500</v>
          </cell>
          <cell r="AY28"/>
          <cell r="AZ28"/>
          <cell r="BA28"/>
          <cell r="BB28"/>
          <cell r="BC28"/>
          <cell r="BD28">
            <v>250</v>
          </cell>
          <cell r="BE28">
            <v>3000</v>
          </cell>
          <cell r="BF28"/>
          <cell r="BG28"/>
          <cell r="BH28"/>
          <cell r="BI28">
            <v>0</v>
          </cell>
          <cell r="BJ28"/>
          <cell r="BK28"/>
          <cell r="BL28">
            <v>0</v>
          </cell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>
            <v>14140</v>
          </cell>
          <cell r="CD28"/>
          <cell r="CE28"/>
          <cell r="CF28">
            <v>0</v>
          </cell>
          <cell r="CG28"/>
          <cell r="CH28"/>
          <cell r="CI28"/>
          <cell r="CJ28"/>
          <cell r="CK28"/>
          <cell r="CL28"/>
          <cell r="CM28"/>
          <cell r="CN28"/>
          <cell r="CO28"/>
          <cell r="CP28"/>
          <cell r="CQ28"/>
          <cell r="CR28"/>
          <cell r="CS28"/>
          <cell r="CT28"/>
          <cell r="CU28"/>
          <cell r="CV28"/>
          <cell r="CW28"/>
          <cell r="CX28"/>
          <cell r="CY28"/>
          <cell r="CZ28"/>
          <cell r="DA28"/>
          <cell r="DB28"/>
          <cell r="DC28"/>
          <cell r="DD28"/>
          <cell r="DE28"/>
          <cell r="DF28"/>
          <cell r="DG28"/>
          <cell r="DH28"/>
          <cell r="DI28"/>
          <cell r="DJ28"/>
          <cell r="DK28"/>
          <cell r="DL28"/>
          <cell r="DM28"/>
          <cell r="DN28"/>
          <cell r="DO28"/>
          <cell r="DP28"/>
          <cell r="DQ28"/>
          <cell r="DR28"/>
          <cell r="DS28"/>
          <cell r="DT28"/>
          <cell r="DU28"/>
          <cell r="DV28">
            <v>0</v>
          </cell>
          <cell r="DW28"/>
          <cell r="DX28"/>
          <cell r="DY28"/>
          <cell r="DZ28"/>
          <cell r="EA28"/>
          <cell r="EB28"/>
          <cell r="EC28"/>
          <cell r="ED28">
            <v>0</v>
          </cell>
          <cell r="EE28"/>
          <cell r="EF28"/>
          <cell r="EG28">
            <v>0</v>
          </cell>
          <cell r="EH28">
            <v>0</v>
          </cell>
          <cell r="EI28"/>
          <cell r="EJ28"/>
          <cell r="EK28"/>
          <cell r="EL28"/>
          <cell r="EM28"/>
          <cell r="EN28"/>
          <cell r="EO28"/>
          <cell r="EP28"/>
          <cell r="EQ28"/>
          <cell r="ER28"/>
          <cell r="ES28"/>
          <cell r="ET28"/>
          <cell r="EU28"/>
          <cell r="EV28"/>
          <cell r="EW28"/>
          <cell r="EX28"/>
          <cell r="EY28"/>
          <cell r="EZ28"/>
          <cell r="FA28"/>
          <cell r="FB28"/>
          <cell r="FC28"/>
          <cell r="FD28"/>
          <cell r="FE28"/>
          <cell r="FF28"/>
          <cell r="FG28"/>
          <cell r="FH28"/>
          <cell r="FI28">
            <v>0</v>
          </cell>
          <cell r="FJ28"/>
          <cell r="FK28">
            <v>3000</v>
          </cell>
        </row>
        <row r="29">
          <cell r="A29" t="str">
            <v>Flip Construction</v>
          </cell>
          <cell r="B29"/>
          <cell r="C29"/>
          <cell r="D29"/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  <cell r="T29">
            <v>61496.99</v>
          </cell>
          <cell r="U29">
            <v>25116.39</v>
          </cell>
          <cell r="V29">
            <v>35324.07</v>
          </cell>
          <cell r="W29">
            <v>182.3</v>
          </cell>
          <cell r="X29">
            <v>112217.78</v>
          </cell>
          <cell r="Y29">
            <v>55682.52</v>
          </cell>
          <cell r="Z29">
            <v>37554.75</v>
          </cell>
          <cell r="AA29">
            <v>262275.12</v>
          </cell>
          <cell r="AB29">
            <v>81752.67</v>
          </cell>
          <cell r="AC29">
            <v>17087.97</v>
          </cell>
          <cell r="AD29">
            <v>83565.31</v>
          </cell>
          <cell r="AE29">
            <v>156972.79999999999</v>
          </cell>
          <cell r="AF29">
            <v>93299.68</v>
          </cell>
          <cell r="AG29">
            <v>24707.26</v>
          </cell>
          <cell r="AH29">
            <v>63228.85</v>
          </cell>
          <cell r="AI29">
            <v>181604.22</v>
          </cell>
          <cell r="AJ29">
            <v>31834.75</v>
          </cell>
          <cell r="AK29">
            <v>30200</v>
          </cell>
          <cell r="AL29"/>
          <cell r="AM29">
            <v>52800</v>
          </cell>
          <cell r="AN29"/>
          <cell r="AO29">
            <v>77455</v>
          </cell>
          <cell r="AP29">
            <v>42009.7</v>
          </cell>
          <cell r="AQ29"/>
          <cell r="AR29"/>
          <cell r="AS29">
            <v>93394.880000000005</v>
          </cell>
          <cell r="AT29">
            <v>58619.6</v>
          </cell>
          <cell r="AU29">
            <v>14348.62</v>
          </cell>
          <cell r="AV29">
            <v>14070.34</v>
          </cell>
          <cell r="AW29">
            <v>94318.66</v>
          </cell>
          <cell r="AX29">
            <v>39400</v>
          </cell>
          <cell r="AY29">
            <v>235663.92</v>
          </cell>
          <cell r="AZ29">
            <v>23107.73</v>
          </cell>
          <cell r="BA29">
            <v>30315.47</v>
          </cell>
          <cell r="BB29">
            <v>1740.27</v>
          </cell>
          <cell r="BC29"/>
          <cell r="BD29">
            <v>20115</v>
          </cell>
          <cell r="BE29">
            <v>2151462.62</v>
          </cell>
          <cell r="BF29"/>
          <cell r="BG29"/>
          <cell r="BH29"/>
          <cell r="BI29">
            <v>0</v>
          </cell>
          <cell r="BJ29"/>
          <cell r="BK29"/>
          <cell r="BL29">
            <v>0</v>
          </cell>
          <cell r="BM29"/>
          <cell r="BN29"/>
          <cell r="BO29"/>
          <cell r="BP29"/>
          <cell r="BQ29"/>
          <cell r="BR29"/>
          <cell r="BS29"/>
          <cell r="BT29"/>
          <cell r="BU29"/>
          <cell r="BV29">
            <v>16</v>
          </cell>
          <cell r="BW29"/>
          <cell r="BX29"/>
          <cell r="BY29"/>
          <cell r="BZ29"/>
          <cell r="CA29"/>
          <cell r="CB29"/>
          <cell r="CC29">
            <v>49904.23</v>
          </cell>
          <cell r="CD29"/>
          <cell r="CE29"/>
          <cell r="CF29">
            <v>49920.23</v>
          </cell>
          <cell r="CG29"/>
          <cell r="CH29"/>
          <cell r="CI29"/>
          <cell r="CJ29"/>
          <cell r="CK29"/>
          <cell r="CL29"/>
          <cell r="CM29"/>
          <cell r="CN29"/>
          <cell r="CO29"/>
          <cell r="CP29"/>
          <cell r="CQ29"/>
          <cell r="CR29"/>
          <cell r="CS29"/>
          <cell r="CT29"/>
          <cell r="CU29"/>
          <cell r="CV29"/>
          <cell r="CW29"/>
          <cell r="CX29"/>
          <cell r="CY29"/>
          <cell r="CZ29"/>
          <cell r="DA29"/>
          <cell r="DB29"/>
          <cell r="DC29"/>
          <cell r="DD29"/>
          <cell r="DE29"/>
          <cell r="DF29"/>
          <cell r="DG29"/>
          <cell r="DH29"/>
          <cell r="DI29"/>
          <cell r="DJ29"/>
          <cell r="DK29"/>
          <cell r="DL29"/>
          <cell r="DM29"/>
          <cell r="DN29"/>
          <cell r="DO29"/>
          <cell r="DP29"/>
          <cell r="DQ29"/>
          <cell r="DR29"/>
          <cell r="DS29"/>
          <cell r="DT29"/>
          <cell r="DU29"/>
          <cell r="DV29">
            <v>0</v>
          </cell>
          <cell r="DW29"/>
          <cell r="DX29"/>
          <cell r="DY29"/>
          <cell r="DZ29"/>
          <cell r="EA29"/>
          <cell r="EB29"/>
          <cell r="EC29"/>
          <cell r="ED29">
            <v>0</v>
          </cell>
          <cell r="EE29"/>
          <cell r="EF29"/>
          <cell r="EG29">
            <v>0</v>
          </cell>
          <cell r="EH29">
            <v>0</v>
          </cell>
          <cell r="EI29"/>
          <cell r="EJ29"/>
          <cell r="EK29"/>
          <cell r="EL29"/>
          <cell r="EM29"/>
          <cell r="EN29"/>
          <cell r="EO29"/>
          <cell r="EP29"/>
          <cell r="EQ29"/>
          <cell r="ER29"/>
          <cell r="ES29"/>
          <cell r="ET29"/>
          <cell r="EU29"/>
          <cell r="EV29"/>
          <cell r="EW29"/>
          <cell r="EX29"/>
          <cell r="EY29"/>
          <cell r="EZ29"/>
          <cell r="FA29"/>
          <cell r="FB29"/>
          <cell r="FC29"/>
          <cell r="FD29"/>
          <cell r="FE29"/>
          <cell r="FF29"/>
          <cell r="FG29"/>
          <cell r="FH29"/>
          <cell r="FI29">
            <v>0</v>
          </cell>
          <cell r="FJ29"/>
          <cell r="FK29">
            <v>2201382.85</v>
          </cell>
        </row>
        <row r="30">
          <cell r="A30" t="str">
            <v>Flip Holding Costs</v>
          </cell>
          <cell r="B30"/>
          <cell r="C30"/>
          <cell r="D30"/>
          <cell r="E30"/>
          <cell r="F30">
            <v>-405.02</v>
          </cell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>
            <v>-8908</v>
          </cell>
          <cell r="R30"/>
          <cell r="S30">
            <v>25133.43</v>
          </cell>
          <cell r="T30">
            <v>1164.6500000000001</v>
          </cell>
          <cell r="U30">
            <v>3432.85</v>
          </cell>
          <cell r="V30">
            <v>1283.24</v>
          </cell>
          <cell r="W30">
            <v>1000</v>
          </cell>
          <cell r="X30">
            <v>13589.52</v>
          </cell>
          <cell r="Y30">
            <v>8706.57</v>
          </cell>
          <cell r="Z30">
            <v>10314.61</v>
          </cell>
          <cell r="AA30">
            <v>23198.35</v>
          </cell>
          <cell r="AB30">
            <v>28281.3</v>
          </cell>
          <cell r="AC30">
            <v>2272.71</v>
          </cell>
          <cell r="AD30">
            <v>18965.37</v>
          </cell>
          <cell r="AE30">
            <v>1912.91</v>
          </cell>
          <cell r="AF30">
            <v>8118.56</v>
          </cell>
          <cell r="AG30">
            <v>8419.2000000000007</v>
          </cell>
          <cell r="AH30">
            <v>26886.79</v>
          </cell>
          <cell r="AI30">
            <v>2921.63</v>
          </cell>
          <cell r="AJ30">
            <v>20653.009999999998</v>
          </cell>
          <cell r="AK30">
            <v>10373</v>
          </cell>
          <cell r="AL30"/>
          <cell r="AM30">
            <v>15552.62</v>
          </cell>
          <cell r="AN30"/>
          <cell r="AO30">
            <v>3799.21</v>
          </cell>
          <cell r="AP30">
            <v>6552.79</v>
          </cell>
          <cell r="AQ30"/>
          <cell r="AR30">
            <v>3887.55</v>
          </cell>
          <cell r="AS30">
            <v>16009.4</v>
          </cell>
          <cell r="AT30">
            <v>13284.47</v>
          </cell>
          <cell r="AU30">
            <v>64.099999999999994</v>
          </cell>
          <cell r="AV30">
            <v>837.4</v>
          </cell>
          <cell r="AW30">
            <v>15284.52</v>
          </cell>
          <cell r="AX30">
            <v>2590.0100000000002</v>
          </cell>
          <cell r="AY30">
            <v>38674.839999999997</v>
          </cell>
          <cell r="AZ30">
            <v>22201.09</v>
          </cell>
          <cell r="BA30">
            <v>9692.5400000000009</v>
          </cell>
          <cell r="BB30">
            <v>4557.5600000000004</v>
          </cell>
          <cell r="BC30"/>
          <cell r="BD30">
            <v>3947.53</v>
          </cell>
          <cell r="BE30">
            <v>372059.68</v>
          </cell>
          <cell r="BF30">
            <v>-1427.91</v>
          </cell>
          <cell r="BG30"/>
          <cell r="BH30"/>
          <cell r="BI30">
            <v>0</v>
          </cell>
          <cell r="BJ30"/>
          <cell r="BK30"/>
          <cell r="BL30">
            <v>0</v>
          </cell>
          <cell r="BM30">
            <v>5.12</v>
          </cell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>
            <v>-53</v>
          </cell>
          <cell r="CA30"/>
          <cell r="CB30"/>
          <cell r="CC30">
            <v>1301.1199999999999</v>
          </cell>
          <cell r="CD30"/>
          <cell r="CE30"/>
          <cell r="CF30">
            <v>1253.24</v>
          </cell>
          <cell r="CG30"/>
          <cell r="CH30"/>
          <cell r="CI30"/>
          <cell r="CJ30"/>
          <cell r="CK30"/>
          <cell r="CL30"/>
          <cell r="CM30"/>
          <cell r="CN30"/>
          <cell r="CO30"/>
          <cell r="CP30"/>
          <cell r="CQ30"/>
          <cell r="CR30"/>
          <cell r="CS30"/>
          <cell r="CT30"/>
          <cell r="CU30"/>
          <cell r="CV30"/>
          <cell r="CW30"/>
          <cell r="CX30"/>
          <cell r="CY30">
            <v>-246.67</v>
          </cell>
          <cell r="CZ30"/>
          <cell r="DA30"/>
          <cell r="DB30"/>
          <cell r="DC30"/>
          <cell r="DD30"/>
          <cell r="DE30"/>
          <cell r="DF30"/>
          <cell r="DG30"/>
          <cell r="DH30"/>
          <cell r="DI30"/>
          <cell r="DJ30"/>
          <cell r="DK30"/>
          <cell r="DL30"/>
          <cell r="DM30"/>
          <cell r="DN30"/>
          <cell r="DO30"/>
          <cell r="DP30"/>
          <cell r="DQ30"/>
          <cell r="DR30">
            <v>-907.16</v>
          </cell>
          <cell r="DS30"/>
          <cell r="DT30"/>
          <cell r="DU30"/>
          <cell r="DV30">
            <v>-907.16</v>
          </cell>
          <cell r="DW30"/>
          <cell r="DX30"/>
          <cell r="DY30"/>
          <cell r="DZ30"/>
          <cell r="EA30"/>
          <cell r="EB30"/>
          <cell r="EC30"/>
          <cell r="ED30">
            <v>0</v>
          </cell>
          <cell r="EE30"/>
          <cell r="EF30"/>
          <cell r="EG30">
            <v>0</v>
          </cell>
          <cell r="EH30">
            <v>-1153.83</v>
          </cell>
          <cell r="EI30"/>
          <cell r="EJ30"/>
          <cell r="EK30"/>
          <cell r="EL30"/>
          <cell r="EM30"/>
          <cell r="EN30"/>
          <cell r="EO30"/>
          <cell r="EP30"/>
          <cell r="EQ30"/>
          <cell r="ER30"/>
          <cell r="ES30"/>
          <cell r="ET30"/>
          <cell r="EU30"/>
          <cell r="EV30"/>
          <cell r="EW30"/>
          <cell r="EX30"/>
          <cell r="EY30"/>
          <cell r="EZ30"/>
          <cell r="FA30"/>
          <cell r="FB30"/>
          <cell r="FC30"/>
          <cell r="FD30"/>
          <cell r="FE30"/>
          <cell r="FF30">
            <v>0</v>
          </cell>
          <cell r="FG30"/>
          <cell r="FH30"/>
          <cell r="FI30">
            <v>0</v>
          </cell>
          <cell r="FJ30"/>
          <cell r="FK30">
            <v>361418.16</v>
          </cell>
        </row>
        <row r="31">
          <cell r="A31" t="str">
            <v>Flip JV Profit Share</v>
          </cell>
          <cell r="B31"/>
          <cell r="C31"/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>
            <v>13105.87</v>
          </cell>
          <cell r="BB31"/>
          <cell r="BC31"/>
          <cell r="BD31"/>
          <cell r="BE31">
            <v>13105.87</v>
          </cell>
          <cell r="BF31"/>
          <cell r="BG31"/>
          <cell r="BH31"/>
          <cell r="BI31">
            <v>0</v>
          </cell>
          <cell r="BJ31"/>
          <cell r="BK31"/>
          <cell r="BL31">
            <v>0</v>
          </cell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  <cell r="CE31"/>
          <cell r="CF31">
            <v>0</v>
          </cell>
          <cell r="CG31"/>
          <cell r="CH31"/>
          <cell r="CI31"/>
          <cell r="CJ31"/>
          <cell r="CK31"/>
          <cell r="CL31"/>
          <cell r="CM31"/>
          <cell r="CN31"/>
          <cell r="CO31"/>
          <cell r="CP31"/>
          <cell r="CQ31"/>
          <cell r="CR31"/>
          <cell r="CS31"/>
          <cell r="CT31"/>
          <cell r="CU31"/>
          <cell r="CV31"/>
          <cell r="CW31"/>
          <cell r="CX31"/>
          <cell r="CY31"/>
          <cell r="CZ31"/>
          <cell r="DA31"/>
          <cell r="DB31"/>
          <cell r="DC31"/>
          <cell r="DD31"/>
          <cell r="DE31"/>
          <cell r="DF31"/>
          <cell r="DG31"/>
          <cell r="DH31"/>
          <cell r="DI31"/>
          <cell r="DJ31"/>
          <cell r="DK31"/>
          <cell r="DL31"/>
          <cell r="DM31"/>
          <cell r="DN31"/>
          <cell r="DO31"/>
          <cell r="DP31"/>
          <cell r="DQ31"/>
          <cell r="DR31"/>
          <cell r="DS31"/>
          <cell r="DT31"/>
          <cell r="DU31"/>
          <cell r="DV31">
            <v>0</v>
          </cell>
          <cell r="DW31"/>
          <cell r="DX31"/>
          <cell r="DY31"/>
          <cell r="DZ31"/>
          <cell r="EA31"/>
          <cell r="EB31"/>
          <cell r="EC31"/>
          <cell r="ED31">
            <v>0</v>
          </cell>
          <cell r="EE31"/>
          <cell r="EF31"/>
          <cell r="EG31">
            <v>0</v>
          </cell>
          <cell r="EH31">
            <v>0</v>
          </cell>
          <cell r="EI31"/>
          <cell r="EJ31"/>
          <cell r="EK31"/>
          <cell r="EL31"/>
          <cell r="EM31"/>
          <cell r="EN31"/>
          <cell r="EO31"/>
          <cell r="EP31"/>
          <cell r="EQ31"/>
          <cell r="ER31"/>
          <cell r="ES31"/>
          <cell r="ET31"/>
          <cell r="EU31"/>
          <cell r="EV31"/>
          <cell r="EW31"/>
          <cell r="EX31"/>
          <cell r="EY31"/>
          <cell r="EZ31"/>
          <cell r="FA31"/>
          <cell r="FB31"/>
          <cell r="FC31"/>
          <cell r="FD31"/>
          <cell r="FE31"/>
          <cell r="FF31"/>
          <cell r="FG31"/>
          <cell r="FH31"/>
          <cell r="FI31">
            <v>0</v>
          </cell>
          <cell r="FJ31"/>
          <cell r="FK31">
            <v>13105.87</v>
          </cell>
        </row>
        <row r="32">
          <cell r="A32" t="str">
            <v>Flip Purchase Price</v>
          </cell>
          <cell r="B32"/>
          <cell r="C32"/>
          <cell r="D32"/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>
            <v>65000</v>
          </cell>
          <cell r="T32">
            <v>157000</v>
          </cell>
          <cell r="U32">
            <v>87000</v>
          </cell>
          <cell r="V32">
            <v>260000</v>
          </cell>
          <cell r="W32">
            <v>19453.88</v>
          </cell>
          <cell r="X32">
            <v>175000</v>
          </cell>
          <cell r="Y32">
            <v>158000</v>
          </cell>
          <cell r="Z32">
            <v>162100</v>
          </cell>
          <cell r="AA32">
            <v>45000</v>
          </cell>
          <cell r="AB32">
            <v>378500</v>
          </cell>
          <cell r="AC32">
            <v>225000</v>
          </cell>
          <cell r="AD32">
            <v>248500</v>
          </cell>
          <cell r="AE32">
            <v>155000</v>
          </cell>
          <cell r="AF32">
            <v>230100</v>
          </cell>
          <cell r="AG32">
            <v>160000</v>
          </cell>
          <cell r="AH32">
            <v>237000</v>
          </cell>
          <cell r="AI32">
            <v>250000</v>
          </cell>
          <cell r="AJ32">
            <v>138500</v>
          </cell>
          <cell r="AK32">
            <v>220000</v>
          </cell>
          <cell r="AL32"/>
          <cell r="AM32">
            <v>101750</v>
          </cell>
          <cell r="AN32"/>
          <cell r="AO32">
            <v>55000</v>
          </cell>
          <cell r="AP32">
            <v>153000</v>
          </cell>
          <cell r="AQ32"/>
          <cell r="AR32">
            <v>285000</v>
          </cell>
          <cell r="AS32">
            <v>185000</v>
          </cell>
          <cell r="AT32">
            <v>121500</v>
          </cell>
          <cell r="AU32">
            <v>50000</v>
          </cell>
          <cell r="AV32">
            <v>166000</v>
          </cell>
          <cell r="AW32">
            <v>111000</v>
          </cell>
          <cell r="AX32">
            <v>373500</v>
          </cell>
          <cell r="AY32">
            <v>179500</v>
          </cell>
          <cell r="AZ32">
            <v>150000</v>
          </cell>
          <cell r="BA32">
            <v>173000</v>
          </cell>
          <cell r="BB32">
            <v>167500</v>
          </cell>
          <cell r="BC32"/>
          <cell r="BD32">
            <v>307000</v>
          </cell>
          <cell r="BE32">
            <v>5949903.8799999999</v>
          </cell>
          <cell r="BF32"/>
          <cell r="BG32"/>
          <cell r="BH32"/>
          <cell r="BI32">
            <v>0</v>
          </cell>
          <cell r="BJ32"/>
          <cell r="BK32"/>
          <cell r="BL32">
            <v>0</v>
          </cell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>
            <v>110000</v>
          </cell>
          <cell r="CD32"/>
          <cell r="CE32"/>
          <cell r="CF32">
            <v>110000</v>
          </cell>
          <cell r="CG32"/>
          <cell r="CH32"/>
          <cell r="CI32"/>
          <cell r="CJ32"/>
          <cell r="CK32"/>
          <cell r="CL32"/>
          <cell r="CM32"/>
          <cell r="CN32"/>
          <cell r="CO32"/>
          <cell r="CP32"/>
          <cell r="CQ32"/>
          <cell r="CR32"/>
          <cell r="CS32"/>
          <cell r="CT32"/>
          <cell r="CU32"/>
          <cell r="CV32"/>
          <cell r="CW32"/>
          <cell r="CX32"/>
          <cell r="CY32"/>
          <cell r="CZ32"/>
          <cell r="DA32"/>
          <cell r="DB32"/>
          <cell r="DC32"/>
          <cell r="DD32"/>
          <cell r="DE32"/>
          <cell r="DF32"/>
          <cell r="DG32"/>
          <cell r="DH32"/>
          <cell r="DI32"/>
          <cell r="DJ32"/>
          <cell r="DK32"/>
          <cell r="DL32"/>
          <cell r="DM32"/>
          <cell r="DN32"/>
          <cell r="DO32"/>
          <cell r="DP32"/>
          <cell r="DQ32"/>
          <cell r="DR32"/>
          <cell r="DS32"/>
          <cell r="DT32"/>
          <cell r="DU32"/>
          <cell r="DV32">
            <v>0</v>
          </cell>
          <cell r="DW32"/>
          <cell r="DX32"/>
          <cell r="DY32"/>
          <cell r="DZ32"/>
          <cell r="EA32"/>
          <cell r="EB32"/>
          <cell r="EC32"/>
          <cell r="ED32">
            <v>0</v>
          </cell>
          <cell r="EE32"/>
          <cell r="EF32"/>
          <cell r="EG32">
            <v>0</v>
          </cell>
          <cell r="EH32">
            <v>0</v>
          </cell>
          <cell r="EI32"/>
          <cell r="EJ32"/>
          <cell r="EK32"/>
          <cell r="EL32"/>
          <cell r="EM32"/>
          <cell r="EN32"/>
          <cell r="EO32"/>
          <cell r="EP32"/>
          <cell r="EQ32"/>
          <cell r="ER32"/>
          <cell r="ES32"/>
          <cell r="ET32"/>
          <cell r="EU32"/>
          <cell r="EV32"/>
          <cell r="EW32"/>
          <cell r="EX32"/>
          <cell r="EY32"/>
          <cell r="EZ32"/>
          <cell r="FA32"/>
          <cell r="FB32"/>
          <cell r="FC32"/>
          <cell r="FD32"/>
          <cell r="FE32"/>
          <cell r="FF32"/>
          <cell r="FG32"/>
          <cell r="FH32"/>
          <cell r="FI32">
            <v>0</v>
          </cell>
          <cell r="FJ32"/>
          <cell r="FK32">
            <v>6059903.8799999999</v>
          </cell>
        </row>
        <row r="33">
          <cell r="A33" t="str">
            <v>Total COGS - Flips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-405.02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-4454</v>
          </cell>
          <cell r="R33">
            <v>0</v>
          </cell>
          <cell r="S33">
            <v>98407.22</v>
          </cell>
          <cell r="T33">
            <v>254406.38</v>
          </cell>
          <cell r="U33">
            <v>141949.5</v>
          </cell>
          <cell r="V33">
            <v>331361.96999999997</v>
          </cell>
          <cell r="W33">
            <v>37710.25</v>
          </cell>
          <cell r="X33">
            <v>336032.71</v>
          </cell>
          <cell r="Y33">
            <v>251144.69</v>
          </cell>
          <cell r="Z33">
            <v>235796.83</v>
          </cell>
          <cell r="AA33">
            <v>419201.51</v>
          </cell>
          <cell r="AB33">
            <v>527984.96</v>
          </cell>
          <cell r="AC33">
            <v>271982.05</v>
          </cell>
          <cell r="AD33">
            <v>386047.86</v>
          </cell>
          <cell r="AE33">
            <v>350876.57</v>
          </cell>
          <cell r="AF33">
            <v>373923.91</v>
          </cell>
          <cell r="AG33">
            <v>218767.38</v>
          </cell>
          <cell r="AH33">
            <v>380440.28</v>
          </cell>
          <cell r="AI33">
            <v>478002.79</v>
          </cell>
          <cell r="AJ33">
            <v>220547.71</v>
          </cell>
          <cell r="AK33">
            <v>283529.21999999997</v>
          </cell>
          <cell r="AL33">
            <v>0</v>
          </cell>
          <cell r="AM33">
            <v>194313.3</v>
          </cell>
          <cell r="AN33">
            <v>0</v>
          </cell>
          <cell r="AO33">
            <v>157114.41</v>
          </cell>
          <cell r="AP33">
            <v>242398.34</v>
          </cell>
          <cell r="AQ33">
            <v>2000</v>
          </cell>
          <cell r="AR33">
            <v>321425.63</v>
          </cell>
          <cell r="AS33">
            <v>338647.89</v>
          </cell>
          <cell r="AT33">
            <v>222024.93</v>
          </cell>
          <cell r="AU33">
            <v>68568.41</v>
          </cell>
          <cell r="AV33">
            <v>206078.72</v>
          </cell>
          <cell r="AW33">
            <v>242014.09</v>
          </cell>
          <cell r="AX33">
            <v>465030.92</v>
          </cell>
          <cell r="AY33">
            <v>490351.34</v>
          </cell>
          <cell r="AZ33">
            <v>214949.93</v>
          </cell>
          <cell r="BA33">
            <v>266842.48</v>
          </cell>
          <cell r="BB33">
            <v>199358.75</v>
          </cell>
          <cell r="BC33">
            <v>0</v>
          </cell>
          <cell r="BD33">
            <v>379730.32</v>
          </cell>
          <cell r="BE33">
            <v>9608963.25</v>
          </cell>
          <cell r="BF33">
            <v>-4556.5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805.12</v>
          </cell>
          <cell r="BN33">
            <v>2077.54</v>
          </cell>
          <cell r="BO33">
            <v>0</v>
          </cell>
          <cell r="BP33">
            <v>-252.32</v>
          </cell>
          <cell r="BQ33">
            <v>-887.01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16</v>
          </cell>
          <cell r="BW33">
            <v>-195.8</v>
          </cell>
          <cell r="BX33">
            <v>1000</v>
          </cell>
          <cell r="BY33">
            <v>0</v>
          </cell>
          <cell r="BZ33">
            <v>-53</v>
          </cell>
          <cell r="CA33">
            <v>0</v>
          </cell>
          <cell r="CB33">
            <v>-153.44</v>
          </cell>
          <cell r="CC33">
            <v>184178.29</v>
          </cell>
          <cell r="CD33">
            <v>-156</v>
          </cell>
          <cell r="CE33">
            <v>52.62</v>
          </cell>
          <cell r="CF33">
            <v>186432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-246.67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-907.16</v>
          </cell>
          <cell r="DS33">
            <v>0</v>
          </cell>
          <cell r="DT33">
            <v>0</v>
          </cell>
          <cell r="DU33">
            <v>0</v>
          </cell>
          <cell r="DV33">
            <v>-907.16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-1153.83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9784825.9000000004</v>
          </cell>
        </row>
        <row r="34">
          <cell r="A34" t="str">
            <v>COGS - Rental</v>
          </cell>
          <cell r="B34"/>
          <cell r="C34"/>
          <cell r="D34"/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  <cell r="S34"/>
          <cell r="T34"/>
          <cell r="U34"/>
          <cell r="V34"/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>
            <v>0</v>
          </cell>
          <cell r="BF34"/>
          <cell r="BG34"/>
          <cell r="BH34"/>
          <cell r="BI34">
            <v>0</v>
          </cell>
          <cell r="BJ34"/>
          <cell r="BK34"/>
          <cell r="BL34">
            <v>0</v>
          </cell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  <cell r="CE34"/>
          <cell r="CF34">
            <v>0</v>
          </cell>
          <cell r="CG34"/>
          <cell r="CH34"/>
          <cell r="CI34"/>
          <cell r="CJ34"/>
          <cell r="CK34"/>
          <cell r="CL34"/>
          <cell r="CM34"/>
          <cell r="CN34"/>
          <cell r="CO34"/>
          <cell r="CP34"/>
          <cell r="CQ34"/>
          <cell r="CR34"/>
          <cell r="CS34"/>
          <cell r="CT34"/>
          <cell r="CU34"/>
          <cell r="CV34"/>
          <cell r="CW34"/>
          <cell r="CX34"/>
          <cell r="CY34"/>
          <cell r="CZ34"/>
          <cell r="DA34"/>
          <cell r="DB34"/>
          <cell r="DC34"/>
          <cell r="DD34"/>
          <cell r="DE34"/>
          <cell r="DF34"/>
          <cell r="DG34"/>
          <cell r="DH34"/>
          <cell r="DI34"/>
          <cell r="DJ34"/>
          <cell r="DK34"/>
          <cell r="DL34"/>
          <cell r="DM34"/>
          <cell r="DN34"/>
          <cell r="DO34"/>
          <cell r="DP34"/>
          <cell r="DQ34"/>
          <cell r="DR34"/>
          <cell r="DS34"/>
          <cell r="DT34"/>
          <cell r="DU34"/>
          <cell r="DV34">
            <v>0</v>
          </cell>
          <cell r="DW34"/>
          <cell r="DX34"/>
          <cell r="DY34"/>
          <cell r="DZ34"/>
          <cell r="EA34"/>
          <cell r="EB34"/>
          <cell r="EC34"/>
          <cell r="ED34">
            <v>0</v>
          </cell>
          <cell r="EE34"/>
          <cell r="EF34"/>
          <cell r="EG34">
            <v>0</v>
          </cell>
          <cell r="EH34">
            <v>0</v>
          </cell>
          <cell r="EI34"/>
          <cell r="EJ34"/>
          <cell r="EK34"/>
          <cell r="EL34"/>
          <cell r="EM34"/>
          <cell r="EN34"/>
          <cell r="EO34"/>
          <cell r="EP34"/>
          <cell r="EQ34"/>
          <cell r="ER34"/>
          <cell r="ES34"/>
          <cell r="ET34"/>
          <cell r="EU34"/>
          <cell r="EV34"/>
          <cell r="EW34"/>
          <cell r="EX34"/>
          <cell r="EY34"/>
          <cell r="EZ34"/>
          <cell r="FA34"/>
          <cell r="FB34"/>
          <cell r="FC34"/>
          <cell r="FD34"/>
          <cell r="FE34"/>
          <cell r="FF34"/>
          <cell r="FG34"/>
          <cell r="FH34"/>
          <cell r="FI34">
            <v>0</v>
          </cell>
          <cell r="FJ34"/>
          <cell r="FK34">
            <v>0</v>
          </cell>
        </row>
        <row r="35">
          <cell r="A35" t="str">
            <v>Rental Closing Costs</v>
          </cell>
          <cell r="B35"/>
          <cell r="C35"/>
          <cell r="D35"/>
          <cell r="E35"/>
          <cell r="F35"/>
          <cell r="G35"/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>
            <v>0</v>
          </cell>
          <cell r="BF35">
            <v>6012.24</v>
          </cell>
          <cell r="BG35"/>
          <cell r="BH35"/>
          <cell r="BI35">
            <v>0</v>
          </cell>
          <cell r="BJ35"/>
          <cell r="BK35"/>
          <cell r="BL35">
            <v>0</v>
          </cell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  <cell r="CE35"/>
          <cell r="CF35">
            <v>0</v>
          </cell>
          <cell r="CG35"/>
          <cell r="CH35"/>
          <cell r="CI35"/>
          <cell r="CJ35"/>
          <cell r="CK35"/>
          <cell r="CL35"/>
          <cell r="CM35"/>
          <cell r="CN35"/>
          <cell r="CO35"/>
          <cell r="CP35"/>
          <cell r="CQ35"/>
          <cell r="CR35"/>
          <cell r="CS35"/>
          <cell r="CT35"/>
          <cell r="CU35"/>
          <cell r="CV35"/>
          <cell r="CW35"/>
          <cell r="CX35"/>
          <cell r="CY35"/>
          <cell r="CZ35"/>
          <cell r="DA35"/>
          <cell r="DB35"/>
          <cell r="DC35"/>
          <cell r="DD35">
            <v>31709.93</v>
          </cell>
          <cell r="DE35">
            <v>8097.32</v>
          </cell>
          <cell r="DF35"/>
          <cell r="DG35"/>
          <cell r="DH35"/>
          <cell r="DI35"/>
          <cell r="DJ35"/>
          <cell r="DK35"/>
          <cell r="DL35"/>
          <cell r="DM35"/>
          <cell r="DN35"/>
          <cell r="DO35"/>
          <cell r="DP35"/>
          <cell r="DQ35"/>
          <cell r="DR35"/>
          <cell r="DS35"/>
          <cell r="DT35"/>
          <cell r="DU35"/>
          <cell r="DV35">
            <v>0</v>
          </cell>
          <cell r="DW35"/>
          <cell r="DX35"/>
          <cell r="DY35"/>
          <cell r="DZ35"/>
          <cell r="EA35"/>
          <cell r="EB35"/>
          <cell r="EC35"/>
          <cell r="ED35">
            <v>0</v>
          </cell>
          <cell r="EE35"/>
          <cell r="EF35"/>
          <cell r="EG35">
            <v>0</v>
          </cell>
          <cell r="EH35">
            <v>39807.25</v>
          </cell>
          <cell r="EI35"/>
          <cell r="EJ35"/>
          <cell r="EK35"/>
          <cell r="EL35"/>
          <cell r="EM35"/>
          <cell r="EN35"/>
          <cell r="EO35"/>
          <cell r="EP35"/>
          <cell r="EQ35"/>
          <cell r="ER35"/>
          <cell r="ES35"/>
          <cell r="ET35"/>
          <cell r="EU35"/>
          <cell r="EV35"/>
          <cell r="EW35"/>
          <cell r="EX35"/>
          <cell r="EY35"/>
          <cell r="EZ35"/>
          <cell r="FA35"/>
          <cell r="FB35"/>
          <cell r="FC35"/>
          <cell r="FD35"/>
          <cell r="FE35"/>
          <cell r="FF35"/>
          <cell r="FG35"/>
          <cell r="FH35"/>
          <cell r="FI35">
            <v>0</v>
          </cell>
          <cell r="FJ35"/>
          <cell r="FK35">
            <v>45819.49</v>
          </cell>
        </row>
        <row r="36">
          <cell r="A36" t="str">
            <v>Rental Commission</v>
          </cell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>
            <v>0</v>
          </cell>
          <cell r="BF36"/>
          <cell r="BG36"/>
          <cell r="BH36"/>
          <cell r="BI36">
            <v>0</v>
          </cell>
          <cell r="BJ36"/>
          <cell r="BK36"/>
          <cell r="BL36">
            <v>0</v>
          </cell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  <cell r="CE36"/>
          <cell r="CF36">
            <v>0</v>
          </cell>
          <cell r="CG36"/>
          <cell r="CH36"/>
          <cell r="CI36"/>
          <cell r="CJ36"/>
          <cell r="CK36"/>
          <cell r="CL36"/>
          <cell r="CM36"/>
          <cell r="CN36"/>
          <cell r="CO36"/>
          <cell r="CP36"/>
          <cell r="CQ36"/>
          <cell r="CR36"/>
          <cell r="CS36"/>
          <cell r="CT36"/>
          <cell r="CU36"/>
          <cell r="CV36"/>
          <cell r="CW36"/>
          <cell r="CX36"/>
          <cell r="CY36"/>
          <cell r="CZ36"/>
          <cell r="DA36"/>
          <cell r="DB36"/>
          <cell r="DC36"/>
          <cell r="DD36"/>
          <cell r="DE36"/>
          <cell r="DF36"/>
          <cell r="DG36"/>
          <cell r="DH36"/>
          <cell r="DI36"/>
          <cell r="DJ36"/>
          <cell r="DK36"/>
          <cell r="DL36"/>
          <cell r="DM36"/>
          <cell r="DN36"/>
          <cell r="DO36">
            <v>10200</v>
          </cell>
          <cell r="DP36"/>
          <cell r="DQ36"/>
          <cell r="DR36"/>
          <cell r="DS36">
            <v>1500</v>
          </cell>
          <cell r="DT36"/>
          <cell r="DU36"/>
          <cell r="DV36">
            <v>11700</v>
          </cell>
          <cell r="DW36"/>
          <cell r="DX36"/>
          <cell r="DY36"/>
          <cell r="DZ36">
            <v>7000</v>
          </cell>
          <cell r="EA36"/>
          <cell r="EB36">
            <v>1500</v>
          </cell>
          <cell r="EC36"/>
          <cell r="ED36">
            <v>8500</v>
          </cell>
          <cell r="EE36"/>
          <cell r="EF36"/>
          <cell r="EG36">
            <v>0</v>
          </cell>
          <cell r="EH36">
            <v>20200</v>
          </cell>
          <cell r="EI36"/>
          <cell r="EJ36"/>
          <cell r="EK36"/>
          <cell r="EL36"/>
          <cell r="EM36"/>
          <cell r="EN36"/>
          <cell r="EO36"/>
          <cell r="EP36"/>
          <cell r="EQ36"/>
          <cell r="ER36"/>
          <cell r="ES36"/>
          <cell r="ET36"/>
          <cell r="EU36"/>
          <cell r="EV36"/>
          <cell r="EW36"/>
          <cell r="EX36"/>
          <cell r="EY36"/>
          <cell r="EZ36"/>
          <cell r="FA36"/>
          <cell r="FB36"/>
          <cell r="FC36"/>
          <cell r="FD36"/>
          <cell r="FE36"/>
          <cell r="FF36"/>
          <cell r="FG36"/>
          <cell r="FH36"/>
          <cell r="FI36">
            <v>0</v>
          </cell>
          <cell r="FJ36"/>
          <cell r="FK36">
            <v>20200</v>
          </cell>
        </row>
        <row r="37">
          <cell r="A37" t="str">
            <v>Rental Insurance</v>
          </cell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>
            <v>0</v>
          </cell>
          <cell r="BF37">
            <v>-660.64</v>
          </cell>
          <cell r="BG37"/>
          <cell r="BH37"/>
          <cell r="BI37">
            <v>0</v>
          </cell>
          <cell r="BJ37"/>
          <cell r="BK37"/>
          <cell r="BL37">
            <v>0</v>
          </cell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  <cell r="CE37"/>
          <cell r="CF37">
            <v>0</v>
          </cell>
          <cell r="CG37"/>
          <cell r="CH37"/>
          <cell r="CI37">
            <v>274.70999999999998</v>
          </cell>
          <cell r="CJ37">
            <v>1052.75</v>
          </cell>
          <cell r="CK37"/>
          <cell r="CL37">
            <v>1417.94</v>
          </cell>
          <cell r="CM37"/>
          <cell r="CN37"/>
          <cell r="CO37">
            <v>5688.12</v>
          </cell>
          <cell r="CP37">
            <v>2846.66</v>
          </cell>
          <cell r="CQ37">
            <v>3849.69</v>
          </cell>
          <cell r="CR37"/>
          <cell r="CS37"/>
          <cell r="CT37"/>
          <cell r="CU37">
            <v>2378.35</v>
          </cell>
          <cell r="CV37">
            <v>2542.9899999999998</v>
          </cell>
          <cell r="CW37">
            <v>1646.84</v>
          </cell>
          <cell r="CX37"/>
          <cell r="CY37">
            <v>1053.75</v>
          </cell>
          <cell r="CZ37"/>
          <cell r="DA37">
            <v>3331.12</v>
          </cell>
          <cell r="DB37"/>
          <cell r="DC37">
            <v>1756.7</v>
          </cell>
          <cell r="DD37"/>
          <cell r="DE37">
            <v>1763.7</v>
          </cell>
          <cell r="DF37">
            <v>1274.4000000000001</v>
          </cell>
          <cell r="DG37">
            <v>1468.9</v>
          </cell>
          <cell r="DH37">
            <v>1461.81</v>
          </cell>
          <cell r="DI37">
            <v>82.37</v>
          </cell>
          <cell r="DJ37">
            <v>701.5</v>
          </cell>
          <cell r="DK37">
            <v>3977.62</v>
          </cell>
          <cell r="DL37"/>
          <cell r="DM37">
            <v>1243.67</v>
          </cell>
          <cell r="DN37"/>
          <cell r="DO37"/>
          <cell r="DP37"/>
          <cell r="DQ37">
            <v>2968.4</v>
          </cell>
          <cell r="DR37"/>
          <cell r="DS37"/>
          <cell r="DT37">
            <v>14.92</v>
          </cell>
          <cell r="DU37"/>
          <cell r="DV37">
            <v>2983.32</v>
          </cell>
          <cell r="DW37"/>
          <cell r="DX37">
            <v>486.42</v>
          </cell>
          <cell r="DY37">
            <v>-385.32</v>
          </cell>
          <cell r="DZ37">
            <v>2900.84</v>
          </cell>
          <cell r="EA37">
            <v>623.12</v>
          </cell>
          <cell r="EB37">
            <v>2157.86</v>
          </cell>
          <cell r="EC37">
            <v>10.08</v>
          </cell>
          <cell r="ED37">
            <v>5793</v>
          </cell>
          <cell r="EE37"/>
          <cell r="EF37"/>
          <cell r="EG37">
            <v>0</v>
          </cell>
          <cell r="EH37">
            <v>48589.91</v>
          </cell>
          <cell r="EI37"/>
          <cell r="EJ37"/>
          <cell r="EK37"/>
          <cell r="EL37"/>
          <cell r="EM37"/>
          <cell r="EN37"/>
          <cell r="EO37"/>
          <cell r="EP37"/>
          <cell r="EQ37"/>
          <cell r="ER37"/>
          <cell r="ES37"/>
          <cell r="ET37"/>
          <cell r="EU37"/>
          <cell r="EV37"/>
          <cell r="EW37"/>
          <cell r="EX37"/>
          <cell r="EY37"/>
          <cell r="EZ37"/>
          <cell r="FA37"/>
          <cell r="FB37"/>
          <cell r="FC37"/>
          <cell r="FD37"/>
          <cell r="FE37"/>
          <cell r="FF37"/>
          <cell r="FG37"/>
          <cell r="FH37"/>
          <cell r="FI37">
            <v>0</v>
          </cell>
          <cell r="FJ37">
            <v>3052.68</v>
          </cell>
          <cell r="FK37">
            <v>50981.95</v>
          </cell>
        </row>
        <row r="38">
          <cell r="A38" t="str">
            <v>Rental Interest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>
            <v>0</v>
          </cell>
          <cell r="BF38">
            <v>11760.81</v>
          </cell>
          <cell r="BG38"/>
          <cell r="BH38"/>
          <cell r="BI38">
            <v>0</v>
          </cell>
          <cell r="BJ38"/>
          <cell r="BK38"/>
          <cell r="BL38">
            <v>0</v>
          </cell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  <cell r="CE38"/>
          <cell r="CF38">
            <v>0</v>
          </cell>
          <cell r="CG38">
            <v>2312.9699999999998</v>
          </cell>
          <cell r="CH38"/>
          <cell r="CI38">
            <v>9642.99</v>
          </cell>
          <cell r="CJ38">
            <v>17686.71</v>
          </cell>
          <cell r="CK38"/>
          <cell r="CL38">
            <v>11094.47</v>
          </cell>
          <cell r="CM38">
            <v>9595.77</v>
          </cell>
          <cell r="CN38">
            <v>2090</v>
          </cell>
          <cell r="CO38">
            <v>11812.16</v>
          </cell>
          <cell r="CP38">
            <v>13164.29</v>
          </cell>
          <cell r="CQ38">
            <v>42948.6</v>
          </cell>
          <cell r="CR38"/>
          <cell r="CS38">
            <v>7067.94</v>
          </cell>
          <cell r="CT38"/>
          <cell r="CU38">
            <v>10848.8</v>
          </cell>
          <cell r="CV38">
            <v>19319.79</v>
          </cell>
          <cell r="CW38">
            <v>15068.87</v>
          </cell>
          <cell r="CX38">
            <v>10725.51</v>
          </cell>
          <cell r="CY38">
            <v>11474.42</v>
          </cell>
          <cell r="CZ38"/>
          <cell r="DA38">
            <v>11346.76</v>
          </cell>
          <cell r="DB38"/>
          <cell r="DC38">
            <v>8944.61</v>
          </cell>
          <cell r="DD38">
            <v>8637.08</v>
          </cell>
          <cell r="DE38">
            <v>7786.18</v>
          </cell>
          <cell r="DF38">
            <v>10719.54</v>
          </cell>
          <cell r="DG38">
            <v>11318.49</v>
          </cell>
          <cell r="DH38">
            <v>16782.939999999999</v>
          </cell>
          <cell r="DI38">
            <v>9825.4699999999993</v>
          </cell>
          <cell r="DJ38">
            <v>11714.66</v>
          </cell>
          <cell r="DK38">
            <v>17406.86</v>
          </cell>
          <cell r="DL38"/>
          <cell r="DM38">
            <v>13905.45</v>
          </cell>
          <cell r="DN38"/>
          <cell r="DO38">
            <v>5112.04</v>
          </cell>
          <cell r="DP38">
            <v>10054.5</v>
          </cell>
          <cell r="DQ38">
            <v>11957.07</v>
          </cell>
          <cell r="DR38">
            <v>9181.68</v>
          </cell>
          <cell r="DS38">
            <v>7741.95</v>
          </cell>
          <cell r="DT38">
            <v>20732.43</v>
          </cell>
          <cell r="DU38">
            <v>5435.99</v>
          </cell>
          <cell r="DV38">
            <v>70215.66</v>
          </cell>
          <cell r="DW38"/>
          <cell r="DX38">
            <v>37261.15</v>
          </cell>
          <cell r="DY38">
            <v>11067.91</v>
          </cell>
          <cell r="DZ38">
            <v>9702.64</v>
          </cell>
          <cell r="EA38">
            <v>18854</v>
          </cell>
          <cell r="EB38">
            <v>12915.31</v>
          </cell>
          <cell r="EC38">
            <v>18394.169999999998</v>
          </cell>
          <cell r="ED38">
            <v>108195.18</v>
          </cell>
          <cell r="EE38"/>
          <cell r="EF38"/>
          <cell r="EG38">
            <v>0</v>
          </cell>
          <cell r="EH38">
            <v>501652.17</v>
          </cell>
          <cell r="EI38"/>
          <cell r="EJ38"/>
          <cell r="EK38"/>
          <cell r="EL38"/>
          <cell r="EM38"/>
          <cell r="EN38"/>
          <cell r="EO38"/>
          <cell r="EP38"/>
          <cell r="EQ38"/>
          <cell r="ER38"/>
          <cell r="ES38"/>
          <cell r="ET38"/>
          <cell r="EU38"/>
          <cell r="EV38"/>
          <cell r="EW38"/>
          <cell r="EX38"/>
          <cell r="EY38"/>
          <cell r="EZ38"/>
          <cell r="FA38"/>
          <cell r="FB38"/>
          <cell r="FC38"/>
          <cell r="FD38"/>
          <cell r="FE38"/>
          <cell r="FF38"/>
          <cell r="FG38"/>
          <cell r="FH38"/>
          <cell r="FI38">
            <v>0</v>
          </cell>
          <cell r="FJ38">
            <v>7055.67</v>
          </cell>
          <cell r="FK38">
            <v>520468.65</v>
          </cell>
        </row>
        <row r="39">
          <cell r="A39" t="str">
            <v>Rental License</v>
          </cell>
          <cell r="B39"/>
          <cell r="C39"/>
          <cell r="D39"/>
          <cell r="E39"/>
          <cell r="F39"/>
          <cell r="G39"/>
          <cell r="H39"/>
          <cell r="I39"/>
          <cell r="J39"/>
          <cell r="K39"/>
          <cell r="L39"/>
          <cell r="M39"/>
          <cell r="N39"/>
          <cell r="O39"/>
          <cell r="P39">
            <v>315</v>
          </cell>
          <cell r="Q39"/>
          <cell r="R39"/>
          <cell r="S39"/>
          <cell r="T39"/>
          <cell r="U39"/>
          <cell r="V39"/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>
            <v>0</v>
          </cell>
          <cell r="BF39">
            <v>100</v>
          </cell>
          <cell r="BG39"/>
          <cell r="BH39"/>
          <cell r="BI39">
            <v>0</v>
          </cell>
          <cell r="BJ39"/>
          <cell r="BK39"/>
          <cell r="BL39">
            <v>0</v>
          </cell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  <cell r="CE39"/>
          <cell r="CF39">
            <v>0</v>
          </cell>
          <cell r="CG39"/>
          <cell r="CH39">
            <v>318</v>
          </cell>
          <cell r="CI39">
            <v>345</v>
          </cell>
          <cell r="CJ39">
            <v>430</v>
          </cell>
          <cell r="CK39"/>
          <cell r="CL39"/>
          <cell r="CM39"/>
          <cell r="CN39">
            <v>200</v>
          </cell>
          <cell r="CO39"/>
          <cell r="CP39"/>
          <cell r="CQ39">
            <v>71</v>
          </cell>
          <cell r="CR39"/>
          <cell r="CS39"/>
          <cell r="CT39"/>
          <cell r="CU39">
            <v>574.32000000000005</v>
          </cell>
          <cell r="CV39">
            <v>660</v>
          </cell>
          <cell r="CW39"/>
          <cell r="CX39"/>
          <cell r="CY39">
            <v>115</v>
          </cell>
          <cell r="CZ39"/>
          <cell r="DA39"/>
          <cell r="DB39"/>
          <cell r="DC39">
            <v>345</v>
          </cell>
          <cell r="DD39"/>
          <cell r="DE39"/>
          <cell r="DF39">
            <v>345</v>
          </cell>
          <cell r="DG39"/>
          <cell r="DH39">
            <v>115</v>
          </cell>
          <cell r="DI39">
            <v>345</v>
          </cell>
          <cell r="DJ39">
            <v>251.49</v>
          </cell>
          <cell r="DK39">
            <v>345</v>
          </cell>
          <cell r="DL39">
            <v>118.05</v>
          </cell>
          <cell r="DM39">
            <v>115</v>
          </cell>
          <cell r="DN39"/>
          <cell r="DO39">
            <v>207.27</v>
          </cell>
          <cell r="DP39"/>
          <cell r="DQ39">
            <v>282.29000000000002</v>
          </cell>
          <cell r="DR39">
            <v>126.99</v>
          </cell>
          <cell r="DS39">
            <v>100</v>
          </cell>
          <cell r="DT39">
            <v>345</v>
          </cell>
          <cell r="DU39">
            <v>115</v>
          </cell>
          <cell r="DV39">
            <v>1176.55</v>
          </cell>
          <cell r="DW39"/>
          <cell r="DX39"/>
          <cell r="DY39">
            <v>746.5</v>
          </cell>
          <cell r="DZ39">
            <v>315</v>
          </cell>
          <cell r="EA39">
            <v>115</v>
          </cell>
          <cell r="EB39">
            <v>318</v>
          </cell>
          <cell r="EC39"/>
          <cell r="ED39">
            <v>1494.5</v>
          </cell>
          <cell r="EE39"/>
          <cell r="EF39"/>
          <cell r="EG39">
            <v>0</v>
          </cell>
          <cell r="EH39">
            <v>7363.91</v>
          </cell>
          <cell r="EI39"/>
          <cell r="EJ39"/>
          <cell r="EK39"/>
          <cell r="EL39"/>
          <cell r="EM39"/>
          <cell r="EN39"/>
          <cell r="EO39"/>
          <cell r="EP39"/>
          <cell r="EQ39"/>
          <cell r="ER39"/>
          <cell r="ES39"/>
          <cell r="ET39"/>
          <cell r="EU39"/>
          <cell r="EV39"/>
          <cell r="EW39"/>
          <cell r="EX39"/>
          <cell r="EY39"/>
          <cell r="EZ39"/>
          <cell r="FA39"/>
          <cell r="FB39"/>
          <cell r="FC39"/>
          <cell r="FD39"/>
          <cell r="FE39"/>
          <cell r="FF39"/>
          <cell r="FG39"/>
          <cell r="FH39"/>
          <cell r="FI39">
            <v>0</v>
          </cell>
          <cell r="FJ39"/>
          <cell r="FK39">
            <v>7778.91</v>
          </cell>
        </row>
        <row r="40">
          <cell r="A40" t="str">
            <v>Rental Loan Fees</v>
          </cell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  <cell r="S40"/>
          <cell r="T40"/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>
            <v>0</v>
          </cell>
          <cell r="BF40">
            <v>11025.5</v>
          </cell>
          <cell r="BG40"/>
          <cell r="BH40"/>
          <cell r="BI40">
            <v>0</v>
          </cell>
          <cell r="BJ40"/>
          <cell r="BK40"/>
          <cell r="BL40">
            <v>0</v>
          </cell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  <cell r="CE40"/>
          <cell r="CF40">
            <v>0</v>
          </cell>
          <cell r="CG40"/>
          <cell r="CH40"/>
          <cell r="CI40"/>
          <cell r="CJ40"/>
          <cell r="CK40"/>
          <cell r="CL40"/>
          <cell r="CM40"/>
          <cell r="CN40"/>
          <cell r="CO40"/>
          <cell r="CP40"/>
          <cell r="CQ40">
            <v>200</v>
          </cell>
          <cell r="CR40"/>
          <cell r="CS40"/>
          <cell r="CT40"/>
          <cell r="CU40"/>
          <cell r="CV40">
            <v>200</v>
          </cell>
          <cell r="CW40"/>
          <cell r="CX40"/>
          <cell r="CY40"/>
          <cell r="CZ40"/>
          <cell r="DA40"/>
          <cell r="DB40"/>
          <cell r="DC40"/>
          <cell r="DD40"/>
          <cell r="DE40"/>
          <cell r="DF40"/>
          <cell r="DG40"/>
          <cell r="DH40"/>
          <cell r="DI40"/>
          <cell r="DJ40"/>
          <cell r="DK40"/>
          <cell r="DL40"/>
          <cell r="DM40"/>
          <cell r="DN40"/>
          <cell r="DO40"/>
          <cell r="DP40"/>
          <cell r="DQ40"/>
          <cell r="DR40"/>
          <cell r="DS40"/>
          <cell r="DT40"/>
          <cell r="DU40"/>
          <cell r="DV40">
            <v>0</v>
          </cell>
          <cell r="DW40"/>
          <cell r="DX40"/>
          <cell r="DY40"/>
          <cell r="DZ40"/>
          <cell r="EA40"/>
          <cell r="EB40"/>
          <cell r="EC40"/>
          <cell r="ED40">
            <v>0</v>
          </cell>
          <cell r="EE40"/>
          <cell r="EF40"/>
          <cell r="EG40">
            <v>0</v>
          </cell>
          <cell r="EH40">
            <v>400</v>
          </cell>
          <cell r="EI40"/>
          <cell r="EJ40"/>
          <cell r="EK40"/>
          <cell r="EL40"/>
          <cell r="EM40"/>
          <cell r="EN40"/>
          <cell r="EO40"/>
          <cell r="EP40"/>
          <cell r="EQ40"/>
          <cell r="ER40"/>
          <cell r="ES40"/>
          <cell r="ET40"/>
          <cell r="EU40"/>
          <cell r="EV40"/>
          <cell r="EW40"/>
          <cell r="EX40"/>
          <cell r="EY40"/>
          <cell r="EZ40"/>
          <cell r="FA40"/>
          <cell r="FB40"/>
          <cell r="FC40"/>
          <cell r="FD40"/>
          <cell r="FE40"/>
          <cell r="FF40"/>
          <cell r="FG40"/>
          <cell r="FH40"/>
          <cell r="FI40">
            <v>0</v>
          </cell>
          <cell r="FJ40"/>
          <cell r="FK40">
            <v>11425.5</v>
          </cell>
        </row>
        <row r="41">
          <cell r="A41" t="str">
            <v>Rental Management Fee</v>
          </cell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  <cell r="S41"/>
          <cell r="T41"/>
          <cell r="U41"/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>
            <v>0</v>
          </cell>
          <cell r="BF41">
            <v>3032.53</v>
          </cell>
          <cell r="BG41"/>
          <cell r="BH41"/>
          <cell r="BI41">
            <v>0</v>
          </cell>
          <cell r="BJ41"/>
          <cell r="BK41"/>
          <cell r="BL41">
            <v>0</v>
          </cell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  <cell r="CE41"/>
          <cell r="CF41">
            <v>0</v>
          </cell>
          <cell r="CG41"/>
          <cell r="CH41">
            <v>132</v>
          </cell>
          <cell r="CI41">
            <v>2340</v>
          </cell>
          <cell r="CJ41">
            <v>1749</v>
          </cell>
          <cell r="CK41"/>
          <cell r="CL41">
            <v>2565</v>
          </cell>
          <cell r="CM41">
            <v>2220</v>
          </cell>
          <cell r="CN41">
            <v>108</v>
          </cell>
          <cell r="CO41">
            <v>1974</v>
          </cell>
          <cell r="CP41">
            <v>876</v>
          </cell>
          <cell r="CQ41">
            <v>3532</v>
          </cell>
          <cell r="CR41"/>
          <cell r="CS41">
            <v>4322.7700000000004</v>
          </cell>
          <cell r="CT41"/>
          <cell r="CU41">
            <v>720</v>
          </cell>
          <cell r="CV41">
            <v>2070</v>
          </cell>
          <cell r="CW41">
            <v>2346</v>
          </cell>
          <cell r="CX41">
            <v>2581.1999999999998</v>
          </cell>
          <cell r="CY41">
            <v>1080</v>
          </cell>
          <cell r="CZ41"/>
          <cell r="DA41">
            <v>2007</v>
          </cell>
          <cell r="DB41">
            <v>231</v>
          </cell>
          <cell r="DC41">
            <v>1776</v>
          </cell>
          <cell r="DD41">
            <v>3240</v>
          </cell>
          <cell r="DE41">
            <v>3438.8</v>
          </cell>
          <cell r="DF41">
            <v>760</v>
          </cell>
          <cell r="DG41">
            <v>2601</v>
          </cell>
          <cell r="DH41">
            <v>1539</v>
          </cell>
          <cell r="DI41">
            <v>2726.4</v>
          </cell>
          <cell r="DJ41">
            <v>2058</v>
          </cell>
          <cell r="DK41">
            <v>3168</v>
          </cell>
          <cell r="DL41">
            <v>171</v>
          </cell>
          <cell r="DM41">
            <v>1650</v>
          </cell>
          <cell r="DN41"/>
          <cell r="DO41">
            <v>142.5</v>
          </cell>
          <cell r="DP41">
            <v>855</v>
          </cell>
          <cell r="DQ41">
            <v>495</v>
          </cell>
          <cell r="DR41">
            <v>864</v>
          </cell>
          <cell r="DS41">
            <v>401.25</v>
          </cell>
          <cell r="DT41">
            <v>2280</v>
          </cell>
          <cell r="DU41">
            <v>165</v>
          </cell>
          <cell r="DV41">
            <v>5202.75</v>
          </cell>
          <cell r="DW41"/>
          <cell r="DX41">
            <v>5214</v>
          </cell>
          <cell r="DY41">
            <v>1284</v>
          </cell>
          <cell r="DZ41">
            <v>570.78</v>
          </cell>
          <cell r="EA41">
            <v>2799</v>
          </cell>
          <cell r="EB41">
            <v>810</v>
          </cell>
          <cell r="EC41">
            <v>2107.5</v>
          </cell>
          <cell r="ED41">
            <v>12785.28</v>
          </cell>
          <cell r="EE41"/>
          <cell r="EF41"/>
          <cell r="EG41">
            <v>0</v>
          </cell>
          <cell r="EH41">
            <v>71970.2</v>
          </cell>
          <cell r="EI41"/>
          <cell r="EJ41"/>
          <cell r="EK41"/>
          <cell r="EL41"/>
          <cell r="EM41"/>
          <cell r="EN41"/>
          <cell r="EO41"/>
          <cell r="EP41"/>
          <cell r="EQ41"/>
          <cell r="ER41"/>
          <cell r="ES41"/>
          <cell r="ET41"/>
          <cell r="EU41"/>
          <cell r="EV41"/>
          <cell r="EW41"/>
          <cell r="EX41"/>
          <cell r="EY41"/>
          <cell r="EZ41"/>
          <cell r="FA41"/>
          <cell r="FB41"/>
          <cell r="FC41"/>
          <cell r="FD41"/>
          <cell r="FE41"/>
          <cell r="FF41"/>
          <cell r="FG41"/>
          <cell r="FH41"/>
          <cell r="FI41">
            <v>0</v>
          </cell>
          <cell r="FJ41">
            <v>2759.44</v>
          </cell>
          <cell r="FK41">
            <v>77762.17</v>
          </cell>
        </row>
        <row r="42">
          <cell r="A42" t="str">
            <v>Rental Property Tax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>
            <v>0</v>
          </cell>
          <cell r="BF42">
            <v>3107.76</v>
          </cell>
          <cell r="BG42"/>
          <cell r="BH42"/>
          <cell r="BI42">
            <v>0</v>
          </cell>
          <cell r="BJ42"/>
          <cell r="BK42"/>
          <cell r="BL42">
            <v>0</v>
          </cell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  <cell r="CE42"/>
          <cell r="CF42">
            <v>0</v>
          </cell>
          <cell r="CG42">
            <v>896.8</v>
          </cell>
          <cell r="CH42">
            <v>397.42</v>
          </cell>
          <cell r="CI42">
            <v>3572.17</v>
          </cell>
          <cell r="CJ42">
            <v>3751.48</v>
          </cell>
          <cell r="CK42"/>
          <cell r="CL42">
            <v>5693.26</v>
          </cell>
          <cell r="CM42">
            <v>6620.98</v>
          </cell>
          <cell r="CN42">
            <v>639.15</v>
          </cell>
          <cell r="CO42">
            <v>7293.27</v>
          </cell>
          <cell r="CP42">
            <v>2902.81</v>
          </cell>
          <cell r="CQ42">
            <v>5460.6</v>
          </cell>
          <cell r="CR42"/>
          <cell r="CS42">
            <v>8119.26</v>
          </cell>
          <cell r="CT42"/>
          <cell r="CU42">
            <v>1425.15</v>
          </cell>
          <cell r="CV42">
            <v>5410.8</v>
          </cell>
          <cell r="CW42">
            <v>1536.84</v>
          </cell>
          <cell r="CX42">
            <v>11474.46</v>
          </cell>
          <cell r="CY42">
            <v>1528.9</v>
          </cell>
          <cell r="CZ42"/>
          <cell r="DA42">
            <v>4864.3999999999996</v>
          </cell>
          <cell r="DB42"/>
          <cell r="DC42">
            <v>5269.57</v>
          </cell>
          <cell r="DD42">
            <v>7791.39</v>
          </cell>
          <cell r="DE42">
            <v>2417.56</v>
          </cell>
          <cell r="DF42">
            <v>5712.71</v>
          </cell>
          <cell r="DG42">
            <v>4594</v>
          </cell>
          <cell r="DH42">
            <v>2726.01</v>
          </cell>
          <cell r="DI42">
            <v>4896.07</v>
          </cell>
          <cell r="DJ42">
            <v>3953.07</v>
          </cell>
          <cell r="DK42">
            <v>8071.34</v>
          </cell>
          <cell r="DL42"/>
          <cell r="DM42">
            <v>3699.87</v>
          </cell>
          <cell r="DN42"/>
          <cell r="DO42"/>
          <cell r="DP42">
            <v>1285.04</v>
          </cell>
          <cell r="DQ42"/>
          <cell r="DR42"/>
          <cell r="DS42"/>
          <cell r="DT42">
            <v>5923.4</v>
          </cell>
          <cell r="DU42"/>
          <cell r="DV42">
            <v>7208.44</v>
          </cell>
          <cell r="DW42"/>
          <cell r="DX42">
            <v>5203.92</v>
          </cell>
          <cell r="DY42">
            <v>1598.48</v>
          </cell>
          <cell r="DZ42">
            <v>1643.08</v>
          </cell>
          <cell r="EA42">
            <v>3393.15</v>
          </cell>
          <cell r="EB42">
            <v>2022.88</v>
          </cell>
          <cell r="EC42">
            <v>4864.3500000000004</v>
          </cell>
          <cell r="ED42">
            <v>18725.86</v>
          </cell>
          <cell r="EE42"/>
          <cell r="EF42"/>
          <cell r="EG42">
            <v>0</v>
          </cell>
          <cell r="EH42">
            <v>146653.64000000001</v>
          </cell>
          <cell r="EI42"/>
          <cell r="EJ42"/>
          <cell r="EK42"/>
          <cell r="EL42"/>
          <cell r="EM42"/>
          <cell r="EN42"/>
          <cell r="EO42"/>
          <cell r="EP42"/>
          <cell r="EQ42"/>
          <cell r="ER42"/>
          <cell r="ES42"/>
          <cell r="ET42"/>
          <cell r="EU42"/>
          <cell r="EV42"/>
          <cell r="EW42"/>
          <cell r="EX42"/>
          <cell r="EY42"/>
          <cell r="EZ42"/>
          <cell r="FA42"/>
          <cell r="FB42"/>
          <cell r="FC42"/>
          <cell r="FD42"/>
          <cell r="FE42"/>
          <cell r="FF42"/>
          <cell r="FG42"/>
          <cell r="FH42"/>
          <cell r="FI42">
            <v>0</v>
          </cell>
          <cell r="FJ42">
            <v>17017.22</v>
          </cell>
          <cell r="FK42">
            <v>166778.62</v>
          </cell>
        </row>
        <row r="43">
          <cell r="A43" t="str">
            <v>Rental Purchase Price</v>
          </cell>
          <cell r="B43"/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  <cell r="O43"/>
          <cell r="P43"/>
          <cell r="Q43"/>
          <cell r="R43"/>
          <cell r="S43"/>
          <cell r="T43"/>
          <cell r="U43"/>
          <cell r="V43"/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>
            <v>0</v>
          </cell>
          <cell r="BF43"/>
          <cell r="BG43"/>
          <cell r="BH43"/>
          <cell r="BI43">
            <v>0</v>
          </cell>
          <cell r="BJ43"/>
          <cell r="BK43"/>
          <cell r="BL43">
            <v>0</v>
          </cell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  <cell r="CE43"/>
          <cell r="CF43">
            <v>0</v>
          </cell>
          <cell r="CG43"/>
          <cell r="CH43"/>
          <cell r="CI43"/>
          <cell r="CJ43"/>
          <cell r="CK43"/>
          <cell r="CL43"/>
          <cell r="CM43"/>
          <cell r="CN43"/>
          <cell r="CO43"/>
          <cell r="CP43"/>
          <cell r="CQ43"/>
          <cell r="CR43"/>
          <cell r="CS43"/>
          <cell r="CT43"/>
          <cell r="CU43"/>
          <cell r="CV43"/>
          <cell r="CW43"/>
          <cell r="CX43"/>
          <cell r="CY43"/>
          <cell r="CZ43"/>
          <cell r="DA43"/>
          <cell r="DB43"/>
          <cell r="DC43"/>
          <cell r="DD43">
            <v>326565.17</v>
          </cell>
          <cell r="DE43">
            <v>60000</v>
          </cell>
          <cell r="DF43"/>
          <cell r="DG43"/>
          <cell r="DH43"/>
          <cell r="DI43"/>
          <cell r="DJ43"/>
          <cell r="DK43"/>
          <cell r="DL43"/>
          <cell r="DM43"/>
          <cell r="DN43"/>
          <cell r="DO43"/>
          <cell r="DP43"/>
          <cell r="DQ43"/>
          <cell r="DR43"/>
          <cell r="DS43"/>
          <cell r="DT43"/>
          <cell r="DU43"/>
          <cell r="DV43">
            <v>0</v>
          </cell>
          <cell r="DW43"/>
          <cell r="DX43"/>
          <cell r="DY43"/>
          <cell r="DZ43"/>
          <cell r="EA43"/>
          <cell r="EB43"/>
          <cell r="EC43"/>
          <cell r="ED43">
            <v>0</v>
          </cell>
          <cell r="EE43"/>
          <cell r="EF43"/>
          <cell r="EG43">
            <v>0</v>
          </cell>
          <cell r="EH43">
            <v>386565.17</v>
          </cell>
          <cell r="EI43"/>
          <cell r="EJ43"/>
          <cell r="EK43"/>
          <cell r="EL43"/>
          <cell r="EM43"/>
          <cell r="EN43"/>
          <cell r="EO43"/>
          <cell r="EP43"/>
          <cell r="EQ43"/>
          <cell r="ER43"/>
          <cell r="ES43"/>
          <cell r="ET43"/>
          <cell r="EU43"/>
          <cell r="EV43"/>
          <cell r="EW43"/>
          <cell r="EX43"/>
          <cell r="EY43"/>
          <cell r="EZ43"/>
          <cell r="FA43"/>
          <cell r="FB43"/>
          <cell r="FC43"/>
          <cell r="FD43"/>
          <cell r="FE43"/>
          <cell r="FF43"/>
          <cell r="FG43"/>
          <cell r="FH43"/>
          <cell r="FI43">
            <v>0</v>
          </cell>
          <cell r="FJ43"/>
          <cell r="FK43">
            <v>386565.17</v>
          </cell>
        </row>
        <row r="44">
          <cell r="A44" t="str">
            <v>Rental Repairs &amp; Maintenance</v>
          </cell>
          <cell r="B44"/>
          <cell r="C44"/>
          <cell r="D44">
            <v>395</v>
          </cell>
          <cell r="E44"/>
          <cell r="F44"/>
          <cell r="G44"/>
          <cell r="H44"/>
          <cell r="I44"/>
          <cell r="J44"/>
          <cell r="K44"/>
          <cell r="L44"/>
          <cell r="M44">
            <v>125</v>
          </cell>
          <cell r="N44"/>
          <cell r="O44"/>
          <cell r="P44"/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>
            <v>0</v>
          </cell>
          <cell r="BF44">
            <v>3545.59</v>
          </cell>
          <cell r="BG44"/>
          <cell r="BH44"/>
          <cell r="BI44">
            <v>0</v>
          </cell>
          <cell r="BJ44"/>
          <cell r="BK44"/>
          <cell r="BL44">
            <v>0</v>
          </cell>
          <cell r="BM44"/>
          <cell r="BN44"/>
          <cell r="BO44">
            <v>249</v>
          </cell>
          <cell r="BP44"/>
          <cell r="BQ44"/>
          <cell r="BR44"/>
          <cell r="BS44"/>
          <cell r="BT44">
            <v>500</v>
          </cell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  <cell r="CE44"/>
          <cell r="CF44">
            <v>749</v>
          </cell>
          <cell r="CG44"/>
          <cell r="CH44">
            <v>1420</v>
          </cell>
          <cell r="CI44">
            <v>1955</v>
          </cell>
          <cell r="CJ44">
            <v>4760.16</v>
          </cell>
          <cell r="CK44">
            <v>319.88</v>
          </cell>
          <cell r="CL44"/>
          <cell r="CM44">
            <v>2720.66</v>
          </cell>
          <cell r="CN44"/>
          <cell r="CO44">
            <v>1845</v>
          </cell>
          <cell r="CP44">
            <v>530</v>
          </cell>
          <cell r="CQ44">
            <v>6006.57</v>
          </cell>
          <cell r="CR44">
            <v>385</v>
          </cell>
          <cell r="CS44">
            <v>1934.53</v>
          </cell>
          <cell r="CT44">
            <v>342.27</v>
          </cell>
          <cell r="CU44">
            <v>3716.81</v>
          </cell>
          <cell r="CV44">
            <v>2599.1999999999998</v>
          </cell>
          <cell r="CW44">
            <v>2197.94</v>
          </cell>
          <cell r="CX44">
            <v>85.67</v>
          </cell>
          <cell r="CY44">
            <v>1534.68</v>
          </cell>
          <cell r="CZ44">
            <v>45</v>
          </cell>
          <cell r="DA44">
            <v>4224</v>
          </cell>
          <cell r="DB44"/>
          <cell r="DC44">
            <v>5427.91</v>
          </cell>
          <cell r="DD44">
            <v>8373.94</v>
          </cell>
          <cell r="DE44">
            <v>7800</v>
          </cell>
          <cell r="DF44">
            <v>3175</v>
          </cell>
          <cell r="DG44">
            <v>1720</v>
          </cell>
          <cell r="DH44">
            <v>957.79</v>
          </cell>
          <cell r="DI44">
            <v>835</v>
          </cell>
          <cell r="DJ44">
            <v>1577.07</v>
          </cell>
          <cell r="DK44">
            <v>1410.72</v>
          </cell>
          <cell r="DL44">
            <v>342.27</v>
          </cell>
          <cell r="DM44">
            <v>5454</v>
          </cell>
          <cell r="DN44"/>
          <cell r="DO44">
            <v>525</v>
          </cell>
          <cell r="DP44">
            <v>450</v>
          </cell>
          <cell r="DQ44">
            <v>333.28</v>
          </cell>
          <cell r="DR44">
            <v>95</v>
          </cell>
          <cell r="DS44">
            <v>1783</v>
          </cell>
          <cell r="DT44">
            <v>3727</v>
          </cell>
          <cell r="DU44"/>
          <cell r="DV44">
            <v>6913.28</v>
          </cell>
          <cell r="DW44"/>
          <cell r="DX44">
            <v>1785</v>
          </cell>
          <cell r="DY44">
            <v>240</v>
          </cell>
          <cell r="DZ44">
            <v>1080</v>
          </cell>
          <cell r="EA44">
            <v>2479.4</v>
          </cell>
          <cell r="EB44">
            <v>1957.88</v>
          </cell>
          <cell r="EC44"/>
          <cell r="ED44">
            <v>7542.28</v>
          </cell>
          <cell r="EE44"/>
          <cell r="EF44"/>
          <cell r="EG44">
            <v>0</v>
          </cell>
          <cell r="EH44">
            <v>88151.63</v>
          </cell>
          <cell r="EI44"/>
          <cell r="EJ44"/>
          <cell r="EK44"/>
          <cell r="EL44"/>
          <cell r="EM44"/>
          <cell r="EN44"/>
          <cell r="EO44"/>
          <cell r="EP44"/>
          <cell r="EQ44"/>
          <cell r="ER44"/>
          <cell r="ES44"/>
          <cell r="ET44"/>
          <cell r="EU44"/>
          <cell r="EV44"/>
          <cell r="EW44"/>
          <cell r="EX44"/>
          <cell r="EY44"/>
          <cell r="EZ44"/>
          <cell r="FA44"/>
          <cell r="FB44"/>
          <cell r="FC44"/>
          <cell r="FD44"/>
          <cell r="FE44"/>
          <cell r="FF44"/>
          <cell r="FG44"/>
          <cell r="FH44"/>
          <cell r="FI44">
            <v>0</v>
          </cell>
          <cell r="FJ44">
            <v>80.900000000000006</v>
          </cell>
          <cell r="FK44">
            <v>93047.12</v>
          </cell>
        </row>
        <row r="45">
          <cell r="A45" t="str">
            <v>Rental Turnover</v>
          </cell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>
            <v>0</v>
          </cell>
          <cell r="BF45"/>
          <cell r="BG45"/>
          <cell r="BH45"/>
          <cell r="BI45">
            <v>0</v>
          </cell>
          <cell r="BJ45"/>
          <cell r="BK45"/>
          <cell r="BL45">
            <v>0</v>
          </cell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  <cell r="CE45"/>
          <cell r="CF45">
            <v>0</v>
          </cell>
          <cell r="CG45"/>
          <cell r="CH45"/>
          <cell r="CI45">
            <v>1895</v>
          </cell>
          <cell r="CJ45"/>
          <cell r="CK45"/>
          <cell r="CL45"/>
          <cell r="CM45"/>
          <cell r="CN45"/>
          <cell r="CO45"/>
          <cell r="CP45"/>
          <cell r="CQ45"/>
          <cell r="CR45"/>
          <cell r="CS45"/>
          <cell r="CT45"/>
          <cell r="CU45"/>
          <cell r="CV45"/>
          <cell r="CW45"/>
          <cell r="CX45"/>
          <cell r="CY45"/>
          <cell r="CZ45"/>
          <cell r="DA45"/>
          <cell r="DB45"/>
          <cell r="DC45"/>
          <cell r="DD45"/>
          <cell r="DE45"/>
          <cell r="DF45"/>
          <cell r="DG45"/>
          <cell r="DH45"/>
          <cell r="DI45"/>
          <cell r="DJ45"/>
          <cell r="DK45"/>
          <cell r="DL45"/>
          <cell r="DM45"/>
          <cell r="DN45"/>
          <cell r="DO45"/>
          <cell r="DP45"/>
          <cell r="DQ45"/>
          <cell r="DR45"/>
          <cell r="DS45"/>
          <cell r="DT45"/>
          <cell r="DU45"/>
          <cell r="DV45">
            <v>0</v>
          </cell>
          <cell r="DW45"/>
          <cell r="DX45"/>
          <cell r="DY45"/>
          <cell r="DZ45"/>
          <cell r="EA45"/>
          <cell r="EB45"/>
          <cell r="EC45"/>
          <cell r="ED45">
            <v>0</v>
          </cell>
          <cell r="EE45"/>
          <cell r="EF45"/>
          <cell r="EG45">
            <v>0</v>
          </cell>
          <cell r="EH45">
            <v>1895</v>
          </cell>
          <cell r="EI45"/>
          <cell r="EJ45"/>
          <cell r="EK45"/>
          <cell r="EL45"/>
          <cell r="EM45"/>
          <cell r="EN45"/>
          <cell r="EO45"/>
          <cell r="EP45"/>
          <cell r="EQ45"/>
          <cell r="ER45"/>
          <cell r="ES45"/>
          <cell r="ET45"/>
          <cell r="EU45"/>
          <cell r="EV45"/>
          <cell r="EW45"/>
          <cell r="EX45"/>
          <cell r="EY45"/>
          <cell r="EZ45"/>
          <cell r="FA45"/>
          <cell r="FB45"/>
          <cell r="FC45"/>
          <cell r="FD45"/>
          <cell r="FE45"/>
          <cell r="FF45"/>
          <cell r="FG45"/>
          <cell r="FH45"/>
          <cell r="FI45">
            <v>0</v>
          </cell>
          <cell r="FJ45"/>
          <cell r="FK45">
            <v>1895</v>
          </cell>
        </row>
        <row r="46">
          <cell r="A46" t="str">
            <v>Total Rental Repairs &amp; Maintenance</v>
          </cell>
          <cell r="B46">
            <v>0</v>
          </cell>
          <cell r="C46">
            <v>0</v>
          </cell>
          <cell r="D46">
            <v>395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125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3545.59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249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500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749</v>
          </cell>
          <cell r="CG46">
            <v>0</v>
          </cell>
          <cell r="CH46">
            <v>1420</v>
          </cell>
          <cell r="CI46">
            <v>3850</v>
          </cell>
          <cell r="CJ46">
            <v>4760.16</v>
          </cell>
          <cell r="CK46">
            <v>319.88</v>
          </cell>
          <cell r="CL46">
            <v>0</v>
          </cell>
          <cell r="CM46">
            <v>2720.66</v>
          </cell>
          <cell r="CN46">
            <v>0</v>
          </cell>
          <cell r="CO46">
            <v>1845</v>
          </cell>
          <cell r="CP46">
            <v>530</v>
          </cell>
          <cell r="CQ46">
            <v>6006.57</v>
          </cell>
          <cell r="CR46">
            <v>385</v>
          </cell>
          <cell r="CS46">
            <v>1934.53</v>
          </cell>
          <cell r="CT46">
            <v>342.27</v>
          </cell>
          <cell r="CU46">
            <v>3716.81</v>
          </cell>
          <cell r="CV46">
            <v>2599.1999999999998</v>
          </cell>
          <cell r="CW46">
            <v>2197.94</v>
          </cell>
          <cell r="CX46">
            <v>85.67</v>
          </cell>
          <cell r="CY46">
            <v>1534.68</v>
          </cell>
          <cell r="CZ46">
            <v>45</v>
          </cell>
          <cell r="DA46">
            <v>4224</v>
          </cell>
          <cell r="DB46">
            <v>0</v>
          </cell>
          <cell r="DC46">
            <v>5427.91</v>
          </cell>
          <cell r="DD46">
            <v>8373.94</v>
          </cell>
          <cell r="DE46">
            <v>7800</v>
          </cell>
          <cell r="DF46">
            <v>3175</v>
          </cell>
          <cell r="DG46">
            <v>1720</v>
          </cell>
          <cell r="DH46">
            <v>957.79</v>
          </cell>
          <cell r="DI46">
            <v>835</v>
          </cell>
          <cell r="DJ46">
            <v>1577.07</v>
          </cell>
          <cell r="DK46">
            <v>1410.72</v>
          </cell>
          <cell r="DL46">
            <v>342.27</v>
          </cell>
          <cell r="DM46">
            <v>5454</v>
          </cell>
          <cell r="DN46">
            <v>0</v>
          </cell>
          <cell r="DO46">
            <v>525</v>
          </cell>
          <cell r="DP46">
            <v>450</v>
          </cell>
          <cell r="DQ46">
            <v>333.28</v>
          </cell>
          <cell r="DR46">
            <v>95</v>
          </cell>
          <cell r="DS46">
            <v>1783</v>
          </cell>
          <cell r="DT46">
            <v>3727</v>
          </cell>
          <cell r="DU46">
            <v>0</v>
          </cell>
          <cell r="DV46">
            <v>6913.28</v>
          </cell>
          <cell r="DW46">
            <v>0</v>
          </cell>
          <cell r="DX46">
            <v>1785</v>
          </cell>
          <cell r="DY46">
            <v>240</v>
          </cell>
          <cell r="DZ46">
            <v>1080</v>
          </cell>
          <cell r="EA46">
            <v>2479.4</v>
          </cell>
          <cell r="EB46">
            <v>1957.88</v>
          </cell>
          <cell r="EC46">
            <v>0</v>
          </cell>
          <cell r="ED46">
            <v>7542.28</v>
          </cell>
          <cell r="EE46">
            <v>0</v>
          </cell>
          <cell r="EF46">
            <v>0</v>
          </cell>
          <cell r="EG46">
            <v>0</v>
          </cell>
          <cell r="EH46">
            <v>90046.63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>
            <v>0</v>
          </cell>
          <cell r="FD46">
            <v>0</v>
          </cell>
          <cell r="FE46">
            <v>0</v>
          </cell>
          <cell r="FF46">
            <v>0</v>
          </cell>
          <cell r="FG46">
            <v>0</v>
          </cell>
          <cell r="FH46">
            <v>0</v>
          </cell>
          <cell r="FI46">
            <v>0</v>
          </cell>
          <cell r="FJ46">
            <v>80.900000000000006</v>
          </cell>
          <cell r="FK46">
            <v>94942.12</v>
          </cell>
        </row>
        <row r="47">
          <cell r="A47" t="str">
            <v>Rental Utilities</v>
          </cell>
          <cell r="B47">
            <v>-250</v>
          </cell>
          <cell r="C47"/>
          <cell r="D47"/>
          <cell r="E47"/>
          <cell r="F47"/>
          <cell r="G47"/>
          <cell r="H47"/>
          <cell r="I47"/>
          <cell r="J47"/>
          <cell r="K47"/>
          <cell r="L47"/>
          <cell r="M47"/>
          <cell r="N47"/>
          <cell r="O47"/>
          <cell r="P47"/>
          <cell r="Q47"/>
          <cell r="R47"/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>
            <v>0</v>
          </cell>
          <cell r="BF47">
            <v>569.96</v>
          </cell>
          <cell r="BG47"/>
          <cell r="BH47"/>
          <cell r="BI47">
            <v>0</v>
          </cell>
          <cell r="BJ47"/>
          <cell r="BK47"/>
          <cell r="BL47">
            <v>0</v>
          </cell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  <cell r="CE47"/>
          <cell r="CF47">
            <v>0</v>
          </cell>
          <cell r="CG47"/>
          <cell r="CH47">
            <v>305.14</v>
          </cell>
          <cell r="CI47">
            <v>724.24</v>
          </cell>
          <cell r="CJ47">
            <v>-2043.09</v>
          </cell>
          <cell r="CK47">
            <v>26.33</v>
          </cell>
          <cell r="CL47">
            <v>-174.42</v>
          </cell>
          <cell r="CM47">
            <v>-268.73</v>
          </cell>
          <cell r="CN47"/>
          <cell r="CO47"/>
          <cell r="CP47"/>
          <cell r="CQ47">
            <v>4238.37</v>
          </cell>
          <cell r="CR47"/>
          <cell r="CS47">
            <v>6510.67</v>
          </cell>
          <cell r="CT47"/>
          <cell r="CU47">
            <v>269.02999999999997</v>
          </cell>
          <cell r="CV47">
            <v>802.76</v>
          </cell>
          <cell r="CW47">
            <v>1610.89</v>
          </cell>
          <cell r="CX47">
            <v>571.6</v>
          </cell>
          <cell r="CY47">
            <v>245.72</v>
          </cell>
          <cell r="CZ47">
            <v>497.09</v>
          </cell>
          <cell r="DA47">
            <v>1788.82</v>
          </cell>
          <cell r="DB47"/>
          <cell r="DC47">
            <v>2010.08</v>
          </cell>
          <cell r="DD47">
            <v>2815.93</v>
          </cell>
          <cell r="DE47">
            <v>1357.57</v>
          </cell>
          <cell r="DF47">
            <v>-150.51</v>
          </cell>
          <cell r="DG47">
            <v>1082.1199999999999</v>
          </cell>
          <cell r="DH47">
            <v>546.88</v>
          </cell>
          <cell r="DI47">
            <v>1138.49</v>
          </cell>
          <cell r="DJ47">
            <v>1790.34</v>
          </cell>
          <cell r="DK47">
            <v>2806.48</v>
          </cell>
          <cell r="DL47"/>
          <cell r="DM47">
            <v>389.63</v>
          </cell>
          <cell r="DN47"/>
          <cell r="DO47"/>
          <cell r="DP47">
            <v>245.37</v>
          </cell>
          <cell r="DQ47"/>
          <cell r="DR47">
            <v>1112.3800000000001</v>
          </cell>
          <cell r="DS47">
            <v>207.23</v>
          </cell>
          <cell r="DT47">
            <v>1449.78</v>
          </cell>
          <cell r="DU47"/>
          <cell r="DV47">
            <v>3014.76</v>
          </cell>
          <cell r="DW47"/>
          <cell r="DX47">
            <v>1948.45</v>
          </cell>
          <cell r="DY47">
            <v>1033.27</v>
          </cell>
          <cell r="DZ47"/>
          <cell r="EA47">
            <v>3158.74</v>
          </cell>
          <cell r="EB47">
            <v>1123.03</v>
          </cell>
          <cell r="EC47">
            <v>39</v>
          </cell>
          <cell r="ED47">
            <v>7302.49</v>
          </cell>
          <cell r="EE47"/>
          <cell r="EF47">
            <v>387.66</v>
          </cell>
          <cell r="EG47">
            <v>387.66</v>
          </cell>
          <cell r="EH47">
            <v>39596.339999999997</v>
          </cell>
          <cell r="EI47"/>
          <cell r="EJ47"/>
          <cell r="EK47"/>
          <cell r="EL47"/>
          <cell r="EM47"/>
          <cell r="EN47"/>
          <cell r="EO47"/>
          <cell r="EP47"/>
          <cell r="EQ47"/>
          <cell r="ER47"/>
          <cell r="ES47"/>
          <cell r="ET47"/>
          <cell r="EU47"/>
          <cell r="EV47"/>
          <cell r="EW47"/>
          <cell r="EX47"/>
          <cell r="EY47"/>
          <cell r="EZ47"/>
          <cell r="FA47"/>
          <cell r="FB47"/>
          <cell r="FC47"/>
          <cell r="FD47"/>
          <cell r="FE47"/>
          <cell r="FF47"/>
          <cell r="FG47"/>
          <cell r="FH47"/>
          <cell r="FI47">
            <v>0</v>
          </cell>
          <cell r="FJ47">
            <v>1162.31</v>
          </cell>
          <cell r="FK47">
            <v>41078.61</v>
          </cell>
        </row>
        <row r="48">
          <cell r="A48" t="str">
            <v>Renter Referral</v>
          </cell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/>
          <cell r="R48"/>
          <cell r="S48"/>
          <cell r="T48"/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>
            <v>0</v>
          </cell>
          <cell r="BF48"/>
          <cell r="BG48"/>
          <cell r="BH48"/>
          <cell r="BI48">
            <v>0</v>
          </cell>
          <cell r="BJ48"/>
          <cell r="BK48"/>
          <cell r="BL48">
            <v>0</v>
          </cell>
          <cell r="BM48"/>
          <cell r="BN48"/>
          <cell r="BO48"/>
          <cell r="BP48"/>
          <cell r="BQ48"/>
          <cell r="BR48"/>
          <cell r="BS48"/>
          <cell r="BT48"/>
          <cell r="BU48">
            <v>1350</v>
          </cell>
          <cell r="BV48"/>
          <cell r="BW48"/>
          <cell r="BX48"/>
          <cell r="BY48"/>
          <cell r="BZ48"/>
          <cell r="CA48"/>
          <cell r="CB48"/>
          <cell r="CC48"/>
          <cell r="CD48"/>
          <cell r="CE48"/>
          <cell r="CF48">
            <v>1350</v>
          </cell>
          <cell r="CG48">
            <v>-4000</v>
          </cell>
          <cell r="CH48">
            <v>1100</v>
          </cell>
          <cell r="CI48">
            <v>1425</v>
          </cell>
          <cell r="CJ48">
            <v>1325</v>
          </cell>
          <cell r="CK48"/>
          <cell r="CL48"/>
          <cell r="CM48"/>
          <cell r="CN48"/>
          <cell r="CO48"/>
          <cell r="CP48"/>
          <cell r="CQ48">
            <v>1200</v>
          </cell>
          <cell r="CR48"/>
          <cell r="CS48"/>
          <cell r="CT48"/>
          <cell r="CU48">
            <v>1200</v>
          </cell>
          <cell r="CV48">
            <v>1275</v>
          </cell>
          <cell r="CW48"/>
          <cell r="CX48"/>
          <cell r="CY48">
            <v>1125</v>
          </cell>
          <cell r="CZ48"/>
          <cell r="DA48">
            <v>1100</v>
          </cell>
          <cell r="DB48"/>
          <cell r="DC48">
            <v>1050</v>
          </cell>
          <cell r="DD48">
            <v>1262.5</v>
          </cell>
          <cell r="DE48"/>
          <cell r="DF48"/>
          <cell r="DG48"/>
          <cell r="DH48">
            <v>1425</v>
          </cell>
          <cell r="DI48">
            <v>1300</v>
          </cell>
          <cell r="DJ48">
            <v>2150</v>
          </cell>
          <cell r="DK48">
            <v>1650</v>
          </cell>
          <cell r="DL48">
            <v>1425</v>
          </cell>
          <cell r="DM48">
            <v>1250</v>
          </cell>
          <cell r="DN48"/>
          <cell r="DO48"/>
          <cell r="DP48">
            <v>1400</v>
          </cell>
          <cell r="DQ48">
            <v>1375</v>
          </cell>
          <cell r="DR48">
            <v>1800</v>
          </cell>
          <cell r="DS48">
            <v>1337.5</v>
          </cell>
          <cell r="DT48"/>
          <cell r="DU48"/>
          <cell r="DV48">
            <v>5912.5</v>
          </cell>
          <cell r="DW48"/>
          <cell r="DX48">
            <v>125</v>
          </cell>
          <cell r="DY48">
            <v>1337.5</v>
          </cell>
          <cell r="DZ48"/>
          <cell r="EA48"/>
          <cell r="EB48">
            <v>1425</v>
          </cell>
          <cell r="EC48"/>
          <cell r="ED48">
            <v>2887.5</v>
          </cell>
          <cell r="EE48"/>
          <cell r="EF48"/>
          <cell r="EG48">
            <v>0</v>
          </cell>
          <cell r="EH48">
            <v>26062.5</v>
          </cell>
          <cell r="EI48"/>
          <cell r="EJ48"/>
          <cell r="EK48"/>
          <cell r="EL48"/>
          <cell r="EM48"/>
          <cell r="EN48"/>
          <cell r="EO48"/>
          <cell r="EP48"/>
          <cell r="EQ48"/>
          <cell r="ER48"/>
          <cell r="ES48"/>
          <cell r="ET48"/>
          <cell r="EU48"/>
          <cell r="EV48"/>
          <cell r="EW48"/>
          <cell r="EX48"/>
          <cell r="EY48"/>
          <cell r="EZ48"/>
          <cell r="FA48"/>
          <cell r="FB48"/>
          <cell r="FC48"/>
          <cell r="FD48"/>
          <cell r="FE48"/>
          <cell r="FF48"/>
          <cell r="FG48"/>
          <cell r="FH48"/>
          <cell r="FI48">
            <v>0</v>
          </cell>
          <cell r="FJ48"/>
          <cell r="FK48">
            <v>27412.5</v>
          </cell>
        </row>
        <row r="49">
          <cell r="A49" t="str">
            <v>Total COGS - Rental</v>
          </cell>
          <cell r="B49">
            <v>-250</v>
          </cell>
          <cell r="C49">
            <v>0</v>
          </cell>
          <cell r="D49">
            <v>395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125</v>
          </cell>
          <cell r="N49">
            <v>0</v>
          </cell>
          <cell r="O49">
            <v>0</v>
          </cell>
          <cell r="P49">
            <v>315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38493.75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249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500</v>
          </cell>
          <cell r="BU49">
            <v>1350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2099</v>
          </cell>
          <cell r="CG49">
            <v>-790.23</v>
          </cell>
          <cell r="CH49">
            <v>3672.56</v>
          </cell>
          <cell r="CI49">
            <v>22174.11</v>
          </cell>
          <cell r="CJ49">
            <v>28712.01</v>
          </cell>
          <cell r="CK49">
            <v>346.21</v>
          </cell>
          <cell r="CL49">
            <v>20596.25</v>
          </cell>
          <cell r="CM49">
            <v>20888.68</v>
          </cell>
          <cell r="CN49">
            <v>3037.15</v>
          </cell>
          <cell r="CO49">
            <v>28612.55</v>
          </cell>
          <cell r="CP49">
            <v>20319.759999999998</v>
          </cell>
          <cell r="CQ49">
            <v>67506.83</v>
          </cell>
          <cell r="CR49">
            <v>385</v>
          </cell>
          <cell r="CS49">
            <v>27955.17</v>
          </cell>
          <cell r="CT49">
            <v>342.27</v>
          </cell>
          <cell r="CU49">
            <v>21132.46</v>
          </cell>
          <cell r="CV49">
            <v>34880.54</v>
          </cell>
          <cell r="CW49">
            <v>24407.38</v>
          </cell>
          <cell r="CX49">
            <v>25438.44</v>
          </cell>
          <cell r="CY49">
            <v>18157.47</v>
          </cell>
          <cell r="CZ49">
            <v>542.09</v>
          </cell>
          <cell r="DA49">
            <v>28662.1</v>
          </cell>
          <cell r="DB49">
            <v>231</v>
          </cell>
          <cell r="DC49">
            <v>26579.87</v>
          </cell>
          <cell r="DD49">
            <v>390395.94</v>
          </cell>
          <cell r="DE49">
            <v>92661.13</v>
          </cell>
          <cell r="DF49">
            <v>21836.14</v>
          </cell>
          <cell r="DG49">
            <v>22784.51</v>
          </cell>
          <cell r="DH49">
            <v>25554.43</v>
          </cell>
          <cell r="DI49">
            <v>21148.799999999999</v>
          </cell>
          <cell r="DJ49">
            <v>24196.13</v>
          </cell>
          <cell r="DK49">
            <v>38836.019999999997</v>
          </cell>
          <cell r="DL49">
            <v>2056.3200000000002</v>
          </cell>
          <cell r="DM49">
            <v>27707.62</v>
          </cell>
          <cell r="DN49">
            <v>0</v>
          </cell>
          <cell r="DO49">
            <v>16186.81</v>
          </cell>
          <cell r="DP49">
            <v>14289.91</v>
          </cell>
          <cell r="DQ49">
            <v>17411.04</v>
          </cell>
          <cell r="DR49">
            <v>13180.05</v>
          </cell>
          <cell r="DS49">
            <v>13070.93</v>
          </cell>
          <cell r="DT49">
            <v>34472.53</v>
          </cell>
          <cell r="DU49">
            <v>5715.99</v>
          </cell>
          <cell r="DV49">
            <v>114327.26</v>
          </cell>
          <cell r="DW49">
            <v>0</v>
          </cell>
          <cell r="DX49">
            <v>52023.94</v>
          </cell>
          <cell r="DY49">
            <v>16922.34</v>
          </cell>
          <cell r="DZ49">
            <v>23212.34</v>
          </cell>
          <cell r="EA49">
            <v>31422.41</v>
          </cell>
          <cell r="EB49">
            <v>24229.96</v>
          </cell>
          <cell r="EC49">
            <v>25415.1</v>
          </cell>
          <cell r="ED49">
            <v>173226.09</v>
          </cell>
          <cell r="EE49">
            <v>0</v>
          </cell>
          <cell r="EF49">
            <v>387.66</v>
          </cell>
          <cell r="EG49">
            <v>387.66</v>
          </cell>
          <cell r="EH49">
            <v>1378907.72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31128.22</v>
          </cell>
          <cell r="FK49">
            <v>1451213.69</v>
          </cell>
        </row>
        <row r="50">
          <cell r="A50" t="str">
            <v>COGS - Wholesale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>
            <v>0</v>
          </cell>
          <cell r="BF50"/>
          <cell r="BG50"/>
          <cell r="BH50"/>
          <cell r="BI50">
            <v>0</v>
          </cell>
          <cell r="BJ50"/>
          <cell r="BK50"/>
          <cell r="BL50">
            <v>0</v>
          </cell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  <cell r="CE50"/>
          <cell r="CF50">
            <v>0</v>
          </cell>
          <cell r="CG50"/>
          <cell r="CH50"/>
          <cell r="CI50"/>
          <cell r="CJ50"/>
          <cell r="CK50"/>
          <cell r="CL50"/>
          <cell r="CM50"/>
          <cell r="CN50"/>
          <cell r="CO50"/>
          <cell r="CP50"/>
          <cell r="CQ50"/>
          <cell r="CR50"/>
          <cell r="CS50"/>
          <cell r="CT50"/>
          <cell r="CU50"/>
          <cell r="CV50"/>
          <cell r="CW50"/>
          <cell r="CX50"/>
          <cell r="CY50"/>
          <cell r="CZ50"/>
          <cell r="DA50"/>
          <cell r="DB50"/>
          <cell r="DC50"/>
          <cell r="DD50"/>
          <cell r="DE50"/>
          <cell r="DF50"/>
          <cell r="DG50"/>
          <cell r="DH50"/>
          <cell r="DI50"/>
          <cell r="DJ50"/>
          <cell r="DK50"/>
          <cell r="DL50"/>
          <cell r="DM50"/>
          <cell r="DN50"/>
          <cell r="DO50"/>
          <cell r="DP50"/>
          <cell r="DQ50"/>
          <cell r="DR50"/>
          <cell r="DS50"/>
          <cell r="DT50"/>
          <cell r="DU50"/>
          <cell r="DV50">
            <v>0</v>
          </cell>
          <cell r="DW50"/>
          <cell r="DX50"/>
          <cell r="DY50"/>
          <cell r="DZ50"/>
          <cell r="EA50"/>
          <cell r="EB50"/>
          <cell r="EC50"/>
          <cell r="ED50">
            <v>0</v>
          </cell>
          <cell r="EE50"/>
          <cell r="EF50"/>
          <cell r="EG50">
            <v>0</v>
          </cell>
          <cell r="EH50">
            <v>0</v>
          </cell>
          <cell r="EI50"/>
          <cell r="EJ50"/>
          <cell r="EK50"/>
          <cell r="EL50"/>
          <cell r="EM50"/>
          <cell r="EN50"/>
          <cell r="EO50"/>
          <cell r="EP50"/>
          <cell r="EQ50"/>
          <cell r="ER50"/>
          <cell r="ES50"/>
          <cell r="ET50"/>
          <cell r="EU50"/>
          <cell r="EV50"/>
          <cell r="EW50"/>
          <cell r="EX50"/>
          <cell r="EY50"/>
          <cell r="EZ50"/>
          <cell r="FA50"/>
          <cell r="FB50"/>
          <cell r="FC50"/>
          <cell r="FD50"/>
          <cell r="FE50"/>
          <cell r="FF50"/>
          <cell r="FG50"/>
          <cell r="FH50"/>
          <cell r="FI50">
            <v>0</v>
          </cell>
          <cell r="FJ50"/>
          <cell r="FK50">
            <v>0</v>
          </cell>
        </row>
        <row r="51">
          <cell r="A51" t="str">
            <v>Lot/Land Closing Costs</v>
          </cell>
          <cell r="B51"/>
          <cell r="C51"/>
          <cell r="D51"/>
          <cell r="E51"/>
          <cell r="F51"/>
          <cell r="G51">
            <v>517</v>
          </cell>
          <cell r="H51">
            <v>517</v>
          </cell>
          <cell r="I51">
            <v>821</v>
          </cell>
          <cell r="J51">
            <v>865</v>
          </cell>
          <cell r="K51">
            <v>865</v>
          </cell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>
            <v>0</v>
          </cell>
          <cell r="BF51"/>
          <cell r="BG51"/>
          <cell r="BH51">
            <v>517</v>
          </cell>
          <cell r="BI51">
            <v>517</v>
          </cell>
          <cell r="BJ51"/>
          <cell r="BK51"/>
          <cell r="BL51">
            <v>0</v>
          </cell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  <cell r="CE51"/>
          <cell r="CF51">
            <v>0</v>
          </cell>
          <cell r="CG51"/>
          <cell r="CH51"/>
          <cell r="CI51"/>
          <cell r="CJ51"/>
          <cell r="CK51"/>
          <cell r="CL51"/>
          <cell r="CM51"/>
          <cell r="CN51"/>
          <cell r="CO51"/>
          <cell r="CP51"/>
          <cell r="CQ51"/>
          <cell r="CR51"/>
          <cell r="CS51"/>
          <cell r="CT51"/>
          <cell r="CU51"/>
          <cell r="CV51"/>
          <cell r="CW51"/>
          <cell r="CX51"/>
          <cell r="CY51"/>
          <cell r="CZ51"/>
          <cell r="DA51"/>
          <cell r="DB51"/>
          <cell r="DC51"/>
          <cell r="DD51"/>
          <cell r="DE51"/>
          <cell r="DF51"/>
          <cell r="DG51"/>
          <cell r="DH51"/>
          <cell r="DI51"/>
          <cell r="DJ51"/>
          <cell r="DK51"/>
          <cell r="DL51"/>
          <cell r="DM51"/>
          <cell r="DN51"/>
          <cell r="DO51"/>
          <cell r="DP51"/>
          <cell r="DQ51"/>
          <cell r="DR51"/>
          <cell r="DS51"/>
          <cell r="DT51"/>
          <cell r="DU51"/>
          <cell r="DV51">
            <v>0</v>
          </cell>
          <cell r="DW51"/>
          <cell r="DX51"/>
          <cell r="DY51"/>
          <cell r="DZ51"/>
          <cell r="EA51"/>
          <cell r="EB51"/>
          <cell r="EC51"/>
          <cell r="ED51">
            <v>0</v>
          </cell>
          <cell r="EE51"/>
          <cell r="EF51"/>
          <cell r="EG51">
            <v>0</v>
          </cell>
          <cell r="EH51">
            <v>0</v>
          </cell>
          <cell r="EI51"/>
          <cell r="EJ51"/>
          <cell r="EK51"/>
          <cell r="EL51"/>
          <cell r="EM51"/>
          <cell r="EN51"/>
          <cell r="EO51"/>
          <cell r="EP51"/>
          <cell r="EQ51"/>
          <cell r="ER51"/>
          <cell r="ES51"/>
          <cell r="ET51"/>
          <cell r="EU51"/>
          <cell r="EV51"/>
          <cell r="EW51"/>
          <cell r="EX51"/>
          <cell r="EY51"/>
          <cell r="EZ51"/>
          <cell r="FA51"/>
          <cell r="FB51"/>
          <cell r="FC51"/>
          <cell r="FD51"/>
          <cell r="FE51"/>
          <cell r="FF51"/>
          <cell r="FG51"/>
          <cell r="FH51"/>
          <cell r="FI51">
            <v>0</v>
          </cell>
          <cell r="FJ51"/>
          <cell r="FK51">
            <v>4102</v>
          </cell>
        </row>
        <row r="52">
          <cell r="A52" t="str">
            <v>Lot/Land Purchase Price</v>
          </cell>
          <cell r="B52"/>
          <cell r="C52"/>
          <cell r="D52"/>
          <cell r="E52"/>
          <cell r="F52"/>
          <cell r="G52">
            <v>12000</v>
          </cell>
          <cell r="H52">
            <v>12000</v>
          </cell>
          <cell r="I52">
            <v>70000</v>
          </cell>
          <cell r="J52">
            <v>90000</v>
          </cell>
          <cell r="K52">
            <v>90000</v>
          </cell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>
            <v>0</v>
          </cell>
          <cell r="BF52"/>
          <cell r="BG52"/>
          <cell r="BH52">
            <v>16000</v>
          </cell>
          <cell r="BI52">
            <v>16000</v>
          </cell>
          <cell r="BJ52"/>
          <cell r="BK52"/>
          <cell r="BL52">
            <v>0</v>
          </cell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  <cell r="CE52"/>
          <cell r="CF52">
            <v>0</v>
          </cell>
          <cell r="CG52"/>
          <cell r="CH52"/>
          <cell r="CI52"/>
          <cell r="CJ52"/>
          <cell r="CK52"/>
          <cell r="CL52"/>
          <cell r="CM52"/>
          <cell r="CN52"/>
          <cell r="CO52"/>
          <cell r="CP52"/>
          <cell r="CQ52"/>
          <cell r="CR52"/>
          <cell r="CS52"/>
          <cell r="CT52"/>
          <cell r="CU52"/>
          <cell r="CV52"/>
          <cell r="CW52"/>
          <cell r="CX52"/>
          <cell r="CY52"/>
          <cell r="CZ52"/>
          <cell r="DA52"/>
          <cell r="DB52"/>
          <cell r="DC52"/>
          <cell r="DD52"/>
          <cell r="DE52"/>
          <cell r="DF52"/>
          <cell r="DG52"/>
          <cell r="DH52"/>
          <cell r="DI52"/>
          <cell r="DJ52"/>
          <cell r="DK52"/>
          <cell r="DL52"/>
          <cell r="DM52"/>
          <cell r="DN52"/>
          <cell r="DO52"/>
          <cell r="DP52"/>
          <cell r="DQ52"/>
          <cell r="DR52"/>
          <cell r="DS52"/>
          <cell r="DT52"/>
          <cell r="DU52"/>
          <cell r="DV52">
            <v>0</v>
          </cell>
          <cell r="DW52"/>
          <cell r="DX52"/>
          <cell r="DY52"/>
          <cell r="DZ52"/>
          <cell r="EA52"/>
          <cell r="EB52"/>
          <cell r="EC52"/>
          <cell r="ED52">
            <v>0</v>
          </cell>
          <cell r="EE52"/>
          <cell r="EF52"/>
          <cell r="EG52">
            <v>0</v>
          </cell>
          <cell r="EH52">
            <v>0</v>
          </cell>
          <cell r="EI52"/>
          <cell r="EJ52"/>
          <cell r="EK52"/>
          <cell r="EL52"/>
          <cell r="EM52"/>
          <cell r="EN52"/>
          <cell r="EO52"/>
          <cell r="EP52"/>
          <cell r="EQ52"/>
          <cell r="ER52"/>
          <cell r="ES52"/>
          <cell r="ET52"/>
          <cell r="EU52"/>
          <cell r="EV52"/>
          <cell r="EW52"/>
          <cell r="EX52"/>
          <cell r="EY52"/>
          <cell r="EZ52"/>
          <cell r="FA52"/>
          <cell r="FB52"/>
          <cell r="FC52"/>
          <cell r="FD52"/>
          <cell r="FE52"/>
          <cell r="FF52"/>
          <cell r="FG52"/>
          <cell r="FH52"/>
          <cell r="FI52">
            <v>0</v>
          </cell>
          <cell r="FJ52"/>
          <cell r="FK52">
            <v>290000</v>
          </cell>
        </row>
        <row r="53">
          <cell r="A53" t="str">
            <v>Novation Expense</v>
          </cell>
          <cell r="B53"/>
          <cell r="C53"/>
          <cell r="D53"/>
          <cell r="E53"/>
          <cell r="F53"/>
          <cell r="G53"/>
          <cell r="H53"/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>
            <v>0</v>
          </cell>
          <cell r="BF53"/>
          <cell r="BG53"/>
          <cell r="BH53"/>
          <cell r="BI53">
            <v>0</v>
          </cell>
          <cell r="BJ53"/>
          <cell r="BK53">
            <v>10404.94</v>
          </cell>
          <cell r="BL53">
            <v>10404.94</v>
          </cell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  <cell r="CE53"/>
          <cell r="CF53">
            <v>0</v>
          </cell>
          <cell r="CG53"/>
          <cell r="CH53"/>
          <cell r="CI53"/>
          <cell r="CJ53"/>
          <cell r="CK53"/>
          <cell r="CL53"/>
          <cell r="CM53"/>
          <cell r="CN53"/>
          <cell r="CO53"/>
          <cell r="CP53"/>
          <cell r="CQ53"/>
          <cell r="CR53"/>
          <cell r="CS53"/>
          <cell r="CT53"/>
          <cell r="CU53"/>
          <cell r="CV53"/>
          <cell r="CW53"/>
          <cell r="CX53"/>
          <cell r="CY53"/>
          <cell r="CZ53"/>
          <cell r="DA53"/>
          <cell r="DB53"/>
          <cell r="DC53"/>
          <cell r="DD53"/>
          <cell r="DE53"/>
          <cell r="DF53"/>
          <cell r="DG53"/>
          <cell r="DH53"/>
          <cell r="DI53"/>
          <cell r="DJ53"/>
          <cell r="DK53"/>
          <cell r="DL53"/>
          <cell r="DM53"/>
          <cell r="DN53"/>
          <cell r="DO53"/>
          <cell r="DP53"/>
          <cell r="DQ53"/>
          <cell r="DR53"/>
          <cell r="DS53"/>
          <cell r="DT53"/>
          <cell r="DU53"/>
          <cell r="DV53">
            <v>0</v>
          </cell>
          <cell r="DW53"/>
          <cell r="DX53"/>
          <cell r="DY53"/>
          <cell r="DZ53"/>
          <cell r="EA53"/>
          <cell r="EB53"/>
          <cell r="EC53"/>
          <cell r="ED53">
            <v>0</v>
          </cell>
          <cell r="EE53"/>
          <cell r="EF53"/>
          <cell r="EG53">
            <v>0</v>
          </cell>
          <cell r="EH53">
            <v>0</v>
          </cell>
          <cell r="EI53"/>
          <cell r="EJ53"/>
          <cell r="EK53"/>
          <cell r="EL53"/>
          <cell r="EM53"/>
          <cell r="EN53"/>
          <cell r="EO53"/>
          <cell r="EP53"/>
          <cell r="EQ53"/>
          <cell r="ER53"/>
          <cell r="ES53"/>
          <cell r="ET53"/>
          <cell r="EU53"/>
          <cell r="EV53"/>
          <cell r="EW53"/>
          <cell r="EX53"/>
          <cell r="EY53"/>
          <cell r="EZ53"/>
          <cell r="FA53"/>
          <cell r="FB53"/>
          <cell r="FC53"/>
          <cell r="FD53"/>
          <cell r="FE53"/>
          <cell r="FF53"/>
          <cell r="FG53"/>
          <cell r="FH53"/>
          <cell r="FI53">
            <v>0</v>
          </cell>
          <cell r="FJ53"/>
          <cell r="FK53">
            <v>10404.94</v>
          </cell>
        </row>
        <row r="54">
          <cell r="A54" t="str">
            <v>Wholesale Assignment Fee</v>
          </cell>
          <cell r="B54"/>
          <cell r="C54"/>
          <cell r="D54"/>
          <cell r="E54"/>
          <cell r="F54"/>
          <cell r="G54"/>
          <cell r="H54"/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>
            <v>0</v>
          </cell>
          <cell r="BF54"/>
          <cell r="BG54"/>
          <cell r="BH54"/>
          <cell r="BI54">
            <v>0</v>
          </cell>
          <cell r="BJ54"/>
          <cell r="BK54"/>
          <cell r="BL54">
            <v>0</v>
          </cell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  <cell r="CE54"/>
          <cell r="CF54">
            <v>0</v>
          </cell>
          <cell r="CG54"/>
          <cell r="CH54"/>
          <cell r="CI54"/>
          <cell r="CJ54"/>
          <cell r="CK54"/>
          <cell r="CL54"/>
          <cell r="CM54"/>
          <cell r="CN54"/>
          <cell r="CO54"/>
          <cell r="CP54"/>
          <cell r="CQ54"/>
          <cell r="CR54"/>
          <cell r="CS54"/>
          <cell r="CT54"/>
          <cell r="CU54"/>
          <cell r="CV54"/>
          <cell r="CW54"/>
          <cell r="CX54"/>
          <cell r="CY54"/>
          <cell r="CZ54"/>
          <cell r="DA54"/>
          <cell r="DB54"/>
          <cell r="DC54"/>
          <cell r="DD54"/>
          <cell r="DE54"/>
          <cell r="DF54"/>
          <cell r="DG54"/>
          <cell r="DH54"/>
          <cell r="DI54"/>
          <cell r="DJ54"/>
          <cell r="DK54"/>
          <cell r="DL54"/>
          <cell r="DM54"/>
          <cell r="DN54"/>
          <cell r="DO54"/>
          <cell r="DP54"/>
          <cell r="DQ54"/>
          <cell r="DR54"/>
          <cell r="DS54"/>
          <cell r="DT54"/>
          <cell r="DU54"/>
          <cell r="DV54">
            <v>0</v>
          </cell>
          <cell r="DW54"/>
          <cell r="DX54"/>
          <cell r="DY54"/>
          <cell r="DZ54"/>
          <cell r="EA54"/>
          <cell r="EB54"/>
          <cell r="EC54"/>
          <cell r="ED54">
            <v>0</v>
          </cell>
          <cell r="EE54"/>
          <cell r="EF54"/>
          <cell r="EG54">
            <v>0</v>
          </cell>
          <cell r="EH54">
            <v>0</v>
          </cell>
          <cell r="EI54"/>
          <cell r="EJ54"/>
          <cell r="EK54"/>
          <cell r="EL54"/>
          <cell r="EM54"/>
          <cell r="EN54"/>
          <cell r="EO54"/>
          <cell r="EP54"/>
          <cell r="EQ54"/>
          <cell r="ER54"/>
          <cell r="ES54"/>
          <cell r="ET54"/>
          <cell r="EU54"/>
          <cell r="EV54">
            <v>7000</v>
          </cell>
          <cell r="EW54"/>
          <cell r="EX54"/>
          <cell r="EY54"/>
          <cell r="EZ54"/>
          <cell r="FA54"/>
          <cell r="FB54"/>
          <cell r="FC54"/>
          <cell r="FD54"/>
          <cell r="FE54"/>
          <cell r="FF54"/>
          <cell r="FG54"/>
          <cell r="FH54"/>
          <cell r="FI54">
            <v>7000</v>
          </cell>
          <cell r="FJ54"/>
          <cell r="FK54">
            <v>7000</v>
          </cell>
        </row>
        <row r="55">
          <cell r="A55" t="str">
            <v>Wholesale Closing Costs</v>
          </cell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>
            <v>12462</v>
          </cell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>
            <v>0</v>
          </cell>
          <cell r="BF55"/>
          <cell r="BG55"/>
          <cell r="BH55"/>
          <cell r="BI55">
            <v>0</v>
          </cell>
          <cell r="BJ55"/>
          <cell r="BK55"/>
          <cell r="BL55">
            <v>0</v>
          </cell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  <cell r="CE55"/>
          <cell r="CF55">
            <v>0</v>
          </cell>
          <cell r="CG55"/>
          <cell r="CH55"/>
          <cell r="CI55"/>
          <cell r="CJ55"/>
          <cell r="CK55"/>
          <cell r="CL55"/>
          <cell r="CM55"/>
          <cell r="CN55"/>
          <cell r="CO55"/>
          <cell r="CP55"/>
          <cell r="CQ55"/>
          <cell r="CR55"/>
          <cell r="CS55"/>
          <cell r="CT55"/>
          <cell r="CU55"/>
          <cell r="CV55"/>
          <cell r="CW55"/>
          <cell r="CX55"/>
          <cell r="CY55"/>
          <cell r="CZ55"/>
          <cell r="DA55"/>
          <cell r="DB55"/>
          <cell r="DC55"/>
          <cell r="DD55"/>
          <cell r="DE55"/>
          <cell r="DF55"/>
          <cell r="DG55"/>
          <cell r="DH55"/>
          <cell r="DI55"/>
          <cell r="DJ55"/>
          <cell r="DK55"/>
          <cell r="DL55"/>
          <cell r="DM55"/>
          <cell r="DN55"/>
          <cell r="DO55"/>
          <cell r="DP55"/>
          <cell r="DQ55"/>
          <cell r="DR55"/>
          <cell r="DS55"/>
          <cell r="DT55"/>
          <cell r="DU55"/>
          <cell r="DV55">
            <v>0</v>
          </cell>
          <cell r="DW55"/>
          <cell r="DX55"/>
          <cell r="DY55"/>
          <cell r="DZ55"/>
          <cell r="EA55"/>
          <cell r="EB55"/>
          <cell r="EC55"/>
          <cell r="ED55">
            <v>0</v>
          </cell>
          <cell r="EE55"/>
          <cell r="EF55"/>
          <cell r="EG55">
            <v>0</v>
          </cell>
          <cell r="EH55">
            <v>0</v>
          </cell>
          <cell r="EI55"/>
          <cell r="EJ55">
            <v>1343</v>
          </cell>
          <cell r="EK55">
            <v>1990</v>
          </cell>
          <cell r="EL55">
            <v>16268.78</v>
          </cell>
          <cell r="EM55">
            <v>20379.939999999999</v>
          </cell>
          <cell r="EN55">
            <v>1798.84</v>
          </cell>
          <cell r="EO55">
            <v>2612</v>
          </cell>
          <cell r="EP55"/>
          <cell r="EQ55">
            <v>2533</v>
          </cell>
          <cell r="ER55">
            <v>12656.11</v>
          </cell>
          <cell r="ES55">
            <v>1997</v>
          </cell>
          <cell r="ET55">
            <v>1346</v>
          </cell>
          <cell r="EU55">
            <v>44308.85</v>
          </cell>
          <cell r="EV55">
            <v>3033.19</v>
          </cell>
          <cell r="EW55"/>
          <cell r="EX55">
            <v>4534.47</v>
          </cell>
          <cell r="EY55">
            <v>2943</v>
          </cell>
          <cell r="EZ55">
            <v>9330</v>
          </cell>
          <cell r="FA55">
            <v>32093.75</v>
          </cell>
          <cell r="FB55">
            <v>2000</v>
          </cell>
          <cell r="FC55">
            <v>18682.099999999999</v>
          </cell>
          <cell r="FD55">
            <v>22064.78</v>
          </cell>
          <cell r="FE55">
            <v>1667.06</v>
          </cell>
          <cell r="FF55">
            <v>20702.57</v>
          </cell>
          <cell r="FG55">
            <v>5880.11</v>
          </cell>
          <cell r="FH55">
            <v>2960.68</v>
          </cell>
          <cell r="FI55">
            <v>233125.23</v>
          </cell>
          <cell r="FJ55"/>
          <cell r="FK55">
            <v>245587.23</v>
          </cell>
        </row>
        <row r="56">
          <cell r="A56" t="str">
            <v>Wholesale Commission</v>
          </cell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>
            <v>0</v>
          </cell>
          <cell r="BF56"/>
          <cell r="BG56"/>
          <cell r="BH56"/>
          <cell r="BI56">
            <v>0</v>
          </cell>
          <cell r="BJ56"/>
          <cell r="BK56"/>
          <cell r="BL56">
            <v>0</v>
          </cell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  <cell r="CE56"/>
          <cell r="CF56">
            <v>0</v>
          </cell>
          <cell r="CG56"/>
          <cell r="CH56"/>
          <cell r="CI56"/>
          <cell r="CJ56"/>
          <cell r="CK56"/>
          <cell r="CL56"/>
          <cell r="CM56"/>
          <cell r="CN56"/>
          <cell r="CO56"/>
          <cell r="CP56"/>
          <cell r="CQ56"/>
          <cell r="CR56"/>
          <cell r="CS56"/>
          <cell r="CT56"/>
          <cell r="CU56"/>
          <cell r="CV56"/>
          <cell r="CW56"/>
          <cell r="CX56"/>
          <cell r="CY56"/>
          <cell r="CZ56"/>
          <cell r="DA56"/>
          <cell r="DB56"/>
          <cell r="DC56"/>
          <cell r="DD56"/>
          <cell r="DE56"/>
          <cell r="DF56"/>
          <cell r="DG56"/>
          <cell r="DH56"/>
          <cell r="DI56"/>
          <cell r="DJ56"/>
          <cell r="DK56"/>
          <cell r="DL56"/>
          <cell r="DM56"/>
          <cell r="DN56"/>
          <cell r="DO56"/>
          <cell r="DP56"/>
          <cell r="DQ56"/>
          <cell r="DR56"/>
          <cell r="DS56"/>
          <cell r="DT56"/>
          <cell r="DU56"/>
          <cell r="DV56">
            <v>0</v>
          </cell>
          <cell r="DW56"/>
          <cell r="DX56"/>
          <cell r="DY56"/>
          <cell r="DZ56"/>
          <cell r="EA56"/>
          <cell r="EB56"/>
          <cell r="EC56"/>
          <cell r="ED56">
            <v>0</v>
          </cell>
          <cell r="EE56"/>
          <cell r="EF56"/>
          <cell r="EG56">
            <v>0</v>
          </cell>
          <cell r="EH56">
            <v>0</v>
          </cell>
          <cell r="EI56"/>
          <cell r="EJ56">
            <v>13020</v>
          </cell>
          <cell r="EK56"/>
          <cell r="EL56"/>
          <cell r="EM56"/>
          <cell r="EN56">
            <v>500</v>
          </cell>
          <cell r="EO56">
            <v>10607</v>
          </cell>
          <cell r="EP56"/>
          <cell r="EQ56"/>
          <cell r="ER56"/>
          <cell r="ES56">
            <v>13825</v>
          </cell>
          <cell r="ET56"/>
          <cell r="EU56"/>
          <cell r="EV56">
            <v>250</v>
          </cell>
          <cell r="EW56"/>
          <cell r="EX56"/>
          <cell r="EY56">
            <v>7500</v>
          </cell>
          <cell r="EZ56"/>
          <cell r="FA56"/>
          <cell r="FB56"/>
          <cell r="FC56"/>
          <cell r="FD56"/>
          <cell r="FE56"/>
          <cell r="FF56"/>
          <cell r="FG56"/>
          <cell r="FH56"/>
          <cell r="FI56">
            <v>45702</v>
          </cell>
          <cell r="FJ56">
            <v>9000</v>
          </cell>
          <cell r="FK56">
            <v>54702</v>
          </cell>
        </row>
        <row r="57">
          <cell r="A57" t="str">
            <v>Wholesale Holding Costs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>
            <v>0</v>
          </cell>
          <cell r="BF57"/>
          <cell r="BG57"/>
          <cell r="BH57"/>
          <cell r="BI57">
            <v>0</v>
          </cell>
          <cell r="BJ57"/>
          <cell r="BK57"/>
          <cell r="BL57">
            <v>0</v>
          </cell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>
            <v>159.94</v>
          </cell>
          <cell r="CB57"/>
          <cell r="CC57"/>
          <cell r="CD57"/>
          <cell r="CE57"/>
          <cell r="CF57">
            <v>159.94</v>
          </cell>
          <cell r="CG57"/>
          <cell r="CH57"/>
          <cell r="CI57"/>
          <cell r="CJ57"/>
          <cell r="CK57"/>
          <cell r="CL57"/>
          <cell r="CM57"/>
          <cell r="CN57"/>
          <cell r="CO57"/>
          <cell r="CP57"/>
          <cell r="CQ57"/>
          <cell r="CR57"/>
          <cell r="CS57"/>
          <cell r="CT57"/>
          <cell r="CU57"/>
          <cell r="CV57"/>
          <cell r="CW57"/>
          <cell r="CX57"/>
          <cell r="CY57"/>
          <cell r="CZ57"/>
          <cell r="DA57"/>
          <cell r="DB57"/>
          <cell r="DC57"/>
          <cell r="DD57"/>
          <cell r="DE57"/>
          <cell r="DF57"/>
          <cell r="DG57"/>
          <cell r="DH57"/>
          <cell r="DI57"/>
          <cell r="DJ57"/>
          <cell r="DK57"/>
          <cell r="DL57"/>
          <cell r="DM57"/>
          <cell r="DN57"/>
          <cell r="DO57"/>
          <cell r="DP57"/>
          <cell r="DQ57"/>
          <cell r="DR57"/>
          <cell r="DS57"/>
          <cell r="DT57"/>
          <cell r="DU57"/>
          <cell r="DV57">
            <v>0</v>
          </cell>
          <cell r="DW57"/>
          <cell r="DX57"/>
          <cell r="DY57"/>
          <cell r="DZ57"/>
          <cell r="EA57"/>
          <cell r="EB57"/>
          <cell r="EC57"/>
          <cell r="ED57">
            <v>0</v>
          </cell>
          <cell r="EE57"/>
          <cell r="EF57"/>
          <cell r="EG57">
            <v>0</v>
          </cell>
          <cell r="EH57">
            <v>0</v>
          </cell>
          <cell r="EI57"/>
          <cell r="EJ57"/>
          <cell r="EK57"/>
          <cell r="EL57">
            <v>-3547.91</v>
          </cell>
          <cell r="EM57">
            <v>10002.719999999999</v>
          </cell>
          <cell r="EN57"/>
          <cell r="EO57"/>
          <cell r="EP57"/>
          <cell r="EQ57"/>
          <cell r="ER57"/>
          <cell r="ES57"/>
          <cell r="ET57"/>
          <cell r="EU57"/>
          <cell r="EV57"/>
          <cell r="EW57"/>
          <cell r="EX57"/>
          <cell r="EY57">
            <v>1000</v>
          </cell>
          <cell r="EZ57"/>
          <cell r="FA57">
            <v>6647.02</v>
          </cell>
          <cell r="FB57"/>
          <cell r="FC57"/>
          <cell r="FD57"/>
          <cell r="FE57"/>
          <cell r="FF57">
            <v>712.42</v>
          </cell>
          <cell r="FG57"/>
          <cell r="FH57"/>
          <cell r="FI57">
            <v>14814.25</v>
          </cell>
          <cell r="FJ57"/>
          <cell r="FK57">
            <v>14974.19</v>
          </cell>
        </row>
        <row r="58">
          <cell r="A58" t="str">
            <v>Wholesale Purchase Price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>
            <v>67500</v>
          </cell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>
            <v>0</v>
          </cell>
          <cell r="BF58"/>
          <cell r="BG58"/>
          <cell r="BH58"/>
          <cell r="BI58">
            <v>0</v>
          </cell>
          <cell r="BJ58"/>
          <cell r="BK58"/>
          <cell r="BL58">
            <v>0</v>
          </cell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  <cell r="CE58"/>
          <cell r="CF58">
            <v>0</v>
          </cell>
          <cell r="CG58"/>
          <cell r="CH58"/>
          <cell r="CI58"/>
          <cell r="CJ58"/>
          <cell r="CK58"/>
          <cell r="CL58"/>
          <cell r="CM58"/>
          <cell r="CN58"/>
          <cell r="CO58"/>
          <cell r="CP58"/>
          <cell r="CQ58"/>
          <cell r="CR58"/>
          <cell r="CS58"/>
          <cell r="CT58"/>
          <cell r="CU58"/>
          <cell r="CV58"/>
          <cell r="CW58"/>
          <cell r="CX58"/>
          <cell r="CY58"/>
          <cell r="CZ58"/>
          <cell r="DA58"/>
          <cell r="DB58"/>
          <cell r="DC58"/>
          <cell r="DD58"/>
          <cell r="DE58"/>
          <cell r="DF58"/>
          <cell r="DG58"/>
          <cell r="DH58"/>
          <cell r="DI58"/>
          <cell r="DJ58"/>
          <cell r="DK58"/>
          <cell r="DL58"/>
          <cell r="DM58"/>
          <cell r="DN58"/>
          <cell r="DO58"/>
          <cell r="DP58"/>
          <cell r="DQ58"/>
          <cell r="DR58"/>
          <cell r="DS58"/>
          <cell r="DT58"/>
          <cell r="DU58"/>
          <cell r="DV58">
            <v>0</v>
          </cell>
          <cell r="DW58"/>
          <cell r="DX58"/>
          <cell r="DY58"/>
          <cell r="DZ58"/>
          <cell r="EA58"/>
          <cell r="EB58"/>
          <cell r="EC58"/>
          <cell r="ED58">
            <v>0</v>
          </cell>
          <cell r="EE58"/>
          <cell r="EF58"/>
          <cell r="EG58">
            <v>0</v>
          </cell>
          <cell r="EH58">
            <v>0</v>
          </cell>
          <cell r="EI58"/>
          <cell r="EJ58">
            <v>75500</v>
          </cell>
          <cell r="EK58">
            <v>87000</v>
          </cell>
          <cell r="EL58">
            <v>174600</v>
          </cell>
          <cell r="EM58">
            <v>190000</v>
          </cell>
          <cell r="EN58">
            <v>219185.42</v>
          </cell>
          <cell r="EO58">
            <v>185000</v>
          </cell>
          <cell r="EP58"/>
          <cell r="EQ58">
            <v>100000</v>
          </cell>
          <cell r="ER58">
            <v>136000</v>
          </cell>
          <cell r="ES58">
            <v>70000</v>
          </cell>
          <cell r="ET58">
            <v>45000</v>
          </cell>
          <cell r="EU58">
            <v>7000</v>
          </cell>
          <cell r="EV58">
            <v>102000</v>
          </cell>
          <cell r="EW58"/>
          <cell r="EX58">
            <v>45000</v>
          </cell>
          <cell r="EY58">
            <v>200000</v>
          </cell>
          <cell r="EZ58">
            <v>57500</v>
          </cell>
          <cell r="FA58">
            <v>279000</v>
          </cell>
          <cell r="FB58">
            <v>60000</v>
          </cell>
          <cell r="FC58">
            <v>149600</v>
          </cell>
          <cell r="FD58">
            <v>68668.899999999994</v>
          </cell>
          <cell r="FE58">
            <v>44000</v>
          </cell>
          <cell r="FF58">
            <v>80000</v>
          </cell>
          <cell r="FG58">
            <v>83000</v>
          </cell>
          <cell r="FH58">
            <v>90000</v>
          </cell>
          <cell r="FI58">
            <v>2548054.3199999998</v>
          </cell>
          <cell r="FJ58"/>
          <cell r="FK58">
            <v>2615554.3199999998</v>
          </cell>
        </row>
        <row r="59">
          <cell r="A59" t="str">
            <v>Wholesale Repair Costs</v>
          </cell>
          <cell r="B59"/>
          <cell r="C59"/>
          <cell r="D59"/>
          <cell r="E59"/>
          <cell r="F59"/>
          <cell r="G59"/>
          <cell r="H59"/>
          <cell r="I59"/>
          <cell r="J59"/>
          <cell r="K59"/>
          <cell r="L59"/>
          <cell r="M59"/>
          <cell r="N59">
            <v>550</v>
          </cell>
          <cell r="O59"/>
          <cell r="P59"/>
          <cell r="Q59"/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>
            <v>0</v>
          </cell>
          <cell r="BF59"/>
          <cell r="BG59"/>
          <cell r="BH59"/>
          <cell r="BI59">
            <v>0</v>
          </cell>
          <cell r="BJ59"/>
          <cell r="BK59"/>
          <cell r="BL59">
            <v>0</v>
          </cell>
          <cell r="BM59">
            <v>2600</v>
          </cell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  <cell r="CE59"/>
          <cell r="CF59">
            <v>2600</v>
          </cell>
          <cell r="CG59"/>
          <cell r="CH59"/>
          <cell r="CI59"/>
          <cell r="CJ59"/>
          <cell r="CK59"/>
          <cell r="CL59"/>
          <cell r="CM59"/>
          <cell r="CN59"/>
          <cell r="CO59"/>
          <cell r="CP59"/>
          <cell r="CQ59"/>
          <cell r="CR59"/>
          <cell r="CS59"/>
          <cell r="CT59"/>
          <cell r="CU59"/>
          <cell r="CV59"/>
          <cell r="CW59"/>
          <cell r="CX59"/>
          <cell r="CY59"/>
          <cell r="CZ59"/>
          <cell r="DA59"/>
          <cell r="DB59"/>
          <cell r="DC59"/>
          <cell r="DD59"/>
          <cell r="DE59"/>
          <cell r="DF59"/>
          <cell r="DG59"/>
          <cell r="DH59"/>
          <cell r="DI59"/>
          <cell r="DJ59"/>
          <cell r="DK59"/>
          <cell r="DL59"/>
          <cell r="DM59"/>
          <cell r="DN59"/>
          <cell r="DO59"/>
          <cell r="DP59"/>
          <cell r="DQ59"/>
          <cell r="DR59"/>
          <cell r="DS59"/>
          <cell r="DT59"/>
          <cell r="DU59"/>
          <cell r="DV59">
            <v>0</v>
          </cell>
          <cell r="DW59"/>
          <cell r="DX59"/>
          <cell r="DY59"/>
          <cell r="DZ59"/>
          <cell r="EA59"/>
          <cell r="EB59"/>
          <cell r="EC59"/>
          <cell r="ED59">
            <v>0</v>
          </cell>
          <cell r="EE59"/>
          <cell r="EF59"/>
          <cell r="EG59">
            <v>0</v>
          </cell>
          <cell r="EH59">
            <v>0</v>
          </cell>
          <cell r="EI59"/>
          <cell r="EJ59"/>
          <cell r="EK59"/>
          <cell r="EL59">
            <v>4109.05</v>
          </cell>
          <cell r="EM59">
            <v>2100</v>
          </cell>
          <cell r="EN59"/>
          <cell r="EO59"/>
          <cell r="EP59">
            <v>1976.2</v>
          </cell>
          <cell r="EQ59"/>
          <cell r="ER59"/>
          <cell r="ES59"/>
          <cell r="ET59"/>
          <cell r="EU59"/>
          <cell r="EV59"/>
          <cell r="EW59"/>
          <cell r="EX59"/>
          <cell r="EY59"/>
          <cell r="EZ59"/>
          <cell r="FA59">
            <v>5760</v>
          </cell>
          <cell r="FB59"/>
          <cell r="FC59">
            <v>350</v>
          </cell>
          <cell r="FD59">
            <v>2126.39</v>
          </cell>
          <cell r="FE59"/>
          <cell r="FF59">
            <v>60</v>
          </cell>
          <cell r="FG59">
            <v>160.88999999999999</v>
          </cell>
          <cell r="FH59"/>
          <cell r="FI59">
            <v>16642.53</v>
          </cell>
          <cell r="FJ59"/>
          <cell r="FK59">
            <v>19792.53</v>
          </cell>
        </row>
        <row r="60">
          <cell r="A60" t="str">
            <v>Total COGS - Wholesale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12517</v>
          </cell>
          <cell r="H60">
            <v>12517</v>
          </cell>
          <cell r="I60">
            <v>70821</v>
          </cell>
          <cell r="J60">
            <v>90865</v>
          </cell>
          <cell r="K60">
            <v>90865</v>
          </cell>
          <cell r="L60">
            <v>79962</v>
          </cell>
          <cell r="M60">
            <v>0</v>
          </cell>
          <cell r="N60">
            <v>550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16517</v>
          </cell>
          <cell r="BI60">
            <v>16517</v>
          </cell>
          <cell r="BJ60">
            <v>0</v>
          </cell>
          <cell r="BK60">
            <v>10404.94</v>
          </cell>
          <cell r="BL60">
            <v>10404.94</v>
          </cell>
          <cell r="BM60">
            <v>2600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159.94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2759.94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89863</v>
          </cell>
          <cell r="EK60">
            <v>88990</v>
          </cell>
          <cell r="EL60">
            <v>191429.92</v>
          </cell>
          <cell r="EM60">
            <v>222482.66</v>
          </cell>
          <cell r="EN60">
            <v>221484.26</v>
          </cell>
          <cell r="EO60">
            <v>198219</v>
          </cell>
          <cell r="EP60">
            <v>1976.2</v>
          </cell>
          <cell r="EQ60">
            <v>102533</v>
          </cell>
          <cell r="ER60">
            <v>148656.10999999999</v>
          </cell>
          <cell r="ES60">
            <v>85822</v>
          </cell>
          <cell r="ET60">
            <v>46346</v>
          </cell>
          <cell r="EU60">
            <v>51308.85</v>
          </cell>
          <cell r="EV60">
            <v>112283.19</v>
          </cell>
          <cell r="EW60">
            <v>0</v>
          </cell>
          <cell r="EX60">
            <v>49534.47</v>
          </cell>
          <cell r="EY60">
            <v>211443</v>
          </cell>
          <cell r="EZ60">
            <v>66830</v>
          </cell>
          <cell r="FA60">
            <v>323500.77</v>
          </cell>
          <cell r="FB60">
            <v>62000</v>
          </cell>
          <cell r="FC60">
            <v>168632.1</v>
          </cell>
          <cell r="FD60">
            <v>92860.07</v>
          </cell>
          <cell r="FE60">
            <v>45667.06</v>
          </cell>
          <cell r="FF60">
            <v>101474.99</v>
          </cell>
          <cell r="FG60">
            <v>89041</v>
          </cell>
          <cell r="FH60">
            <v>92960.68</v>
          </cell>
          <cell r="FI60">
            <v>2865338.33</v>
          </cell>
          <cell r="FJ60">
            <v>9000</v>
          </cell>
          <cell r="FK60">
            <v>3262117.21</v>
          </cell>
        </row>
        <row r="61">
          <cell r="A61" t="str">
            <v>Commissions</v>
          </cell>
          <cell r="B61"/>
          <cell r="C61">
            <v>2000</v>
          </cell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>
            <v>4500</v>
          </cell>
          <cell r="X61">
            <v>33823.46</v>
          </cell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>
            <v>1800</v>
          </cell>
          <cell r="AS61"/>
          <cell r="AT61"/>
          <cell r="AU61">
            <v>12500</v>
          </cell>
          <cell r="AV61"/>
          <cell r="AW61"/>
          <cell r="AX61"/>
          <cell r="AY61"/>
          <cell r="AZ61"/>
          <cell r="BA61"/>
          <cell r="BB61"/>
          <cell r="BC61"/>
          <cell r="BD61"/>
          <cell r="BE61">
            <v>52623.46</v>
          </cell>
          <cell r="BF61">
            <v>30550</v>
          </cell>
          <cell r="BG61"/>
          <cell r="BH61"/>
          <cell r="BI61">
            <v>0</v>
          </cell>
          <cell r="BJ61"/>
          <cell r="BK61"/>
          <cell r="BL61">
            <v>0</v>
          </cell>
          <cell r="BM61">
            <v>250</v>
          </cell>
          <cell r="BN61"/>
          <cell r="BO61"/>
          <cell r="BP61"/>
          <cell r="BQ61"/>
          <cell r="BR61"/>
          <cell r="BS61">
            <v>1000</v>
          </cell>
          <cell r="BT61"/>
          <cell r="BU61"/>
          <cell r="BV61"/>
          <cell r="BW61"/>
          <cell r="BX61"/>
          <cell r="BY61">
            <v>7700</v>
          </cell>
          <cell r="BZ61"/>
          <cell r="CA61"/>
          <cell r="CB61"/>
          <cell r="CC61">
            <v>14140</v>
          </cell>
          <cell r="CD61"/>
          <cell r="CE61"/>
          <cell r="CF61">
            <v>23090</v>
          </cell>
          <cell r="CG61"/>
          <cell r="CH61"/>
          <cell r="CI61"/>
          <cell r="CJ61"/>
          <cell r="CK61"/>
          <cell r="CL61"/>
          <cell r="CM61"/>
          <cell r="CN61">
            <v>1500</v>
          </cell>
          <cell r="CO61"/>
          <cell r="CP61"/>
          <cell r="CQ61"/>
          <cell r="CR61"/>
          <cell r="CS61"/>
          <cell r="CT61"/>
          <cell r="CU61">
            <v>250</v>
          </cell>
          <cell r="CV61"/>
          <cell r="CW61"/>
          <cell r="CX61"/>
          <cell r="CY61">
            <v>3750</v>
          </cell>
          <cell r="CZ61"/>
          <cell r="DA61"/>
          <cell r="DB61"/>
          <cell r="DC61"/>
          <cell r="DD61"/>
          <cell r="DE61"/>
          <cell r="DF61"/>
          <cell r="DG61"/>
          <cell r="DH61"/>
          <cell r="DI61"/>
          <cell r="DJ61"/>
          <cell r="DK61"/>
          <cell r="DL61"/>
          <cell r="DM61"/>
          <cell r="DN61"/>
          <cell r="DO61"/>
          <cell r="DP61"/>
          <cell r="DQ61">
            <v>3750</v>
          </cell>
          <cell r="DR61"/>
          <cell r="DS61"/>
          <cell r="DT61"/>
          <cell r="DU61"/>
          <cell r="DV61">
            <v>3750</v>
          </cell>
          <cell r="DW61"/>
          <cell r="DX61"/>
          <cell r="DY61">
            <v>8000</v>
          </cell>
          <cell r="DZ61"/>
          <cell r="EA61"/>
          <cell r="EB61">
            <v>750</v>
          </cell>
          <cell r="EC61"/>
          <cell r="ED61">
            <v>8750</v>
          </cell>
          <cell r="EE61"/>
          <cell r="EF61"/>
          <cell r="EG61">
            <v>0</v>
          </cell>
          <cell r="EH61">
            <v>18000</v>
          </cell>
          <cell r="EI61"/>
          <cell r="EJ61"/>
          <cell r="EK61">
            <v>9250</v>
          </cell>
          <cell r="EL61"/>
          <cell r="EM61">
            <v>1000</v>
          </cell>
          <cell r="EN61"/>
          <cell r="EO61"/>
          <cell r="EP61"/>
          <cell r="EQ61">
            <v>4850</v>
          </cell>
          <cell r="ER61"/>
          <cell r="ES61"/>
          <cell r="ET61"/>
          <cell r="EU61">
            <v>2172</v>
          </cell>
          <cell r="EV61"/>
          <cell r="EW61">
            <v>8250</v>
          </cell>
          <cell r="EX61">
            <v>7500</v>
          </cell>
          <cell r="EY61"/>
          <cell r="EZ61"/>
          <cell r="FA61"/>
          <cell r="FB61">
            <v>11400</v>
          </cell>
          <cell r="FC61"/>
          <cell r="FD61">
            <v>500</v>
          </cell>
          <cell r="FE61">
            <v>19000</v>
          </cell>
          <cell r="FF61"/>
          <cell r="FG61"/>
          <cell r="FH61">
            <v>1350</v>
          </cell>
          <cell r="FI61">
            <v>65272</v>
          </cell>
          <cell r="FJ61"/>
          <cell r="FK61">
            <v>191535.46</v>
          </cell>
        </row>
        <row r="62">
          <cell r="A62" t="str">
            <v>Homelight</v>
          </cell>
          <cell r="B62"/>
          <cell r="C62"/>
          <cell r="D62"/>
          <cell r="E62"/>
          <cell r="F62"/>
          <cell r="G62"/>
          <cell r="H62"/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>
            <v>0</v>
          </cell>
          <cell r="BF62"/>
          <cell r="BG62"/>
          <cell r="BH62"/>
          <cell r="BI62">
            <v>0</v>
          </cell>
          <cell r="BJ62"/>
          <cell r="BK62"/>
          <cell r="BL62">
            <v>0</v>
          </cell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  <cell r="CE62"/>
          <cell r="CF62">
            <v>0</v>
          </cell>
          <cell r="CG62"/>
          <cell r="CH62"/>
          <cell r="CI62"/>
          <cell r="CJ62"/>
          <cell r="CK62"/>
          <cell r="CL62"/>
          <cell r="CM62"/>
          <cell r="CN62"/>
          <cell r="CO62"/>
          <cell r="CP62"/>
          <cell r="CQ62"/>
          <cell r="CR62"/>
          <cell r="CS62"/>
          <cell r="CT62"/>
          <cell r="CU62"/>
          <cell r="CV62"/>
          <cell r="CW62"/>
          <cell r="CX62"/>
          <cell r="CY62"/>
          <cell r="CZ62"/>
          <cell r="DA62"/>
          <cell r="DB62"/>
          <cell r="DC62"/>
          <cell r="DD62"/>
          <cell r="DE62"/>
          <cell r="DF62"/>
          <cell r="DG62"/>
          <cell r="DH62"/>
          <cell r="DI62"/>
          <cell r="DJ62"/>
          <cell r="DK62"/>
          <cell r="DL62"/>
          <cell r="DM62"/>
          <cell r="DN62"/>
          <cell r="DO62"/>
          <cell r="DP62"/>
          <cell r="DQ62"/>
          <cell r="DR62"/>
          <cell r="DS62"/>
          <cell r="DT62"/>
          <cell r="DU62"/>
          <cell r="DV62">
            <v>0</v>
          </cell>
          <cell r="DW62"/>
          <cell r="DX62"/>
          <cell r="DY62"/>
          <cell r="DZ62"/>
          <cell r="EA62"/>
          <cell r="EB62"/>
          <cell r="EC62"/>
          <cell r="ED62">
            <v>0</v>
          </cell>
          <cell r="EE62"/>
          <cell r="EF62"/>
          <cell r="EG62">
            <v>0</v>
          </cell>
          <cell r="EH62">
            <v>0</v>
          </cell>
          <cell r="EI62"/>
          <cell r="EJ62"/>
          <cell r="EK62"/>
          <cell r="EL62"/>
          <cell r="EM62">
            <v>7600</v>
          </cell>
          <cell r="EN62"/>
          <cell r="EO62"/>
          <cell r="EP62"/>
          <cell r="EQ62"/>
          <cell r="ER62"/>
          <cell r="ES62"/>
          <cell r="ET62"/>
          <cell r="EU62"/>
          <cell r="EV62"/>
          <cell r="EW62"/>
          <cell r="EX62"/>
          <cell r="EY62"/>
          <cell r="EZ62"/>
          <cell r="FA62"/>
          <cell r="FB62"/>
          <cell r="FC62"/>
          <cell r="FD62"/>
          <cell r="FE62"/>
          <cell r="FF62"/>
          <cell r="FG62"/>
          <cell r="FH62"/>
          <cell r="FI62">
            <v>7600</v>
          </cell>
          <cell r="FJ62"/>
          <cell r="FK62">
            <v>7600</v>
          </cell>
        </row>
        <row r="63">
          <cell r="A63" t="str">
            <v>Total Commissions</v>
          </cell>
          <cell r="B63">
            <v>0</v>
          </cell>
          <cell r="C63">
            <v>2000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4500</v>
          </cell>
          <cell r="X63">
            <v>33823.46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1800</v>
          </cell>
          <cell r="AS63">
            <v>0</v>
          </cell>
          <cell r="AT63">
            <v>0</v>
          </cell>
          <cell r="AU63">
            <v>12500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52623.46</v>
          </cell>
          <cell r="BF63">
            <v>30550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250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1000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7700</v>
          </cell>
          <cell r="BZ63">
            <v>0</v>
          </cell>
          <cell r="CA63">
            <v>0</v>
          </cell>
          <cell r="CB63">
            <v>0</v>
          </cell>
          <cell r="CC63">
            <v>14140</v>
          </cell>
          <cell r="CD63">
            <v>0</v>
          </cell>
          <cell r="CE63">
            <v>0</v>
          </cell>
          <cell r="CF63">
            <v>23090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1500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250</v>
          </cell>
          <cell r="CV63">
            <v>0</v>
          </cell>
          <cell r="CW63">
            <v>0</v>
          </cell>
          <cell r="CX63">
            <v>0</v>
          </cell>
          <cell r="CY63">
            <v>3750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3750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3750</v>
          </cell>
          <cell r="DW63">
            <v>0</v>
          </cell>
          <cell r="DX63">
            <v>0</v>
          </cell>
          <cell r="DY63">
            <v>8000</v>
          </cell>
          <cell r="DZ63">
            <v>0</v>
          </cell>
          <cell r="EA63">
            <v>0</v>
          </cell>
          <cell r="EB63">
            <v>750</v>
          </cell>
          <cell r="EC63">
            <v>0</v>
          </cell>
          <cell r="ED63">
            <v>8750</v>
          </cell>
          <cell r="EE63">
            <v>0</v>
          </cell>
          <cell r="EF63">
            <v>0</v>
          </cell>
          <cell r="EG63">
            <v>0</v>
          </cell>
          <cell r="EH63">
            <v>18000</v>
          </cell>
          <cell r="EI63">
            <v>0</v>
          </cell>
          <cell r="EJ63">
            <v>0</v>
          </cell>
          <cell r="EK63">
            <v>9250</v>
          </cell>
          <cell r="EL63">
            <v>0</v>
          </cell>
          <cell r="EM63">
            <v>8600</v>
          </cell>
          <cell r="EN63">
            <v>0</v>
          </cell>
          <cell r="EO63">
            <v>0</v>
          </cell>
          <cell r="EP63">
            <v>0</v>
          </cell>
          <cell r="EQ63">
            <v>4850</v>
          </cell>
          <cell r="ER63">
            <v>0</v>
          </cell>
          <cell r="ES63">
            <v>0</v>
          </cell>
          <cell r="ET63">
            <v>0</v>
          </cell>
          <cell r="EU63">
            <v>2172</v>
          </cell>
          <cell r="EV63">
            <v>0</v>
          </cell>
          <cell r="EW63">
            <v>8250</v>
          </cell>
          <cell r="EX63">
            <v>7500</v>
          </cell>
          <cell r="EY63">
            <v>0</v>
          </cell>
          <cell r="EZ63">
            <v>0</v>
          </cell>
          <cell r="FA63">
            <v>0</v>
          </cell>
          <cell r="FB63">
            <v>11400</v>
          </cell>
          <cell r="FC63">
            <v>0</v>
          </cell>
          <cell r="FD63">
            <v>500</v>
          </cell>
          <cell r="FE63">
            <v>19000</v>
          </cell>
          <cell r="FF63">
            <v>0</v>
          </cell>
          <cell r="FG63">
            <v>0</v>
          </cell>
          <cell r="FH63">
            <v>1350</v>
          </cell>
          <cell r="FI63">
            <v>72872</v>
          </cell>
          <cell r="FJ63">
            <v>0</v>
          </cell>
          <cell r="FK63">
            <v>199135.46</v>
          </cell>
        </row>
        <row r="64">
          <cell r="A64" t="str">
            <v>Cost of Goods Sold</v>
          </cell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/>
          <cell r="P64"/>
          <cell r="Q64"/>
          <cell r="R64"/>
          <cell r="S64"/>
          <cell r="T64"/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>
            <v>0</v>
          </cell>
          <cell r="BF64"/>
          <cell r="BG64"/>
          <cell r="BH64"/>
          <cell r="BI64">
            <v>0</v>
          </cell>
          <cell r="BJ64"/>
          <cell r="BK64"/>
          <cell r="BL64">
            <v>0</v>
          </cell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  <cell r="CE64"/>
          <cell r="CF64">
            <v>0</v>
          </cell>
          <cell r="CG64"/>
          <cell r="CH64"/>
          <cell r="CI64"/>
          <cell r="CJ64"/>
          <cell r="CK64"/>
          <cell r="CL64"/>
          <cell r="CM64"/>
          <cell r="CN64"/>
          <cell r="CO64"/>
          <cell r="CP64"/>
          <cell r="CQ64"/>
          <cell r="CR64"/>
          <cell r="CS64"/>
          <cell r="CT64"/>
          <cell r="CU64"/>
          <cell r="CV64"/>
          <cell r="CW64"/>
          <cell r="CX64"/>
          <cell r="CY64"/>
          <cell r="CZ64"/>
          <cell r="DA64"/>
          <cell r="DB64"/>
          <cell r="DC64"/>
          <cell r="DD64"/>
          <cell r="DE64"/>
          <cell r="DF64"/>
          <cell r="DG64"/>
          <cell r="DH64"/>
          <cell r="DI64"/>
          <cell r="DJ64"/>
          <cell r="DK64"/>
          <cell r="DL64"/>
          <cell r="DM64"/>
          <cell r="DN64"/>
          <cell r="DO64"/>
          <cell r="DP64"/>
          <cell r="DQ64"/>
          <cell r="DR64"/>
          <cell r="DS64"/>
          <cell r="DT64"/>
          <cell r="DU64"/>
          <cell r="DV64">
            <v>0</v>
          </cell>
          <cell r="DW64"/>
          <cell r="DX64"/>
          <cell r="DY64"/>
          <cell r="DZ64"/>
          <cell r="EA64"/>
          <cell r="EB64"/>
          <cell r="EC64"/>
          <cell r="ED64">
            <v>0</v>
          </cell>
          <cell r="EE64"/>
          <cell r="EF64"/>
          <cell r="EG64">
            <v>0</v>
          </cell>
          <cell r="EH64">
            <v>0</v>
          </cell>
          <cell r="EI64"/>
          <cell r="EJ64"/>
          <cell r="EK64"/>
          <cell r="EL64"/>
          <cell r="EM64"/>
          <cell r="EN64"/>
          <cell r="EO64"/>
          <cell r="EP64"/>
          <cell r="EQ64"/>
          <cell r="ER64"/>
          <cell r="ES64"/>
          <cell r="ET64"/>
          <cell r="EU64"/>
          <cell r="EV64"/>
          <cell r="EW64"/>
          <cell r="EX64"/>
          <cell r="EY64"/>
          <cell r="EZ64"/>
          <cell r="FA64"/>
          <cell r="FB64"/>
          <cell r="FC64"/>
          <cell r="FD64"/>
          <cell r="FE64"/>
          <cell r="FF64"/>
          <cell r="FG64"/>
          <cell r="FH64"/>
          <cell r="FI64">
            <v>0</v>
          </cell>
          <cell r="FJ64"/>
          <cell r="FK64">
            <v>0</v>
          </cell>
        </row>
        <row r="65">
          <cell r="A65" t="str">
            <v>APPRAISAL FEE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>
            <v>0</v>
          </cell>
          <cell r="BF65">
            <v>290</v>
          </cell>
          <cell r="BG65"/>
          <cell r="BH65"/>
          <cell r="BI65">
            <v>0</v>
          </cell>
          <cell r="BJ65"/>
          <cell r="BK65"/>
          <cell r="BL65">
            <v>0</v>
          </cell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  <cell r="CE65"/>
          <cell r="CF65">
            <v>0</v>
          </cell>
          <cell r="CG65"/>
          <cell r="CH65"/>
          <cell r="CI65"/>
          <cell r="CJ65"/>
          <cell r="CK65"/>
          <cell r="CL65"/>
          <cell r="CM65"/>
          <cell r="CN65"/>
          <cell r="CO65"/>
          <cell r="CP65"/>
          <cell r="CQ65"/>
          <cell r="CR65"/>
          <cell r="CS65"/>
          <cell r="CT65"/>
          <cell r="CU65"/>
          <cell r="CV65"/>
          <cell r="CW65"/>
          <cell r="CX65"/>
          <cell r="CY65"/>
          <cell r="CZ65"/>
          <cell r="DA65"/>
          <cell r="DB65"/>
          <cell r="DC65"/>
          <cell r="DD65"/>
          <cell r="DE65"/>
          <cell r="DF65"/>
          <cell r="DG65"/>
          <cell r="DH65"/>
          <cell r="DI65"/>
          <cell r="DJ65"/>
          <cell r="DK65"/>
          <cell r="DL65"/>
          <cell r="DM65"/>
          <cell r="DN65"/>
          <cell r="DO65"/>
          <cell r="DP65"/>
          <cell r="DQ65"/>
          <cell r="DR65"/>
          <cell r="DS65"/>
          <cell r="DT65"/>
          <cell r="DU65"/>
          <cell r="DV65">
            <v>0</v>
          </cell>
          <cell r="DW65"/>
          <cell r="DX65"/>
          <cell r="DY65"/>
          <cell r="DZ65"/>
          <cell r="EA65"/>
          <cell r="EB65"/>
          <cell r="EC65"/>
          <cell r="ED65">
            <v>0</v>
          </cell>
          <cell r="EE65"/>
          <cell r="EF65"/>
          <cell r="EG65">
            <v>0</v>
          </cell>
          <cell r="EH65">
            <v>0</v>
          </cell>
          <cell r="EI65"/>
          <cell r="EJ65"/>
          <cell r="EK65"/>
          <cell r="EL65"/>
          <cell r="EM65"/>
          <cell r="EN65"/>
          <cell r="EO65"/>
          <cell r="EP65"/>
          <cell r="EQ65"/>
          <cell r="ER65"/>
          <cell r="ES65"/>
          <cell r="ET65"/>
          <cell r="EU65"/>
          <cell r="EV65"/>
          <cell r="EW65"/>
          <cell r="EX65"/>
          <cell r="EY65"/>
          <cell r="EZ65"/>
          <cell r="FA65"/>
          <cell r="FB65"/>
          <cell r="FC65"/>
          <cell r="FD65"/>
          <cell r="FE65"/>
          <cell r="FF65"/>
          <cell r="FG65"/>
          <cell r="FH65"/>
          <cell r="FI65">
            <v>0</v>
          </cell>
          <cell r="FJ65"/>
          <cell r="FK65">
            <v>290</v>
          </cell>
        </row>
        <row r="66">
          <cell r="A66" t="str">
            <v>UTILITIES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>
            <v>0</v>
          </cell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>
            <v>0</v>
          </cell>
          <cell r="BF66"/>
          <cell r="BG66"/>
          <cell r="BH66"/>
          <cell r="BI66">
            <v>0</v>
          </cell>
          <cell r="BJ66"/>
          <cell r="BK66"/>
          <cell r="BL66">
            <v>0</v>
          </cell>
          <cell r="BM66"/>
          <cell r="BN66"/>
          <cell r="BO66"/>
          <cell r="BP66"/>
          <cell r="BQ66"/>
          <cell r="BR66"/>
          <cell r="BS66"/>
          <cell r="BT66">
            <v>99.51</v>
          </cell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  <cell r="CE66"/>
          <cell r="CF66">
            <v>99.51</v>
          </cell>
          <cell r="CG66"/>
          <cell r="CH66"/>
          <cell r="CI66"/>
          <cell r="CJ66"/>
          <cell r="CK66"/>
          <cell r="CL66"/>
          <cell r="CM66"/>
          <cell r="CN66"/>
          <cell r="CO66"/>
          <cell r="CP66"/>
          <cell r="CQ66"/>
          <cell r="CR66"/>
          <cell r="CS66"/>
          <cell r="CT66"/>
          <cell r="CU66"/>
          <cell r="CV66"/>
          <cell r="CW66"/>
          <cell r="CX66"/>
          <cell r="CY66"/>
          <cell r="CZ66"/>
          <cell r="DA66"/>
          <cell r="DB66"/>
          <cell r="DC66"/>
          <cell r="DD66"/>
          <cell r="DE66"/>
          <cell r="DF66"/>
          <cell r="DG66"/>
          <cell r="DH66"/>
          <cell r="DI66"/>
          <cell r="DJ66"/>
          <cell r="DK66"/>
          <cell r="DL66"/>
          <cell r="DM66"/>
          <cell r="DN66"/>
          <cell r="DO66"/>
          <cell r="DP66"/>
          <cell r="DQ66"/>
          <cell r="DR66"/>
          <cell r="DS66"/>
          <cell r="DT66"/>
          <cell r="DU66"/>
          <cell r="DV66">
            <v>0</v>
          </cell>
          <cell r="DW66"/>
          <cell r="DX66"/>
          <cell r="DY66"/>
          <cell r="DZ66"/>
          <cell r="EA66"/>
          <cell r="EB66"/>
          <cell r="EC66"/>
          <cell r="ED66">
            <v>0</v>
          </cell>
          <cell r="EE66"/>
          <cell r="EF66"/>
          <cell r="EG66">
            <v>0</v>
          </cell>
          <cell r="EH66">
            <v>0</v>
          </cell>
          <cell r="EI66"/>
          <cell r="EJ66"/>
          <cell r="EK66"/>
          <cell r="EL66"/>
          <cell r="EM66"/>
          <cell r="EN66"/>
          <cell r="EO66"/>
          <cell r="EP66"/>
          <cell r="EQ66"/>
          <cell r="ER66"/>
          <cell r="ES66"/>
          <cell r="ET66"/>
          <cell r="EU66"/>
          <cell r="EV66"/>
          <cell r="EW66"/>
          <cell r="EX66"/>
          <cell r="EY66"/>
          <cell r="EZ66"/>
          <cell r="FA66"/>
          <cell r="FB66"/>
          <cell r="FC66"/>
          <cell r="FD66"/>
          <cell r="FE66"/>
          <cell r="FF66"/>
          <cell r="FG66"/>
          <cell r="FH66"/>
          <cell r="FI66">
            <v>0</v>
          </cell>
          <cell r="FJ66"/>
          <cell r="FK66">
            <v>99.51</v>
          </cell>
        </row>
        <row r="67">
          <cell r="A67" t="str">
            <v>Total Cost of Goods Sold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290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99.51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99.51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389.51</v>
          </cell>
        </row>
        <row r="68">
          <cell r="A68" t="str">
            <v>Total Cost of Goods Sold</v>
          </cell>
          <cell r="B68">
            <v>-250</v>
          </cell>
          <cell r="C68">
            <v>2000</v>
          </cell>
          <cell r="D68">
            <v>395</v>
          </cell>
          <cell r="E68">
            <v>0</v>
          </cell>
          <cell r="F68">
            <v>-405.02</v>
          </cell>
          <cell r="G68">
            <v>12517</v>
          </cell>
          <cell r="H68">
            <v>12517</v>
          </cell>
          <cell r="I68">
            <v>70821</v>
          </cell>
          <cell r="J68">
            <v>90865</v>
          </cell>
          <cell r="K68">
            <v>90865</v>
          </cell>
          <cell r="L68">
            <v>79962</v>
          </cell>
          <cell r="M68">
            <v>125</v>
          </cell>
          <cell r="N68">
            <v>550</v>
          </cell>
          <cell r="O68">
            <v>0</v>
          </cell>
          <cell r="P68">
            <v>315</v>
          </cell>
          <cell r="Q68">
            <v>-4454</v>
          </cell>
          <cell r="R68">
            <v>0</v>
          </cell>
          <cell r="S68">
            <v>98407.22</v>
          </cell>
          <cell r="T68">
            <v>254406.38</v>
          </cell>
          <cell r="U68">
            <v>141949.5</v>
          </cell>
          <cell r="V68">
            <v>331361.96999999997</v>
          </cell>
          <cell r="W68">
            <v>42210.25</v>
          </cell>
          <cell r="X68">
            <v>369856.17</v>
          </cell>
          <cell r="Y68">
            <v>251144.69</v>
          </cell>
          <cell r="Z68">
            <v>235796.83</v>
          </cell>
          <cell r="AA68">
            <v>419201.51</v>
          </cell>
          <cell r="AB68">
            <v>527984.96</v>
          </cell>
          <cell r="AC68">
            <v>271982.05</v>
          </cell>
          <cell r="AD68">
            <v>386047.86</v>
          </cell>
          <cell r="AE68">
            <v>350876.57</v>
          </cell>
          <cell r="AF68">
            <v>373923.91</v>
          </cell>
          <cell r="AG68">
            <v>218767.38</v>
          </cell>
          <cell r="AH68">
            <v>380440.28</v>
          </cell>
          <cell r="AI68">
            <v>478002.79</v>
          </cell>
          <cell r="AJ68">
            <v>220547.71</v>
          </cell>
          <cell r="AK68">
            <v>283529.21999999997</v>
          </cell>
          <cell r="AL68">
            <v>0</v>
          </cell>
          <cell r="AM68">
            <v>194313.3</v>
          </cell>
          <cell r="AN68">
            <v>0</v>
          </cell>
          <cell r="AO68">
            <v>157114.41</v>
          </cell>
          <cell r="AP68">
            <v>242398.34</v>
          </cell>
          <cell r="AQ68">
            <v>2000</v>
          </cell>
          <cell r="AR68">
            <v>323225.63</v>
          </cell>
          <cell r="AS68">
            <v>338647.89</v>
          </cell>
          <cell r="AT68">
            <v>222024.93</v>
          </cell>
          <cell r="AU68">
            <v>81068.41</v>
          </cell>
          <cell r="AV68">
            <v>206078.72</v>
          </cell>
          <cell r="AW68">
            <v>242014.09</v>
          </cell>
          <cell r="AX68">
            <v>465030.92</v>
          </cell>
          <cell r="AY68">
            <v>490351.34</v>
          </cell>
          <cell r="AZ68">
            <v>214949.93</v>
          </cell>
          <cell r="BA68">
            <v>266842.48</v>
          </cell>
          <cell r="BB68">
            <v>199358.75</v>
          </cell>
          <cell r="BC68">
            <v>0</v>
          </cell>
          <cell r="BD68">
            <v>379730.32</v>
          </cell>
          <cell r="BE68">
            <v>9661586.7100000009</v>
          </cell>
          <cell r="BF68">
            <v>64777.25</v>
          </cell>
          <cell r="BG68">
            <v>0</v>
          </cell>
          <cell r="BH68">
            <v>16517</v>
          </cell>
          <cell r="BI68">
            <v>16517</v>
          </cell>
          <cell r="BJ68">
            <v>0</v>
          </cell>
          <cell r="BK68">
            <v>10404.94</v>
          </cell>
          <cell r="BL68">
            <v>10404.94</v>
          </cell>
          <cell r="BM68">
            <v>3655.12</v>
          </cell>
          <cell r="BN68">
            <v>2077.54</v>
          </cell>
          <cell r="BO68">
            <v>249</v>
          </cell>
          <cell r="BP68">
            <v>-252.32</v>
          </cell>
          <cell r="BQ68">
            <v>-887.01</v>
          </cell>
          <cell r="BR68">
            <v>0</v>
          </cell>
          <cell r="BS68">
            <v>1000</v>
          </cell>
          <cell r="BT68">
            <v>599.51</v>
          </cell>
          <cell r="BU68">
            <v>1350</v>
          </cell>
          <cell r="BV68">
            <v>16</v>
          </cell>
          <cell r="BW68">
            <v>-195.8</v>
          </cell>
          <cell r="BX68">
            <v>1000</v>
          </cell>
          <cell r="BY68">
            <v>7700</v>
          </cell>
          <cell r="BZ68">
            <v>-53</v>
          </cell>
          <cell r="CA68">
            <v>159.94</v>
          </cell>
          <cell r="CB68">
            <v>-153.44</v>
          </cell>
          <cell r="CC68">
            <v>198318.29</v>
          </cell>
          <cell r="CD68">
            <v>-156</v>
          </cell>
          <cell r="CE68">
            <v>52.62</v>
          </cell>
          <cell r="CF68">
            <v>214480.45</v>
          </cell>
          <cell r="CG68">
            <v>-790.23</v>
          </cell>
          <cell r="CH68">
            <v>3672.56</v>
          </cell>
          <cell r="CI68">
            <v>22174.11</v>
          </cell>
          <cell r="CJ68">
            <v>28712.01</v>
          </cell>
          <cell r="CK68">
            <v>346.21</v>
          </cell>
          <cell r="CL68">
            <v>20596.25</v>
          </cell>
          <cell r="CM68">
            <v>20888.68</v>
          </cell>
          <cell r="CN68">
            <v>4537.1499999999996</v>
          </cell>
          <cell r="CO68">
            <v>28612.55</v>
          </cell>
          <cell r="CP68">
            <v>20319.759999999998</v>
          </cell>
          <cell r="CQ68">
            <v>67506.83</v>
          </cell>
          <cell r="CR68">
            <v>385</v>
          </cell>
          <cell r="CS68">
            <v>27955.17</v>
          </cell>
          <cell r="CT68">
            <v>342.27</v>
          </cell>
          <cell r="CU68">
            <v>21382.46</v>
          </cell>
          <cell r="CV68">
            <v>34880.54</v>
          </cell>
          <cell r="CW68">
            <v>24407.38</v>
          </cell>
          <cell r="CX68">
            <v>25438.44</v>
          </cell>
          <cell r="CY68">
            <v>21660.799999999999</v>
          </cell>
          <cell r="CZ68">
            <v>542.09</v>
          </cell>
          <cell r="DA68">
            <v>28662.1</v>
          </cell>
          <cell r="DB68">
            <v>231</v>
          </cell>
          <cell r="DC68">
            <v>26579.87</v>
          </cell>
          <cell r="DD68">
            <v>390395.94</v>
          </cell>
          <cell r="DE68">
            <v>92661.13</v>
          </cell>
          <cell r="DF68">
            <v>21836.14</v>
          </cell>
          <cell r="DG68">
            <v>22784.51</v>
          </cell>
          <cell r="DH68">
            <v>25554.43</v>
          </cell>
          <cell r="DI68">
            <v>21148.799999999999</v>
          </cell>
          <cell r="DJ68">
            <v>24196.13</v>
          </cell>
          <cell r="DK68">
            <v>38836.019999999997</v>
          </cell>
          <cell r="DL68">
            <v>2056.3200000000002</v>
          </cell>
          <cell r="DM68">
            <v>27707.62</v>
          </cell>
          <cell r="DN68">
            <v>0</v>
          </cell>
          <cell r="DO68">
            <v>16186.81</v>
          </cell>
          <cell r="DP68">
            <v>14289.91</v>
          </cell>
          <cell r="DQ68">
            <v>21161.040000000001</v>
          </cell>
          <cell r="DR68">
            <v>12272.89</v>
          </cell>
          <cell r="DS68">
            <v>13070.93</v>
          </cell>
          <cell r="DT68">
            <v>34472.53</v>
          </cell>
          <cell r="DU68">
            <v>5715.99</v>
          </cell>
          <cell r="DV68">
            <v>117170.1</v>
          </cell>
          <cell r="DW68">
            <v>0</v>
          </cell>
          <cell r="DX68">
            <v>52023.94</v>
          </cell>
          <cell r="DY68">
            <v>24922.34</v>
          </cell>
          <cell r="DZ68">
            <v>23212.34</v>
          </cell>
          <cell r="EA68">
            <v>31422.41</v>
          </cell>
          <cell r="EB68">
            <v>24979.96</v>
          </cell>
          <cell r="EC68">
            <v>25415.1</v>
          </cell>
          <cell r="ED68">
            <v>181976.09</v>
          </cell>
          <cell r="EE68">
            <v>0</v>
          </cell>
          <cell r="EF68">
            <v>387.66</v>
          </cell>
          <cell r="EG68">
            <v>387.66</v>
          </cell>
          <cell r="EH68">
            <v>1395753.89</v>
          </cell>
          <cell r="EI68">
            <v>0</v>
          </cell>
          <cell r="EJ68">
            <v>89863</v>
          </cell>
          <cell r="EK68">
            <v>98240</v>
          </cell>
          <cell r="EL68">
            <v>191429.92</v>
          </cell>
          <cell r="EM68">
            <v>231082.66</v>
          </cell>
          <cell r="EN68">
            <v>221484.26</v>
          </cell>
          <cell r="EO68">
            <v>198219</v>
          </cell>
          <cell r="EP68">
            <v>1976.2</v>
          </cell>
          <cell r="EQ68">
            <v>107383</v>
          </cell>
          <cell r="ER68">
            <v>148656.10999999999</v>
          </cell>
          <cell r="ES68">
            <v>85822</v>
          </cell>
          <cell r="ET68">
            <v>46346</v>
          </cell>
          <cell r="EU68">
            <v>53480.85</v>
          </cell>
          <cell r="EV68">
            <v>112283.19</v>
          </cell>
          <cell r="EW68">
            <v>8250</v>
          </cell>
          <cell r="EX68">
            <v>57034.47</v>
          </cell>
          <cell r="EY68">
            <v>211443</v>
          </cell>
          <cell r="EZ68">
            <v>66830</v>
          </cell>
          <cell r="FA68">
            <v>323500.77</v>
          </cell>
          <cell r="FB68">
            <v>73400</v>
          </cell>
          <cell r="FC68">
            <v>168632.1</v>
          </cell>
          <cell r="FD68">
            <v>93360.07</v>
          </cell>
          <cell r="FE68">
            <v>64667.06</v>
          </cell>
          <cell r="FF68">
            <v>101474.99</v>
          </cell>
          <cell r="FG68">
            <v>89041</v>
          </cell>
          <cell r="FH68">
            <v>94310.68</v>
          </cell>
          <cell r="FI68">
            <v>2938210.33</v>
          </cell>
          <cell r="FJ68">
            <v>40128.22</v>
          </cell>
          <cell r="FK68">
            <v>14697681.77</v>
          </cell>
        </row>
        <row r="69">
          <cell r="A69" t="str">
            <v>Gross Profit</v>
          </cell>
          <cell r="B69">
            <v>250</v>
          </cell>
          <cell r="C69">
            <v>-2000</v>
          </cell>
          <cell r="D69">
            <v>-395</v>
          </cell>
          <cell r="E69">
            <v>0</v>
          </cell>
          <cell r="F69">
            <v>405.02</v>
          </cell>
          <cell r="G69">
            <v>865</v>
          </cell>
          <cell r="H69">
            <v>865</v>
          </cell>
          <cell r="I69">
            <v>21611</v>
          </cell>
          <cell r="J69">
            <v>11721</v>
          </cell>
          <cell r="K69">
            <v>11721</v>
          </cell>
          <cell r="L69">
            <v>-1962</v>
          </cell>
          <cell r="M69">
            <v>-125</v>
          </cell>
          <cell r="N69">
            <v>-550</v>
          </cell>
          <cell r="O69">
            <v>0</v>
          </cell>
          <cell r="P69">
            <v>-315</v>
          </cell>
          <cell r="Q69">
            <v>4454</v>
          </cell>
          <cell r="R69">
            <v>0</v>
          </cell>
          <cell r="S69">
            <v>-23407.22</v>
          </cell>
          <cell r="T69">
            <v>35593.620000000003</v>
          </cell>
          <cell r="U69">
            <v>25050.5</v>
          </cell>
          <cell r="V69">
            <v>28638.03</v>
          </cell>
          <cell r="W69">
            <v>47789.75</v>
          </cell>
          <cell r="X69">
            <v>26643.83</v>
          </cell>
          <cell r="Y69">
            <v>19498.490000000002</v>
          </cell>
          <cell r="Z69">
            <v>23203.17</v>
          </cell>
          <cell r="AA69">
            <v>59899.86</v>
          </cell>
          <cell r="AB69">
            <v>103015.03999999999</v>
          </cell>
          <cell r="AC69">
            <v>24406.46</v>
          </cell>
          <cell r="AD69">
            <v>12952.14</v>
          </cell>
          <cell r="AE69">
            <v>43123.43</v>
          </cell>
          <cell r="AF69">
            <v>51082.07</v>
          </cell>
          <cell r="AG69">
            <v>40232.620000000003</v>
          </cell>
          <cell r="AH69">
            <v>-15093.56</v>
          </cell>
          <cell r="AI69">
            <v>-63002.79</v>
          </cell>
          <cell r="AJ69">
            <v>23076.53</v>
          </cell>
          <cell r="AK69">
            <v>47080.31</v>
          </cell>
          <cell r="AL69">
            <v>0</v>
          </cell>
          <cell r="AM69">
            <v>40161.06</v>
          </cell>
          <cell r="AN69">
            <v>0</v>
          </cell>
          <cell r="AO69">
            <v>78885.59</v>
          </cell>
          <cell r="AP69">
            <v>17601.66</v>
          </cell>
          <cell r="AQ69">
            <v>-2000</v>
          </cell>
          <cell r="AR69">
            <v>33774.370000000003</v>
          </cell>
          <cell r="AS69">
            <v>23411.32</v>
          </cell>
          <cell r="AT69">
            <v>24380.83</v>
          </cell>
          <cell r="AU69">
            <v>88931.59</v>
          </cell>
          <cell r="AV69">
            <v>18421.28</v>
          </cell>
          <cell r="AW69">
            <v>38579.410000000003</v>
          </cell>
          <cell r="AX69">
            <v>74969.08</v>
          </cell>
          <cell r="AY69">
            <v>-10351.34</v>
          </cell>
          <cell r="AZ69">
            <v>19950.07</v>
          </cell>
          <cell r="BA69">
            <v>48157.52</v>
          </cell>
          <cell r="BB69">
            <v>10145.34</v>
          </cell>
          <cell r="BC69">
            <v>0</v>
          </cell>
          <cell r="BD69">
            <v>269.68</v>
          </cell>
          <cell r="BE69">
            <v>1015069.74</v>
          </cell>
          <cell r="BF69">
            <v>-53561.13</v>
          </cell>
          <cell r="BG69">
            <v>0</v>
          </cell>
          <cell r="BH69">
            <v>-885</v>
          </cell>
          <cell r="BI69">
            <v>-885</v>
          </cell>
          <cell r="BJ69">
            <v>0</v>
          </cell>
          <cell r="BK69">
            <v>13673.36</v>
          </cell>
          <cell r="BL69">
            <v>13673.36</v>
          </cell>
          <cell r="BM69">
            <v>55.18</v>
          </cell>
          <cell r="BN69">
            <v>-2077.54</v>
          </cell>
          <cell r="BO69">
            <v>3321</v>
          </cell>
          <cell r="BP69">
            <v>252.32</v>
          </cell>
          <cell r="BQ69">
            <v>887.01</v>
          </cell>
          <cell r="BR69">
            <v>0</v>
          </cell>
          <cell r="BS69">
            <v>4000</v>
          </cell>
          <cell r="BT69">
            <v>-599.51</v>
          </cell>
          <cell r="BU69">
            <v>1350</v>
          </cell>
          <cell r="BV69">
            <v>497.48</v>
          </cell>
          <cell r="BW69">
            <v>195.8</v>
          </cell>
          <cell r="BX69">
            <v>-1000</v>
          </cell>
          <cell r="BY69">
            <v>-7700</v>
          </cell>
          <cell r="BZ69">
            <v>53</v>
          </cell>
          <cell r="CA69">
            <v>-159.94</v>
          </cell>
          <cell r="CB69">
            <v>153.44</v>
          </cell>
          <cell r="CC69">
            <v>98194.25</v>
          </cell>
          <cell r="CD69">
            <v>156</v>
          </cell>
          <cell r="CE69">
            <v>-52.62</v>
          </cell>
          <cell r="CF69">
            <v>97525.87</v>
          </cell>
          <cell r="CG69">
            <v>2145.4</v>
          </cell>
          <cell r="CH69">
            <v>727.44</v>
          </cell>
          <cell r="CI69">
            <v>18893.89</v>
          </cell>
          <cell r="CJ69">
            <v>3087.99</v>
          </cell>
          <cell r="CK69">
            <v>-346.21</v>
          </cell>
          <cell r="CL69">
            <v>24660.75</v>
          </cell>
          <cell r="CM69">
            <v>17921.32</v>
          </cell>
          <cell r="CN69">
            <v>-4147.1499999999996</v>
          </cell>
          <cell r="CO69">
            <v>4827.45</v>
          </cell>
          <cell r="CP69">
            <v>-229.76</v>
          </cell>
          <cell r="CQ69">
            <v>-35460.57</v>
          </cell>
          <cell r="CR69">
            <v>-385</v>
          </cell>
          <cell r="CS69">
            <v>24669.83</v>
          </cell>
          <cell r="CT69">
            <v>-342.27</v>
          </cell>
          <cell r="CU69">
            <v>-5816.46</v>
          </cell>
          <cell r="CV69">
            <v>1919.46</v>
          </cell>
          <cell r="CW69">
            <v>13009.6</v>
          </cell>
          <cell r="CX69">
            <v>19996.939999999999</v>
          </cell>
          <cell r="CY69">
            <v>839.2</v>
          </cell>
          <cell r="CZ69">
            <v>-542.09</v>
          </cell>
          <cell r="DA69">
            <v>528.73</v>
          </cell>
          <cell r="DB69">
            <v>6916.5</v>
          </cell>
          <cell r="DC69">
            <v>12870.75</v>
          </cell>
          <cell r="DD69">
            <v>63999.51</v>
          </cell>
          <cell r="DE69">
            <v>48905.87</v>
          </cell>
          <cell r="DF69">
            <v>9907.82</v>
          </cell>
          <cell r="DG69">
            <v>23190.41</v>
          </cell>
          <cell r="DH69">
            <v>1510.57</v>
          </cell>
          <cell r="DI69">
            <v>21826.7</v>
          </cell>
          <cell r="DJ69">
            <v>-4321.13</v>
          </cell>
          <cell r="DK69">
            <v>24929.98</v>
          </cell>
          <cell r="DL69">
            <v>793.68</v>
          </cell>
          <cell r="DM69">
            <v>3542.38</v>
          </cell>
          <cell r="DN69">
            <v>0</v>
          </cell>
          <cell r="DO69">
            <v>-14386.81</v>
          </cell>
          <cell r="DP69">
            <v>267.52999999999997</v>
          </cell>
          <cell r="DQ69">
            <v>-8718.58</v>
          </cell>
          <cell r="DR69">
            <v>688.71</v>
          </cell>
          <cell r="DS69">
            <v>-5714.18</v>
          </cell>
          <cell r="DT69">
            <v>8434.2199999999993</v>
          </cell>
          <cell r="DU69">
            <v>-2509.94</v>
          </cell>
          <cell r="DV69">
            <v>-21939.05</v>
          </cell>
          <cell r="DW69">
            <v>0</v>
          </cell>
          <cell r="DX69">
            <v>15793.58</v>
          </cell>
          <cell r="DY69">
            <v>-8636.84</v>
          </cell>
          <cell r="DZ69">
            <v>-14246.34</v>
          </cell>
          <cell r="EA69">
            <v>18824.990000000002</v>
          </cell>
          <cell r="EB69">
            <v>-8779.9599999999991</v>
          </cell>
          <cell r="EC69">
            <v>13442.16</v>
          </cell>
          <cell r="ED69">
            <v>16397.59</v>
          </cell>
          <cell r="EE69">
            <v>0</v>
          </cell>
          <cell r="EF69">
            <v>-387.66</v>
          </cell>
          <cell r="EG69">
            <v>-387.66</v>
          </cell>
          <cell r="EH69">
            <v>294102.40999999997</v>
          </cell>
          <cell r="EI69">
            <v>0</v>
          </cell>
          <cell r="EJ69">
            <v>30137</v>
          </cell>
          <cell r="EK69">
            <v>26760</v>
          </cell>
          <cell r="EL69">
            <v>18570.080000000002</v>
          </cell>
          <cell r="EM69">
            <v>20263.009999999998</v>
          </cell>
          <cell r="EN69">
            <v>21515.74</v>
          </cell>
          <cell r="EO69">
            <v>31781</v>
          </cell>
          <cell r="EP69">
            <v>15472.77</v>
          </cell>
          <cell r="EQ69">
            <v>32617</v>
          </cell>
          <cell r="ER69">
            <v>18843.89</v>
          </cell>
          <cell r="ES69">
            <v>42678</v>
          </cell>
          <cell r="ET69">
            <v>16154</v>
          </cell>
          <cell r="EU69">
            <v>6519.15</v>
          </cell>
          <cell r="EV69">
            <v>27716.81</v>
          </cell>
          <cell r="EW69">
            <v>23437.24</v>
          </cell>
          <cell r="EX69">
            <v>22465.53</v>
          </cell>
          <cell r="EY69">
            <v>23557</v>
          </cell>
          <cell r="EZ69">
            <v>23170</v>
          </cell>
          <cell r="FA69">
            <v>31499.23</v>
          </cell>
          <cell r="FB69">
            <v>26600</v>
          </cell>
          <cell r="FC69">
            <v>51367.9</v>
          </cell>
          <cell r="FD69">
            <v>23639.93</v>
          </cell>
          <cell r="FE69">
            <v>14332.94</v>
          </cell>
          <cell r="FF69">
            <v>10525.01</v>
          </cell>
          <cell r="FG69">
            <v>-3165.81</v>
          </cell>
          <cell r="FH69">
            <v>25689.32</v>
          </cell>
          <cell r="FI69">
            <v>582146.74</v>
          </cell>
          <cell r="FJ69">
            <v>-34727.22</v>
          </cell>
          <cell r="FK69">
            <v>1959889.79</v>
          </cell>
        </row>
        <row r="70">
          <cell r="A70" t="str">
            <v>Expenses</v>
          </cell>
          <cell r="B70"/>
          <cell r="C70"/>
          <cell r="D70"/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O70"/>
          <cell r="P70"/>
          <cell r="Q70"/>
          <cell r="R70"/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  <cell r="CE70"/>
          <cell r="CF70"/>
          <cell r="CG70"/>
          <cell r="CH70"/>
          <cell r="CI70"/>
          <cell r="CJ70"/>
          <cell r="CK70"/>
          <cell r="CL70"/>
          <cell r="CM70"/>
          <cell r="CN70"/>
          <cell r="CO70"/>
          <cell r="CP70"/>
          <cell r="CQ70"/>
          <cell r="CR70"/>
          <cell r="CS70"/>
          <cell r="CT70"/>
          <cell r="CU70"/>
          <cell r="CV70"/>
          <cell r="CW70"/>
          <cell r="CX70"/>
          <cell r="CY70"/>
          <cell r="CZ70"/>
          <cell r="DA70"/>
          <cell r="DB70"/>
          <cell r="DC70"/>
          <cell r="DD70"/>
          <cell r="DE70"/>
          <cell r="DF70"/>
          <cell r="DG70"/>
          <cell r="DH70"/>
          <cell r="DI70"/>
          <cell r="DJ70"/>
          <cell r="DK70"/>
          <cell r="DL70"/>
          <cell r="DM70"/>
          <cell r="DN70"/>
          <cell r="DO70"/>
          <cell r="DP70"/>
          <cell r="DQ70"/>
          <cell r="DR70"/>
          <cell r="DS70"/>
          <cell r="DT70"/>
          <cell r="DU70"/>
          <cell r="DV70"/>
          <cell r="DW70"/>
          <cell r="DX70"/>
          <cell r="DY70"/>
          <cell r="DZ70"/>
          <cell r="EA70"/>
          <cell r="EB70"/>
          <cell r="EC70"/>
          <cell r="ED70"/>
          <cell r="EE70"/>
          <cell r="EF70"/>
          <cell r="EG70"/>
          <cell r="EH70"/>
          <cell r="EI70"/>
          <cell r="EJ70"/>
          <cell r="EK70"/>
          <cell r="EL70"/>
          <cell r="EM70"/>
          <cell r="EN70"/>
          <cell r="EO70"/>
          <cell r="EP70"/>
          <cell r="EQ70"/>
          <cell r="ER70"/>
          <cell r="ES70"/>
          <cell r="ET70"/>
          <cell r="EU70"/>
          <cell r="EV70"/>
          <cell r="EW70"/>
          <cell r="EX70"/>
          <cell r="EY70"/>
          <cell r="EZ70"/>
          <cell r="FA70"/>
          <cell r="FB70"/>
          <cell r="FC70"/>
          <cell r="FD70"/>
          <cell r="FE70"/>
          <cell r="FF70"/>
          <cell r="FG70"/>
          <cell r="FH70"/>
          <cell r="FI70"/>
          <cell r="FJ70"/>
          <cell r="FK70"/>
        </row>
        <row r="71">
          <cell r="A71" t="str">
            <v>Advertising</v>
          </cell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  <cell r="Q71"/>
          <cell r="R71"/>
          <cell r="S71"/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>
            <v>0</v>
          </cell>
          <cell r="BF71">
            <v>4140.3</v>
          </cell>
          <cell r="BG71"/>
          <cell r="BH71"/>
          <cell r="BI71">
            <v>0</v>
          </cell>
          <cell r="BJ71"/>
          <cell r="BK71"/>
          <cell r="BL71">
            <v>0</v>
          </cell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  <cell r="CE71"/>
          <cell r="CF71">
            <v>0</v>
          </cell>
          <cell r="CG71"/>
          <cell r="CH71"/>
          <cell r="CI71"/>
          <cell r="CJ71"/>
          <cell r="CK71"/>
          <cell r="CL71"/>
          <cell r="CM71"/>
          <cell r="CN71"/>
          <cell r="CO71"/>
          <cell r="CP71"/>
          <cell r="CQ71"/>
          <cell r="CR71"/>
          <cell r="CS71"/>
          <cell r="CT71"/>
          <cell r="CU71"/>
          <cell r="CV71"/>
          <cell r="CW71"/>
          <cell r="CX71"/>
          <cell r="CY71"/>
          <cell r="CZ71"/>
          <cell r="DA71"/>
          <cell r="DB71"/>
          <cell r="DC71"/>
          <cell r="DD71"/>
          <cell r="DE71"/>
          <cell r="DF71"/>
          <cell r="DG71"/>
          <cell r="DH71"/>
          <cell r="DI71"/>
          <cell r="DJ71"/>
          <cell r="DK71"/>
          <cell r="DL71"/>
          <cell r="DM71"/>
          <cell r="DN71"/>
          <cell r="DO71"/>
          <cell r="DP71"/>
          <cell r="DQ71"/>
          <cell r="DR71"/>
          <cell r="DS71"/>
          <cell r="DT71"/>
          <cell r="DU71"/>
          <cell r="DV71">
            <v>0</v>
          </cell>
          <cell r="DW71"/>
          <cell r="DX71"/>
          <cell r="DY71"/>
          <cell r="DZ71"/>
          <cell r="EA71"/>
          <cell r="EB71"/>
          <cell r="EC71"/>
          <cell r="ED71">
            <v>0</v>
          </cell>
          <cell r="EE71"/>
          <cell r="EF71"/>
          <cell r="EG71">
            <v>0</v>
          </cell>
          <cell r="EH71">
            <v>0</v>
          </cell>
          <cell r="EI71"/>
          <cell r="EJ71"/>
          <cell r="EK71"/>
          <cell r="EL71"/>
          <cell r="EM71"/>
          <cell r="EN71"/>
          <cell r="EO71"/>
          <cell r="EP71"/>
          <cell r="EQ71"/>
          <cell r="ER71"/>
          <cell r="ES71"/>
          <cell r="ET71"/>
          <cell r="EU71"/>
          <cell r="EV71"/>
          <cell r="EW71"/>
          <cell r="EX71"/>
          <cell r="EY71"/>
          <cell r="EZ71"/>
          <cell r="FA71"/>
          <cell r="FB71"/>
          <cell r="FC71"/>
          <cell r="FD71"/>
          <cell r="FE71"/>
          <cell r="FF71"/>
          <cell r="FG71"/>
          <cell r="FH71"/>
          <cell r="FI71">
            <v>0</v>
          </cell>
          <cell r="FJ71"/>
          <cell r="FK71">
            <v>4140.3</v>
          </cell>
        </row>
        <row r="72">
          <cell r="A72" t="str">
            <v>Bad Debt</v>
          </cell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>
            <v>0</v>
          </cell>
          <cell r="BF72"/>
          <cell r="BG72"/>
          <cell r="BH72"/>
          <cell r="BI72">
            <v>0</v>
          </cell>
          <cell r="BJ72"/>
          <cell r="BK72"/>
          <cell r="BL72">
            <v>0</v>
          </cell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  <cell r="CE72"/>
          <cell r="CF72">
            <v>0</v>
          </cell>
          <cell r="CG72"/>
          <cell r="CH72"/>
          <cell r="CI72"/>
          <cell r="CJ72"/>
          <cell r="CK72"/>
          <cell r="CL72"/>
          <cell r="CM72"/>
          <cell r="CN72"/>
          <cell r="CO72"/>
          <cell r="CP72"/>
          <cell r="CQ72"/>
          <cell r="CR72"/>
          <cell r="CS72"/>
          <cell r="CT72"/>
          <cell r="CU72"/>
          <cell r="CV72"/>
          <cell r="CW72"/>
          <cell r="CX72"/>
          <cell r="CY72"/>
          <cell r="CZ72"/>
          <cell r="DA72"/>
          <cell r="DB72"/>
          <cell r="DC72"/>
          <cell r="DD72">
            <v>5800</v>
          </cell>
          <cell r="DE72"/>
          <cell r="DF72"/>
          <cell r="DG72"/>
          <cell r="DH72"/>
          <cell r="DI72"/>
          <cell r="DJ72"/>
          <cell r="DK72"/>
          <cell r="DL72"/>
          <cell r="DM72"/>
          <cell r="DN72"/>
          <cell r="DO72"/>
          <cell r="DP72"/>
          <cell r="DQ72"/>
          <cell r="DR72"/>
          <cell r="DS72"/>
          <cell r="DT72"/>
          <cell r="DU72"/>
          <cell r="DV72">
            <v>0</v>
          </cell>
          <cell r="DW72"/>
          <cell r="DX72"/>
          <cell r="DY72"/>
          <cell r="DZ72"/>
          <cell r="EA72"/>
          <cell r="EB72"/>
          <cell r="EC72"/>
          <cell r="ED72">
            <v>0</v>
          </cell>
          <cell r="EE72"/>
          <cell r="EF72"/>
          <cell r="EG72">
            <v>0</v>
          </cell>
          <cell r="EH72">
            <v>5800</v>
          </cell>
          <cell r="EI72"/>
          <cell r="EJ72"/>
          <cell r="EK72"/>
          <cell r="EL72"/>
          <cell r="EM72"/>
          <cell r="EN72"/>
          <cell r="EO72"/>
          <cell r="EP72"/>
          <cell r="EQ72"/>
          <cell r="ER72"/>
          <cell r="ES72"/>
          <cell r="ET72"/>
          <cell r="EU72"/>
          <cell r="EV72"/>
          <cell r="EW72"/>
          <cell r="EX72"/>
          <cell r="EY72"/>
          <cell r="EZ72"/>
          <cell r="FA72"/>
          <cell r="FB72"/>
          <cell r="FC72"/>
          <cell r="FD72"/>
          <cell r="FE72"/>
          <cell r="FF72"/>
          <cell r="FG72"/>
          <cell r="FH72"/>
          <cell r="FI72">
            <v>0</v>
          </cell>
          <cell r="FJ72"/>
          <cell r="FK72">
            <v>5800</v>
          </cell>
        </row>
        <row r="73">
          <cell r="A73" t="str">
            <v>Dead Deal Expense</v>
          </cell>
          <cell r="B73"/>
          <cell r="C73"/>
          <cell r="D73"/>
          <cell r="E73"/>
          <cell r="F73"/>
          <cell r="G73"/>
          <cell r="H73"/>
          <cell r="I73"/>
          <cell r="J73"/>
          <cell r="K73"/>
          <cell r="L73"/>
          <cell r="M73"/>
          <cell r="N73"/>
          <cell r="O73"/>
          <cell r="P73"/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>
            <v>0</v>
          </cell>
          <cell r="BF73"/>
          <cell r="BG73"/>
          <cell r="BH73"/>
          <cell r="BI73">
            <v>0</v>
          </cell>
          <cell r="BJ73"/>
          <cell r="BK73"/>
          <cell r="BL73">
            <v>0</v>
          </cell>
          <cell r="BM73"/>
          <cell r="BN73"/>
          <cell r="BO73">
            <v>3570</v>
          </cell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  <cell r="CE73"/>
          <cell r="CF73">
            <v>3570</v>
          </cell>
          <cell r="CG73"/>
          <cell r="CH73"/>
          <cell r="CI73"/>
          <cell r="CJ73"/>
          <cell r="CK73"/>
          <cell r="CL73"/>
          <cell r="CM73"/>
          <cell r="CN73"/>
          <cell r="CO73"/>
          <cell r="CP73"/>
          <cell r="CQ73"/>
          <cell r="CR73"/>
          <cell r="CS73"/>
          <cell r="CT73"/>
          <cell r="CU73"/>
          <cell r="CV73"/>
          <cell r="CW73"/>
          <cell r="CX73"/>
          <cell r="CY73"/>
          <cell r="CZ73"/>
          <cell r="DA73"/>
          <cell r="DB73"/>
          <cell r="DC73"/>
          <cell r="DD73"/>
          <cell r="DE73"/>
          <cell r="DF73"/>
          <cell r="DG73"/>
          <cell r="DH73"/>
          <cell r="DI73"/>
          <cell r="DJ73"/>
          <cell r="DK73"/>
          <cell r="DL73"/>
          <cell r="DM73"/>
          <cell r="DN73"/>
          <cell r="DO73"/>
          <cell r="DP73"/>
          <cell r="DQ73"/>
          <cell r="DR73"/>
          <cell r="DS73"/>
          <cell r="DT73"/>
          <cell r="DU73"/>
          <cell r="DV73">
            <v>0</v>
          </cell>
          <cell r="DW73"/>
          <cell r="DX73"/>
          <cell r="DY73"/>
          <cell r="DZ73"/>
          <cell r="EA73"/>
          <cell r="EB73"/>
          <cell r="EC73"/>
          <cell r="ED73">
            <v>0</v>
          </cell>
          <cell r="EE73"/>
          <cell r="EF73"/>
          <cell r="EG73">
            <v>0</v>
          </cell>
          <cell r="EH73">
            <v>0</v>
          </cell>
          <cell r="EI73"/>
          <cell r="EJ73"/>
          <cell r="EK73"/>
          <cell r="EL73"/>
          <cell r="EM73"/>
          <cell r="EN73"/>
          <cell r="EO73"/>
          <cell r="EP73"/>
          <cell r="EQ73"/>
          <cell r="ER73"/>
          <cell r="ES73"/>
          <cell r="ET73"/>
          <cell r="EU73"/>
          <cell r="EV73"/>
          <cell r="EW73"/>
          <cell r="EX73"/>
          <cell r="EY73"/>
          <cell r="EZ73"/>
          <cell r="FA73"/>
          <cell r="FB73"/>
          <cell r="FC73"/>
          <cell r="FD73"/>
          <cell r="FE73"/>
          <cell r="FF73"/>
          <cell r="FG73"/>
          <cell r="FH73"/>
          <cell r="FI73">
            <v>0</v>
          </cell>
          <cell r="FJ73"/>
          <cell r="FK73">
            <v>3570</v>
          </cell>
        </row>
        <row r="74">
          <cell r="A74" t="str">
            <v>Legal Settlement</v>
          </cell>
          <cell r="B74"/>
          <cell r="C74"/>
          <cell r="D74"/>
          <cell r="E74"/>
          <cell r="F74"/>
          <cell r="G74"/>
          <cell r="H74"/>
          <cell r="I74"/>
          <cell r="J74"/>
          <cell r="K74"/>
          <cell r="L74"/>
          <cell r="M74"/>
          <cell r="N74"/>
          <cell r="O74"/>
          <cell r="P74"/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>
            <v>0</v>
          </cell>
          <cell r="BF74">
            <v>14000</v>
          </cell>
          <cell r="BG74"/>
          <cell r="BH74"/>
          <cell r="BI74">
            <v>0</v>
          </cell>
          <cell r="BJ74"/>
          <cell r="BK74"/>
          <cell r="BL74">
            <v>0</v>
          </cell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  <cell r="CE74"/>
          <cell r="CF74">
            <v>0</v>
          </cell>
          <cell r="CG74"/>
          <cell r="CH74"/>
          <cell r="CI74"/>
          <cell r="CJ74"/>
          <cell r="CK74"/>
          <cell r="CL74"/>
          <cell r="CM74"/>
          <cell r="CN74"/>
          <cell r="CO74"/>
          <cell r="CP74"/>
          <cell r="CQ74"/>
          <cell r="CR74"/>
          <cell r="CS74"/>
          <cell r="CT74"/>
          <cell r="CU74"/>
          <cell r="CV74"/>
          <cell r="CW74"/>
          <cell r="CX74"/>
          <cell r="CY74"/>
          <cell r="CZ74"/>
          <cell r="DA74"/>
          <cell r="DB74"/>
          <cell r="DC74"/>
          <cell r="DD74"/>
          <cell r="DE74"/>
          <cell r="DF74"/>
          <cell r="DG74"/>
          <cell r="DH74"/>
          <cell r="DI74"/>
          <cell r="DJ74"/>
          <cell r="DK74"/>
          <cell r="DL74"/>
          <cell r="DM74"/>
          <cell r="DN74"/>
          <cell r="DO74"/>
          <cell r="DP74"/>
          <cell r="DQ74"/>
          <cell r="DR74"/>
          <cell r="DS74"/>
          <cell r="DT74"/>
          <cell r="DU74"/>
          <cell r="DV74">
            <v>0</v>
          </cell>
          <cell r="DW74"/>
          <cell r="DX74"/>
          <cell r="DY74"/>
          <cell r="DZ74"/>
          <cell r="EA74"/>
          <cell r="EB74"/>
          <cell r="EC74"/>
          <cell r="ED74">
            <v>0</v>
          </cell>
          <cell r="EE74"/>
          <cell r="EF74"/>
          <cell r="EG74">
            <v>0</v>
          </cell>
          <cell r="EH74">
            <v>0</v>
          </cell>
          <cell r="EI74"/>
          <cell r="EJ74"/>
          <cell r="EK74"/>
          <cell r="EL74"/>
          <cell r="EM74"/>
          <cell r="EN74"/>
          <cell r="EO74"/>
          <cell r="EP74"/>
          <cell r="EQ74"/>
          <cell r="ER74"/>
          <cell r="ES74"/>
          <cell r="ET74"/>
          <cell r="EU74"/>
          <cell r="EV74"/>
          <cell r="EW74"/>
          <cell r="EX74"/>
          <cell r="EY74"/>
          <cell r="EZ74"/>
          <cell r="FA74"/>
          <cell r="FB74"/>
          <cell r="FC74"/>
          <cell r="FD74"/>
          <cell r="FE74"/>
          <cell r="FF74"/>
          <cell r="FG74"/>
          <cell r="FH74"/>
          <cell r="FI74">
            <v>0</v>
          </cell>
          <cell r="FJ74"/>
          <cell r="FK74">
            <v>14000</v>
          </cell>
        </row>
        <row r="75">
          <cell r="A75" t="str">
            <v>Marketing</v>
          </cell>
          <cell r="B75"/>
          <cell r="C75"/>
          <cell r="D75"/>
          <cell r="E75"/>
          <cell r="F75"/>
          <cell r="G75"/>
          <cell r="H75"/>
          <cell r="I75"/>
          <cell r="J75"/>
          <cell r="K75"/>
          <cell r="L75"/>
          <cell r="M75"/>
          <cell r="N75"/>
          <cell r="O75"/>
          <cell r="P75"/>
          <cell r="Q75"/>
          <cell r="R75"/>
          <cell r="S75"/>
          <cell r="T75"/>
          <cell r="U75"/>
          <cell r="V75"/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>
            <v>0</v>
          </cell>
          <cell r="BF75"/>
          <cell r="BG75"/>
          <cell r="BH75"/>
          <cell r="BI75">
            <v>0</v>
          </cell>
          <cell r="BJ75"/>
          <cell r="BK75"/>
          <cell r="BL75">
            <v>0</v>
          </cell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  <cell r="CE75"/>
          <cell r="CF75">
            <v>0</v>
          </cell>
          <cell r="CG75"/>
          <cell r="CH75"/>
          <cell r="CI75"/>
          <cell r="CJ75"/>
          <cell r="CK75"/>
          <cell r="CL75"/>
          <cell r="CM75"/>
          <cell r="CN75"/>
          <cell r="CO75"/>
          <cell r="CP75"/>
          <cell r="CQ75"/>
          <cell r="CR75"/>
          <cell r="CS75"/>
          <cell r="CT75"/>
          <cell r="CU75"/>
          <cell r="CV75"/>
          <cell r="CW75"/>
          <cell r="CX75"/>
          <cell r="CY75"/>
          <cell r="CZ75"/>
          <cell r="DA75"/>
          <cell r="DB75"/>
          <cell r="DC75"/>
          <cell r="DD75"/>
          <cell r="DE75"/>
          <cell r="DF75"/>
          <cell r="DG75"/>
          <cell r="DH75"/>
          <cell r="DI75"/>
          <cell r="DJ75"/>
          <cell r="DK75"/>
          <cell r="DL75"/>
          <cell r="DM75"/>
          <cell r="DN75"/>
          <cell r="DO75"/>
          <cell r="DP75"/>
          <cell r="DQ75"/>
          <cell r="DR75"/>
          <cell r="DS75"/>
          <cell r="DT75"/>
          <cell r="DU75"/>
          <cell r="DV75">
            <v>0</v>
          </cell>
          <cell r="DW75"/>
          <cell r="DX75"/>
          <cell r="DY75"/>
          <cell r="DZ75"/>
          <cell r="EA75"/>
          <cell r="EB75"/>
          <cell r="EC75"/>
          <cell r="ED75">
            <v>0</v>
          </cell>
          <cell r="EE75"/>
          <cell r="EF75"/>
          <cell r="EG75">
            <v>0</v>
          </cell>
          <cell r="EH75">
            <v>0</v>
          </cell>
          <cell r="EI75"/>
          <cell r="EJ75"/>
          <cell r="EK75"/>
          <cell r="EL75"/>
          <cell r="EM75"/>
          <cell r="EN75"/>
          <cell r="EO75"/>
          <cell r="EP75"/>
          <cell r="EQ75"/>
          <cell r="ER75"/>
          <cell r="ES75"/>
          <cell r="ET75"/>
          <cell r="EU75"/>
          <cell r="EV75"/>
          <cell r="EW75"/>
          <cell r="EX75"/>
          <cell r="EY75"/>
          <cell r="EZ75"/>
          <cell r="FA75"/>
          <cell r="FB75"/>
          <cell r="FC75"/>
          <cell r="FD75"/>
          <cell r="FE75"/>
          <cell r="FF75"/>
          <cell r="FG75"/>
          <cell r="FH75"/>
          <cell r="FI75">
            <v>0</v>
          </cell>
          <cell r="FJ75">
            <v>401.4</v>
          </cell>
          <cell r="FK75">
            <v>401.4</v>
          </cell>
        </row>
        <row r="76">
          <cell r="A76" t="str">
            <v>Bateman Collective</v>
          </cell>
          <cell r="B76"/>
          <cell r="C76"/>
          <cell r="D76"/>
          <cell r="E76"/>
          <cell r="F76"/>
          <cell r="G76"/>
          <cell r="H76"/>
          <cell r="I76"/>
          <cell r="J76"/>
          <cell r="K76"/>
          <cell r="L76"/>
          <cell r="M76"/>
          <cell r="N76"/>
          <cell r="O76"/>
          <cell r="P76"/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>
            <v>0</v>
          </cell>
          <cell r="BF76">
            <v>9911.2900000000009</v>
          </cell>
          <cell r="BG76"/>
          <cell r="BH76"/>
          <cell r="BI76">
            <v>0</v>
          </cell>
          <cell r="BJ76"/>
          <cell r="BK76"/>
          <cell r="BL76">
            <v>0</v>
          </cell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  <cell r="CE76"/>
          <cell r="CF76">
            <v>0</v>
          </cell>
          <cell r="CG76"/>
          <cell r="CH76"/>
          <cell r="CI76"/>
          <cell r="CJ76"/>
          <cell r="CK76"/>
          <cell r="CL76"/>
          <cell r="CM76"/>
          <cell r="CN76"/>
          <cell r="CO76"/>
          <cell r="CP76"/>
          <cell r="CQ76"/>
          <cell r="CR76"/>
          <cell r="CS76"/>
          <cell r="CT76"/>
          <cell r="CU76"/>
          <cell r="CV76"/>
          <cell r="CW76"/>
          <cell r="CX76"/>
          <cell r="CY76"/>
          <cell r="CZ76"/>
          <cell r="DA76"/>
          <cell r="DB76"/>
          <cell r="DC76"/>
          <cell r="DD76"/>
          <cell r="DE76"/>
          <cell r="DF76"/>
          <cell r="DG76"/>
          <cell r="DH76"/>
          <cell r="DI76"/>
          <cell r="DJ76"/>
          <cell r="DK76"/>
          <cell r="DL76"/>
          <cell r="DM76"/>
          <cell r="DN76"/>
          <cell r="DO76"/>
          <cell r="DP76"/>
          <cell r="DQ76"/>
          <cell r="DR76"/>
          <cell r="DS76"/>
          <cell r="DT76"/>
          <cell r="DU76"/>
          <cell r="DV76">
            <v>0</v>
          </cell>
          <cell r="DW76"/>
          <cell r="DX76"/>
          <cell r="DY76"/>
          <cell r="DZ76"/>
          <cell r="EA76"/>
          <cell r="EB76"/>
          <cell r="EC76"/>
          <cell r="ED76">
            <v>0</v>
          </cell>
          <cell r="EE76"/>
          <cell r="EF76"/>
          <cell r="EG76">
            <v>0</v>
          </cell>
          <cell r="EH76">
            <v>0</v>
          </cell>
          <cell r="EI76"/>
          <cell r="EJ76"/>
          <cell r="EK76"/>
          <cell r="EL76"/>
          <cell r="EM76"/>
          <cell r="EN76"/>
          <cell r="EO76"/>
          <cell r="EP76"/>
          <cell r="EQ76"/>
          <cell r="ER76"/>
          <cell r="ES76"/>
          <cell r="ET76"/>
          <cell r="EU76"/>
          <cell r="EV76"/>
          <cell r="EW76"/>
          <cell r="EX76"/>
          <cell r="EY76"/>
          <cell r="EZ76"/>
          <cell r="FA76"/>
          <cell r="FB76"/>
          <cell r="FC76"/>
          <cell r="FD76"/>
          <cell r="FE76"/>
          <cell r="FF76"/>
          <cell r="FG76"/>
          <cell r="FH76"/>
          <cell r="FI76">
            <v>0</v>
          </cell>
          <cell r="FJ76"/>
          <cell r="FK76">
            <v>9911.2900000000009</v>
          </cell>
        </row>
        <row r="77">
          <cell r="A77" t="str">
            <v>Call Rail</v>
          </cell>
          <cell r="B77"/>
          <cell r="C77"/>
          <cell r="D77"/>
          <cell r="E77"/>
          <cell r="F77"/>
          <cell r="G77"/>
          <cell r="H77"/>
          <cell r="I77"/>
          <cell r="J77"/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  <cell r="V77"/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>
            <v>0</v>
          </cell>
          <cell r="BF77">
            <v>3052.03</v>
          </cell>
          <cell r="BG77"/>
          <cell r="BH77"/>
          <cell r="BI77">
            <v>0</v>
          </cell>
          <cell r="BJ77"/>
          <cell r="BK77"/>
          <cell r="BL77">
            <v>0</v>
          </cell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  <cell r="CE77"/>
          <cell r="CF77">
            <v>0</v>
          </cell>
          <cell r="CG77"/>
          <cell r="CH77"/>
          <cell r="CI77"/>
          <cell r="CJ77"/>
          <cell r="CK77"/>
          <cell r="CL77"/>
          <cell r="CM77"/>
          <cell r="CN77"/>
          <cell r="CO77"/>
          <cell r="CP77"/>
          <cell r="CQ77"/>
          <cell r="CR77"/>
          <cell r="CS77"/>
          <cell r="CT77"/>
          <cell r="CU77"/>
          <cell r="CV77"/>
          <cell r="CW77"/>
          <cell r="CX77"/>
          <cell r="CY77"/>
          <cell r="CZ77"/>
          <cell r="DA77"/>
          <cell r="DB77"/>
          <cell r="DC77"/>
          <cell r="DD77"/>
          <cell r="DE77"/>
          <cell r="DF77"/>
          <cell r="DG77"/>
          <cell r="DH77"/>
          <cell r="DI77"/>
          <cell r="DJ77"/>
          <cell r="DK77"/>
          <cell r="DL77"/>
          <cell r="DM77"/>
          <cell r="DN77"/>
          <cell r="DO77"/>
          <cell r="DP77"/>
          <cell r="DQ77"/>
          <cell r="DR77"/>
          <cell r="DS77"/>
          <cell r="DT77"/>
          <cell r="DU77"/>
          <cell r="DV77">
            <v>0</v>
          </cell>
          <cell r="DW77"/>
          <cell r="DX77"/>
          <cell r="DY77"/>
          <cell r="DZ77"/>
          <cell r="EA77"/>
          <cell r="EB77"/>
          <cell r="EC77"/>
          <cell r="ED77">
            <v>0</v>
          </cell>
          <cell r="EE77"/>
          <cell r="EF77"/>
          <cell r="EG77">
            <v>0</v>
          </cell>
          <cell r="EH77">
            <v>0</v>
          </cell>
          <cell r="EI77"/>
          <cell r="EJ77"/>
          <cell r="EK77"/>
          <cell r="EL77"/>
          <cell r="EM77"/>
          <cell r="EN77"/>
          <cell r="EO77"/>
          <cell r="EP77"/>
          <cell r="EQ77"/>
          <cell r="ER77"/>
          <cell r="ES77"/>
          <cell r="ET77"/>
          <cell r="EU77"/>
          <cell r="EV77"/>
          <cell r="EW77"/>
          <cell r="EX77"/>
          <cell r="EY77"/>
          <cell r="EZ77"/>
          <cell r="FA77"/>
          <cell r="FB77"/>
          <cell r="FC77"/>
          <cell r="FD77"/>
          <cell r="FE77"/>
          <cell r="FF77"/>
          <cell r="FG77"/>
          <cell r="FH77"/>
          <cell r="FI77">
            <v>0</v>
          </cell>
          <cell r="FJ77"/>
          <cell r="FK77">
            <v>3052.03</v>
          </cell>
        </row>
        <row r="78">
          <cell r="A78" t="str">
            <v>Call Tools</v>
          </cell>
          <cell r="B78"/>
          <cell r="C78"/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  <cell r="V78"/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>
            <v>0</v>
          </cell>
          <cell r="BF78">
            <v>1917.43</v>
          </cell>
          <cell r="BG78"/>
          <cell r="BH78"/>
          <cell r="BI78">
            <v>0</v>
          </cell>
          <cell r="BJ78"/>
          <cell r="BK78"/>
          <cell r="BL78">
            <v>0</v>
          </cell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  <cell r="CE78"/>
          <cell r="CF78">
            <v>0</v>
          </cell>
          <cell r="CG78"/>
          <cell r="CH78"/>
          <cell r="CI78"/>
          <cell r="CJ78"/>
          <cell r="CK78"/>
          <cell r="CL78"/>
          <cell r="CM78"/>
          <cell r="CN78"/>
          <cell r="CO78"/>
          <cell r="CP78"/>
          <cell r="CQ78"/>
          <cell r="CR78"/>
          <cell r="CS78"/>
          <cell r="CT78"/>
          <cell r="CU78"/>
          <cell r="CV78"/>
          <cell r="CW78"/>
          <cell r="CX78"/>
          <cell r="CY78"/>
          <cell r="CZ78"/>
          <cell r="DA78"/>
          <cell r="DB78"/>
          <cell r="DC78"/>
          <cell r="DD78"/>
          <cell r="DE78"/>
          <cell r="DF78"/>
          <cell r="DG78"/>
          <cell r="DH78"/>
          <cell r="DI78"/>
          <cell r="DJ78"/>
          <cell r="DK78"/>
          <cell r="DL78"/>
          <cell r="DM78"/>
          <cell r="DN78"/>
          <cell r="DO78"/>
          <cell r="DP78"/>
          <cell r="DQ78"/>
          <cell r="DR78"/>
          <cell r="DS78"/>
          <cell r="DT78"/>
          <cell r="DU78"/>
          <cell r="DV78">
            <v>0</v>
          </cell>
          <cell r="DW78"/>
          <cell r="DX78"/>
          <cell r="DY78"/>
          <cell r="DZ78"/>
          <cell r="EA78"/>
          <cell r="EB78"/>
          <cell r="EC78"/>
          <cell r="ED78">
            <v>0</v>
          </cell>
          <cell r="EE78"/>
          <cell r="EF78"/>
          <cell r="EG78">
            <v>0</v>
          </cell>
          <cell r="EH78">
            <v>0</v>
          </cell>
          <cell r="EI78"/>
          <cell r="EJ78"/>
          <cell r="EK78"/>
          <cell r="EL78"/>
          <cell r="EM78"/>
          <cell r="EN78"/>
          <cell r="EO78"/>
          <cell r="EP78"/>
          <cell r="EQ78"/>
          <cell r="ER78"/>
          <cell r="ES78"/>
          <cell r="ET78"/>
          <cell r="EU78"/>
          <cell r="EV78"/>
          <cell r="EW78"/>
          <cell r="EX78"/>
          <cell r="EY78"/>
          <cell r="EZ78"/>
          <cell r="FA78"/>
          <cell r="FB78"/>
          <cell r="FC78"/>
          <cell r="FD78"/>
          <cell r="FE78"/>
          <cell r="FF78"/>
          <cell r="FG78"/>
          <cell r="FH78"/>
          <cell r="FI78">
            <v>0</v>
          </cell>
          <cell r="FJ78"/>
          <cell r="FK78">
            <v>1917.43</v>
          </cell>
        </row>
        <row r="79">
          <cell r="A79" t="str">
            <v>Carrot.com</v>
          </cell>
          <cell r="B79"/>
          <cell r="C79"/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  <cell r="O79"/>
          <cell r="P79"/>
          <cell r="Q79"/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>
            <v>0</v>
          </cell>
          <cell r="BF79">
            <v>5044.91</v>
          </cell>
          <cell r="BG79"/>
          <cell r="BH79"/>
          <cell r="BI79">
            <v>0</v>
          </cell>
          <cell r="BJ79"/>
          <cell r="BK79"/>
          <cell r="BL79">
            <v>0</v>
          </cell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  <cell r="CE79"/>
          <cell r="CF79">
            <v>0</v>
          </cell>
          <cell r="CG79"/>
          <cell r="CH79"/>
          <cell r="CI79"/>
          <cell r="CJ79"/>
          <cell r="CK79"/>
          <cell r="CL79"/>
          <cell r="CM79"/>
          <cell r="CN79"/>
          <cell r="CO79"/>
          <cell r="CP79"/>
          <cell r="CQ79"/>
          <cell r="CR79"/>
          <cell r="CS79"/>
          <cell r="CT79"/>
          <cell r="CU79"/>
          <cell r="CV79"/>
          <cell r="CW79"/>
          <cell r="CX79"/>
          <cell r="CY79"/>
          <cell r="CZ79"/>
          <cell r="DA79"/>
          <cell r="DB79"/>
          <cell r="DC79"/>
          <cell r="DD79"/>
          <cell r="DE79"/>
          <cell r="DF79"/>
          <cell r="DG79"/>
          <cell r="DH79"/>
          <cell r="DI79"/>
          <cell r="DJ79"/>
          <cell r="DK79"/>
          <cell r="DL79"/>
          <cell r="DM79"/>
          <cell r="DN79"/>
          <cell r="DO79"/>
          <cell r="DP79"/>
          <cell r="DQ79"/>
          <cell r="DR79"/>
          <cell r="DS79"/>
          <cell r="DT79"/>
          <cell r="DU79"/>
          <cell r="DV79">
            <v>0</v>
          </cell>
          <cell r="DW79"/>
          <cell r="DX79"/>
          <cell r="DY79"/>
          <cell r="DZ79"/>
          <cell r="EA79"/>
          <cell r="EB79"/>
          <cell r="EC79"/>
          <cell r="ED79">
            <v>0</v>
          </cell>
          <cell r="EE79"/>
          <cell r="EF79"/>
          <cell r="EG79">
            <v>0</v>
          </cell>
          <cell r="EH79">
            <v>0</v>
          </cell>
          <cell r="EI79"/>
          <cell r="EJ79"/>
          <cell r="EK79"/>
          <cell r="EL79"/>
          <cell r="EM79"/>
          <cell r="EN79"/>
          <cell r="EO79"/>
          <cell r="EP79"/>
          <cell r="EQ79"/>
          <cell r="ER79"/>
          <cell r="ES79"/>
          <cell r="ET79"/>
          <cell r="EU79"/>
          <cell r="EV79"/>
          <cell r="EW79"/>
          <cell r="EX79"/>
          <cell r="EY79"/>
          <cell r="EZ79"/>
          <cell r="FA79"/>
          <cell r="FB79"/>
          <cell r="FC79"/>
          <cell r="FD79"/>
          <cell r="FE79"/>
          <cell r="FF79"/>
          <cell r="FG79"/>
          <cell r="FH79"/>
          <cell r="FI79">
            <v>0</v>
          </cell>
          <cell r="FJ79"/>
          <cell r="FK79">
            <v>5044.91</v>
          </cell>
        </row>
        <row r="80">
          <cell r="A80" t="str">
            <v>Citrix Systems</v>
          </cell>
          <cell r="B80"/>
          <cell r="C80"/>
          <cell r="D80"/>
          <cell r="E80"/>
          <cell r="F80"/>
          <cell r="G80"/>
          <cell r="H80"/>
          <cell r="I80"/>
          <cell r="J80"/>
          <cell r="K80"/>
          <cell r="L80"/>
          <cell r="M80"/>
          <cell r="N80"/>
          <cell r="O80"/>
          <cell r="P80"/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>
            <v>0</v>
          </cell>
          <cell r="BF80">
            <v>3172.06</v>
          </cell>
          <cell r="BG80"/>
          <cell r="BH80"/>
          <cell r="BI80">
            <v>0</v>
          </cell>
          <cell r="BJ80"/>
          <cell r="BK80"/>
          <cell r="BL80">
            <v>0</v>
          </cell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  <cell r="CE80"/>
          <cell r="CF80">
            <v>0</v>
          </cell>
          <cell r="CG80"/>
          <cell r="CH80"/>
          <cell r="CI80"/>
          <cell r="CJ80"/>
          <cell r="CK80"/>
          <cell r="CL80"/>
          <cell r="CM80"/>
          <cell r="CN80"/>
          <cell r="CO80"/>
          <cell r="CP80"/>
          <cell r="CQ80"/>
          <cell r="CR80"/>
          <cell r="CS80"/>
          <cell r="CT80"/>
          <cell r="CU80"/>
          <cell r="CV80"/>
          <cell r="CW80"/>
          <cell r="CX80"/>
          <cell r="CY80"/>
          <cell r="CZ80"/>
          <cell r="DA80"/>
          <cell r="DB80"/>
          <cell r="DC80"/>
          <cell r="DD80"/>
          <cell r="DE80"/>
          <cell r="DF80"/>
          <cell r="DG80"/>
          <cell r="DH80"/>
          <cell r="DI80"/>
          <cell r="DJ80"/>
          <cell r="DK80"/>
          <cell r="DL80"/>
          <cell r="DM80"/>
          <cell r="DN80"/>
          <cell r="DO80"/>
          <cell r="DP80"/>
          <cell r="DQ80"/>
          <cell r="DR80"/>
          <cell r="DS80"/>
          <cell r="DT80"/>
          <cell r="DU80"/>
          <cell r="DV80">
            <v>0</v>
          </cell>
          <cell r="DW80"/>
          <cell r="DX80"/>
          <cell r="DY80"/>
          <cell r="DZ80"/>
          <cell r="EA80"/>
          <cell r="EB80"/>
          <cell r="EC80"/>
          <cell r="ED80">
            <v>0</v>
          </cell>
          <cell r="EE80"/>
          <cell r="EF80"/>
          <cell r="EG80">
            <v>0</v>
          </cell>
          <cell r="EH80">
            <v>0</v>
          </cell>
          <cell r="EI80"/>
          <cell r="EJ80"/>
          <cell r="EK80"/>
          <cell r="EL80"/>
          <cell r="EM80"/>
          <cell r="EN80"/>
          <cell r="EO80"/>
          <cell r="EP80"/>
          <cell r="EQ80"/>
          <cell r="ER80"/>
          <cell r="ES80"/>
          <cell r="ET80"/>
          <cell r="EU80"/>
          <cell r="EV80"/>
          <cell r="EW80"/>
          <cell r="EX80"/>
          <cell r="EY80"/>
          <cell r="EZ80"/>
          <cell r="FA80"/>
          <cell r="FB80"/>
          <cell r="FC80"/>
          <cell r="FD80"/>
          <cell r="FE80"/>
          <cell r="FF80"/>
          <cell r="FG80"/>
          <cell r="FH80"/>
          <cell r="FI80">
            <v>0</v>
          </cell>
          <cell r="FJ80"/>
          <cell r="FK80">
            <v>3172.06</v>
          </cell>
        </row>
        <row r="81">
          <cell r="A81" t="str">
            <v>Cold Calling</v>
          </cell>
          <cell r="B81"/>
          <cell r="C81"/>
          <cell r="D81"/>
          <cell r="E81"/>
          <cell r="F81"/>
          <cell r="G81"/>
          <cell r="H81"/>
          <cell r="I81"/>
          <cell r="J81"/>
          <cell r="K81"/>
          <cell r="L81"/>
          <cell r="M81"/>
          <cell r="N81"/>
          <cell r="O81"/>
          <cell r="P81"/>
          <cell r="Q81"/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>
            <v>0</v>
          </cell>
          <cell r="BF81">
            <v>12495</v>
          </cell>
          <cell r="BG81"/>
          <cell r="BH81"/>
          <cell r="BI81">
            <v>0</v>
          </cell>
          <cell r="BJ81"/>
          <cell r="BK81"/>
          <cell r="BL81">
            <v>0</v>
          </cell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  <cell r="CE81"/>
          <cell r="CF81">
            <v>0</v>
          </cell>
          <cell r="CG81"/>
          <cell r="CH81"/>
          <cell r="CI81"/>
          <cell r="CJ81"/>
          <cell r="CK81"/>
          <cell r="CL81"/>
          <cell r="CM81"/>
          <cell r="CN81"/>
          <cell r="CO81"/>
          <cell r="CP81"/>
          <cell r="CQ81"/>
          <cell r="CR81"/>
          <cell r="CS81"/>
          <cell r="CT81"/>
          <cell r="CU81"/>
          <cell r="CV81"/>
          <cell r="CW81"/>
          <cell r="CX81"/>
          <cell r="CY81"/>
          <cell r="CZ81"/>
          <cell r="DA81"/>
          <cell r="DB81"/>
          <cell r="DC81"/>
          <cell r="DD81"/>
          <cell r="DE81"/>
          <cell r="DF81"/>
          <cell r="DG81"/>
          <cell r="DH81"/>
          <cell r="DI81"/>
          <cell r="DJ81"/>
          <cell r="DK81"/>
          <cell r="DL81"/>
          <cell r="DM81"/>
          <cell r="DN81"/>
          <cell r="DO81"/>
          <cell r="DP81"/>
          <cell r="DQ81"/>
          <cell r="DR81"/>
          <cell r="DS81"/>
          <cell r="DT81"/>
          <cell r="DU81"/>
          <cell r="DV81">
            <v>0</v>
          </cell>
          <cell r="DW81"/>
          <cell r="DX81"/>
          <cell r="DY81"/>
          <cell r="DZ81"/>
          <cell r="EA81"/>
          <cell r="EB81"/>
          <cell r="EC81"/>
          <cell r="ED81">
            <v>0</v>
          </cell>
          <cell r="EE81"/>
          <cell r="EF81"/>
          <cell r="EG81">
            <v>0</v>
          </cell>
          <cell r="EH81">
            <v>0</v>
          </cell>
          <cell r="EI81"/>
          <cell r="EJ81"/>
          <cell r="EK81"/>
          <cell r="EL81"/>
          <cell r="EM81"/>
          <cell r="EN81"/>
          <cell r="EO81"/>
          <cell r="EP81"/>
          <cell r="EQ81"/>
          <cell r="ER81"/>
          <cell r="ES81"/>
          <cell r="ET81"/>
          <cell r="EU81"/>
          <cell r="EV81"/>
          <cell r="EW81"/>
          <cell r="EX81"/>
          <cell r="EY81"/>
          <cell r="EZ81"/>
          <cell r="FA81"/>
          <cell r="FB81"/>
          <cell r="FC81"/>
          <cell r="FD81"/>
          <cell r="FE81"/>
          <cell r="FF81"/>
          <cell r="FG81"/>
          <cell r="FH81"/>
          <cell r="FI81">
            <v>0</v>
          </cell>
          <cell r="FJ81"/>
          <cell r="FK81">
            <v>12495</v>
          </cell>
        </row>
        <row r="82">
          <cell r="A82" t="str">
            <v>Deal Machine</v>
          </cell>
          <cell r="B82"/>
          <cell r="C82"/>
          <cell r="D82"/>
          <cell r="E82"/>
          <cell r="F82"/>
          <cell r="G82"/>
          <cell r="H82"/>
          <cell r="I82"/>
          <cell r="J82"/>
          <cell r="K82"/>
          <cell r="L82"/>
          <cell r="M82"/>
          <cell r="N82"/>
          <cell r="O82"/>
          <cell r="P82"/>
          <cell r="Q82"/>
          <cell r="R82"/>
          <cell r="S82"/>
          <cell r="T82"/>
          <cell r="U82"/>
          <cell r="V82"/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>
            <v>0</v>
          </cell>
          <cell r="BF82">
            <v>2646</v>
          </cell>
          <cell r="BG82"/>
          <cell r="BH82"/>
          <cell r="BI82">
            <v>0</v>
          </cell>
          <cell r="BJ82"/>
          <cell r="BK82"/>
          <cell r="BL82">
            <v>0</v>
          </cell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  <cell r="CE82"/>
          <cell r="CF82">
            <v>0</v>
          </cell>
          <cell r="CG82"/>
          <cell r="CH82"/>
          <cell r="CI82"/>
          <cell r="CJ82"/>
          <cell r="CK82"/>
          <cell r="CL82"/>
          <cell r="CM82"/>
          <cell r="CN82"/>
          <cell r="CO82"/>
          <cell r="CP82"/>
          <cell r="CQ82"/>
          <cell r="CR82"/>
          <cell r="CS82"/>
          <cell r="CT82"/>
          <cell r="CU82"/>
          <cell r="CV82"/>
          <cell r="CW82"/>
          <cell r="CX82"/>
          <cell r="CY82"/>
          <cell r="CZ82"/>
          <cell r="DA82"/>
          <cell r="DB82"/>
          <cell r="DC82"/>
          <cell r="DD82"/>
          <cell r="DE82"/>
          <cell r="DF82"/>
          <cell r="DG82"/>
          <cell r="DH82"/>
          <cell r="DI82"/>
          <cell r="DJ82"/>
          <cell r="DK82"/>
          <cell r="DL82"/>
          <cell r="DM82"/>
          <cell r="DN82"/>
          <cell r="DO82"/>
          <cell r="DP82"/>
          <cell r="DQ82"/>
          <cell r="DR82"/>
          <cell r="DS82"/>
          <cell r="DT82"/>
          <cell r="DU82"/>
          <cell r="DV82">
            <v>0</v>
          </cell>
          <cell r="DW82"/>
          <cell r="DX82"/>
          <cell r="DY82"/>
          <cell r="DZ82"/>
          <cell r="EA82"/>
          <cell r="EB82"/>
          <cell r="EC82"/>
          <cell r="ED82">
            <v>0</v>
          </cell>
          <cell r="EE82"/>
          <cell r="EF82"/>
          <cell r="EG82">
            <v>0</v>
          </cell>
          <cell r="EH82">
            <v>0</v>
          </cell>
          <cell r="EI82"/>
          <cell r="EJ82"/>
          <cell r="EK82"/>
          <cell r="EL82"/>
          <cell r="EM82"/>
          <cell r="EN82"/>
          <cell r="EO82"/>
          <cell r="EP82"/>
          <cell r="EQ82"/>
          <cell r="ER82"/>
          <cell r="ES82"/>
          <cell r="ET82"/>
          <cell r="EU82"/>
          <cell r="EV82"/>
          <cell r="EW82"/>
          <cell r="EX82"/>
          <cell r="EY82"/>
          <cell r="EZ82"/>
          <cell r="FA82"/>
          <cell r="FB82"/>
          <cell r="FC82"/>
          <cell r="FD82"/>
          <cell r="FE82"/>
          <cell r="FF82"/>
          <cell r="FG82"/>
          <cell r="FH82"/>
          <cell r="FI82">
            <v>0</v>
          </cell>
          <cell r="FJ82"/>
          <cell r="FK82">
            <v>2646</v>
          </cell>
        </row>
        <row r="83">
          <cell r="A83" t="str">
            <v>Direct One</v>
          </cell>
          <cell r="B83"/>
          <cell r="C83"/>
          <cell r="D83"/>
          <cell r="E83"/>
          <cell r="F83"/>
          <cell r="G83"/>
          <cell r="H83"/>
          <cell r="I83"/>
          <cell r="J83"/>
          <cell r="K83"/>
          <cell r="L83"/>
          <cell r="M83"/>
          <cell r="N83"/>
          <cell r="O83"/>
          <cell r="P83"/>
          <cell r="Q83"/>
          <cell r="R83"/>
          <cell r="S83"/>
          <cell r="T83"/>
          <cell r="U83"/>
          <cell r="V83"/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>
            <v>0</v>
          </cell>
          <cell r="BF83">
            <v>87235.02</v>
          </cell>
          <cell r="BG83"/>
          <cell r="BH83"/>
          <cell r="BI83">
            <v>0</v>
          </cell>
          <cell r="BJ83"/>
          <cell r="BK83"/>
          <cell r="BL83">
            <v>0</v>
          </cell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  <cell r="CE83"/>
          <cell r="CF83">
            <v>0</v>
          </cell>
          <cell r="CG83"/>
          <cell r="CH83"/>
          <cell r="CI83"/>
          <cell r="CJ83"/>
          <cell r="CK83"/>
          <cell r="CL83"/>
          <cell r="CM83"/>
          <cell r="CN83"/>
          <cell r="CO83"/>
          <cell r="CP83"/>
          <cell r="CQ83"/>
          <cell r="CR83"/>
          <cell r="CS83"/>
          <cell r="CT83"/>
          <cell r="CU83"/>
          <cell r="CV83"/>
          <cell r="CW83"/>
          <cell r="CX83"/>
          <cell r="CY83"/>
          <cell r="CZ83"/>
          <cell r="DA83"/>
          <cell r="DB83"/>
          <cell r="DC83"/>
          <cell r="DD83"/>
          <cell r="DE83"/>
          <cell r="DF83"/>
          <cell r="DG83"/>
          <cell r="DH83"/>
          <cell r="DI83"/>
          <cell r="DJ83"/>
          <cell r="DK83"/>
          <cell r="DL83"/>
          <cell r="DM83"/>
          <cell r="DN83"/>
          <cell r="DO83"/>
          <cell r="DP83"/>
          <cell r="DQ83"/>
          <cell r="DR83"/>
          <cell r="DS83"/>
          <cell r="DT83"/>
          <cell r="DU83"/>
          <cell r="DV83">
            <v>0</v>
          </cell>
          <cell r="DW83"/>
          <cell r="DX83"/>
          <cell r="DY83"/>
          <cell r="DZ83"/>
          <cell r="EA83"/>
          <cell r="EB83"/>
          <cell r="EC83"/>
          <cell r="ED83">
            <v>0</v>
          </cell>
          <cell r="EE83"/>
          <cell r="EF83"/>
          <cell r="EG83">
            <v>0</v>
          </cell>
          <cell r="EH83">
            <v>0</v>
          </cell>
          <cell r="EI83"/>
          <cell r="EJ83"/>
          <cell r="EK83"/>
          <cell r="EL83"/>
          <cell r="EM83"/>
          <cell r="EN83"/>
          <cell r="EO83"/>
          <cell r="EP83"/>
          <cell r="EQ83"/>
          <cell r="ER83"/>
          <cell r="ES83"/>
          <cell r="ET83"/>
          <cell r="EU83"/>
          <cell r="EV83"/>
          <cell r="EW83"/>
          <cell r="EX83"/>
          <cell r="EY83"/>
          <cell r="EZ83"/>
          <cell r="FA83"/>
          <cell r="FB83"/>
          <cell r="FC83"/>
          <cell r="FD83"/>
          <cell r="FE83"/>
          <cell r="FF83"/>
          <cell r="FG83"/>
          <cell r="FH83"/>
          <cell r="FI83">
            <v>0</v>
          </cell>
          <cell r="FJ83"/>
          <cell r="FK83">
            <v>87235.02</v>
          </cell>
        </row>
        <row r="84">
          <cell r="A84" t="str">
            <v>DM Force</v>
          </cell>
          <cell r="B84"/>
          <cell r="C84"/>
          <cell r="D84"/>
          <cell r="E84"/>
          <cell r="F84"/>
          <cell r="G84"/>
          <cell r="H84"/>
          <cell r="I84"/>
          <cell r="J84"/>
          <cell r="K84"/>
          <cell r="L84"/>
          <cell r="M84"/>
          <cell r="N84"/>
          <cell r="O84"/>
          <cell r="P84"/>
          <cell r="Q84"/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>
            <v>0</v>
          </cell>
          <cell r="BF84">
            <v>22510</v>
          </cell>
          <cell r="BG84"/>
          <cell r="BH84"/>
          <cell r="BI84">
            <v>0</v>
          </cell>
          <cell r="BJ84"/>
          <cell r="BK84"/>
          <cell r="BL84">
            <v>0</v>
          </cell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  <cell r="CE84"/>
          <cell r="CF84">
            <v>0</v>
          </cell>
          <cell r="CG84"/>
          <cell r="CH84"/>
          <cell r="CI84"/>
          <cell r="CJ84"/>
          <cell r="CK84"/>
          <cell r="CL84"/>
          <cell r="CM84"/>
          <cell r="CN84"/>
          <cell r="CO84"/>
          <cell r="CP84"/>
          <cell r="CQ84"/>
          <cell r="CR84"/>
          <cell r="CS84"/>
          <cell r="CT84"/>
          <cell r="CU84"/>
          <cell r="CV84"/>
          <cell r="CW84"/>
          <cell r="CX84"/>
          <cell r="CY84"/>
          <cell r="CZ84"/>
          <cell r="DA84"/>
          <cell r="DB84"/>
          <cell r="DC84"/>
          <cell r="DD84"/>
          <cell r="DE84"/>
          <cell r="DF84"/>
          <cell r="DG84"/>
          <cell r="DH84"/>
          <cell r="DI84"/>
          <cell r="DJ84"/>
          <cell r="DK84"/>
          <cell r="DL84"/>
          <cell r="DM84"/>
          <cell r="DN84"/>
          <cell r="DO84"/>
          <cell r="DP84"/>
          <cell r="DQ84"/>
          <cell r="DR84"/>
          <cell r="DS84"/>
          <cell r="DT84"/>
          <cell r="DU84"/>
          <cell r="DV84">
            <v>0</v>
          </cell>
          <cell r="DW84"/>
          <cell r="DX84"/>
          <cell r="DY84"/>
          <cell r="DZ84"/>
          <cell r="EA84"/>
          <cell r="EB84"/>
          <cell r="EC84"/>
          <cell r="ED84">
            <v>0</v>
          </cell>
          <cell r="EE84"/>
          <cell r="EF84"/>
          <cell r="EG84">
            <v>0</v>
          </cell>
          <cell r="EH84">
            <v>0</v>
          </cell>
          <cell r="EI84"/>
          <cell r="EJ84"/>
          <cell r="EK84"/>
          <cell r="EL84"/>
          <cell r="EM84"/>
          <cell r="EN84"/>
          <cell r="EO84"/>
          <cell r="EP84"/>
          <cell r="EQ84"/>
          <cell r="ER84"/>
          <cell r="ES84"/>
          <cell r="ET84"/>
          <cell r="EU84"/>
          <cell r="EV84"/>
          <cell r="EW84"/>
          <cell r="EX84"/>
          <cell r="EY84"/>
          <cell r="EZ84"/>
          <cell r="FA84"/>
          <cell r="FB84"/>
          <cell r="FC84"/>
          <cell r="FD84"/>
          <cell r="FE84"/>
          <cell r="FF84"/>
          <cell r="FG84"/>
          <cell r="FH84"/>
          <cell r="FI84">
            <v>0</v>
          </cell>
          <cell r="FJ84"/>
          <cell r="FK84">
            <v>22510</v>
          </cell>
        </row>
        <row r="85">
          <cell r="A85" t="str">
            <v>Fast Home Offer</v>
          </cell>
          <cell r="B85"/>
          <cell r="C85"/>
          <cell r="D85"/>
          <cell r="E85"/>
          <cell r="F85"/>
          <cell r="G85"/>
          <cell r="H85"/>
          <cell r="I85"/>
          <cell r="J85"/>
          <cell r="K85"/>
          <cell r="L85"/>
          <cell r="M85"/>
          <cell r="N85"/>
          <cell r="O85"/>
          <cell r="P85"/>
          <cell r="Q85"/>
          <cell r="R85"/>
          <cell r="S85"/>
          <cell r="T85"/>
          <cell r="U85"/>
          <cell r="V85"/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>
            <v>0</v>
          </cell>
          <cell r="BF85">
            <v>8000</v>
          </cell>
          <cell r="BG85"/>
          <cell r="BH85"/>
          <cell r="BI85">
            <v>0</v>
          </cell>
          <cell r="BJ85"/>
          <cell r="BK85"/>
          <cell r="BL85">
            <v>0</v>
          </cell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  <cell r="CE85"/>
          <cell r="CF85">
            <v>0</v>
          </cell>
          <cell r="CG85"/>
          <cell r="CH85"/>
          <cell r="CI85"/>
          <cell r="CJ85"/>
          <cell r="CK85"/>
          <cell r="CL85"/>
          <cell r="CM85"/>
          <cell r="CN85"/>
          <cell r="CO85"/>
          <cell r="CP85"/>
          <cell r="CQ85"/>
          <cell r="CR85"/>
          <cell r="CS85"/>
          <cell r="CT85"/>
          <cell r="CU85"/>
          <cell r="CV85"/>
          <cell r="CW85"/>
          <cell r="CX85"/>
          <cell r="CY85"/>
          <cell r="CZ85"/>
          <cell r="DA85"/>
          <cell r="DB85"/>
          <cell r="DC85"/>
          <cell r="DD85"/>
          <cell r="DE85"/>
          <cell r="DF85"/>
          <cell r="DG85"/>
          <cell r="DH85"/>
          <cell r="DI85"/>
          <cell r="DJ85"/>
          <cell r="DK85"/>
          <cell r="DL85"/>
          <cell r="DM85"/>
          <cell r="DN85"/>
          <cell r="DO85"/>
          <cell r="DP85"/>
          <cell r="DQ85"/>
          <cell r="DR85"/>
          <cell r="DS85"/>
          <cell r="DT85"/>
          <cell r="DU85"/>
          <cell r="DV85">
            <v>0</v>
          </cell>
          <cell r="DW85"/>
          <cell r="DX85"/>
          <cell r="DY85"/>
          <cell r="DZ85"/>
          <cell r="EA85"/>
          <cell r="EB85"/>
          <cell r="EC85"/>
          <cell r="ED85">
            <v>0</v>
          </cell>
          <cell r="EE85"/>
          <cell r="EF85"/>
          <cell r="EG85">
            <v>0</v>
          </cell>
          <cell r="EH85">
            <v>0</v>
          </cell>
          <cell r="EI85"/>
          <cell r="EJ85"/>
          <cell r="EK85"/>
          <cell r="EL85"/>
          <cell r="EM85"/>
          <cell r="EN85"/>
          <cell r="EO85"/>
          <cell r="EP85"/>
          <cell r="EQ85"/>
          <cell r="ER85"/>
          <cell r="ES85"/>
          <cell r="ET85"/>
          <cell r="EU85"/>
          <cell r="EV85"/>
          <cell r="EW85"/>
          <cell r="EX85"/>
          <cell r="EY85"/>
          <cell r="EZ85"/>
          <cell r="FA85"/>
          <cell r="FB85"/>
          <cell r="FC85"/>
          <cell r="FD85"/>
          <cell r="FE85"/>
          <cell r="FF85"/>
          <cell r="FG85"/>
          <cell r="FH85"/>
          <cell r="FI85">
            <v>0</v>
          </cell>
          <cell r="FJ85"/>
          <cell r="FK85">
            <v>8000</v>
          </cell>
        </row>
        <row r="86">
          <cell r="A86" t="str">
            <v>Google</v>
          </cell>
          <cell r="B86"/>
          <cell r="C86"/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  <cell r="O86"/>
          <cell r="P86"/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>
            <v>0</v>
          </cell>
          <cell r="BF86">
            <v>15210.73</v>
          </cell>
          <cell r="BG86"/>
          <cell r="BH86"/>
          <cell r="BI86">
            <v>0</v>
          </cell>
          <cell r="BJ86"/>
          <cell r="BK86"/>
          <cell r="BL86">
            <v>0</v>
          </cell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  <cell r="CE86"/>
          <cell r="CF86">
            <v>0</v>
          </cell>
          <cell r="CG86"/>
          <cell r="CH86"/>
          <cell r="CI86"/>
          <cell r="CJ86"/>
          <cell r="CK86"/>
          <cell r="CL86"/>
          <cell r="CM86"/>
          <cell r="CN86"/>
          <cell r="CO86"/>
          <cell r="CP86"/>
          <cell r="CQ86"/>
          <cell r="CR86"/>
          <cell r="CS86"/>
          <cell r="CT86"/>
          <cell r="CU86"/>
          <cell r="CV86"/>
          <cell r="CW86"/>
          <cell r="CX86"/>
          <cell r="CY86"/>
          <cell r="CZ86"/>
          <cell r="DA86"/>
          <cell r="DB86"/>
          <cell r="DC86"/>
          <cell r="DD86"/>
          <cell r="DE86"/>
          <cell r="DF86"/>
          <cell r="DG86"/>
          <cell r="DH86"/>
          <cell r="DI86"/>
          <cell r="DJ86"/>
          <cell r="DK86"/>
          <cell r="DL86"/>
          <cell r="DM86"/>
          <cell r="DN86"/>
          <cell r="DO86"/>
          <cell r="DP86"/>
          <cell r="DQ86"/>
          <cell r="DR86"/>
          <cell r="DS86"/>
          <cell r="DT86"/>
          <cell r="DU86"/>
          <cell r="DV86">
            <v>0</v>
          </cell>
          <cell r="DW86"/>
          <cell r="DX86"/>
          <cell r="DY86"/>
          <cell r="DZ86"/>
          <cell r="EA86"/>
          <cell r="EB86"/>
          <cell r="EC86"/>
          <cell r="ED86">
            <v>0</v>
          </cell>
          <cell r="EE86"/>
          <cell r="EF86"/>
          <cell r="EG86">
            <v>0</v>
          </cell>
          <cell r="EH86">
            <v>0</v>
          </cell>
          <cell r="EI86"/>
          <cell r="EJ86"/>
          <cell r="EK86"/>
          <cell r="EL86"/>
          <cell r="EM86"/>
          <cell r="EN86"/>
          <cell r="EO86"/>
          <cell r="EP86"/>
          <cell r="EQ86"/>
          <cell r="ER86"/>
          <cell r="ES86"/>
          <cell r="ET86"/>
          <cell r="EU86"/>
          <cell r="EV86"/>
          <cell r="EW86"/>
          <cell r="EX86"/>
          <cell r="EY86"/>
          <cell r="EZ86"/>
          <cell r="FA86"/>
          <cell r="FB86"/>
          <cell r="FC86"/>
          <cell r="FD86"/>
          <cell r="FE86"/>
          <cell r="FF86"/>
          <cell r="FG86"/>
          <cell r="FH86"/>
          <cell r="FI86">
            <v>0</v>
          </cell>
          <cell r="FJ86"/>
          <cell r="FK86">
            <v>15210.73</v>
          </cell>
        </row>
        <row r="87">
          <cell r="A87" t="str">
            <v>Home Smart Real Estate</v>
          </cell>
          <cell r="B87"/>
          <cell r="C87"/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O87"/>
          <cell r="P87"/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>
            <v>0</v>
          </cell>
          <cell r="BF87">
            <v>1689.5</v>
          </cell>
          <cell r="BG87"/>
          <cell r="BH87"/>
          <cell r="BI87">
            <v>0</v>
          </cell>
          <cell r="BJ87"/>
          <cell r="BK87"/>
          <cell r="BL87">
            <v>0</v>
          </cell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  <cell r="CE87"/>
          <cell r="CF87">
            <v>0</v>
          </cell>
          <cell r="CG87"/>
          <cell r="CH87"/>
          <cell r="CI87"/>
          <cell r="CJ87"/>
          <cell r="CK87"/>
          <cell r="CL87"/>
          <cell r="CM87"/>
          <cell r="CN87"/>
          <cell r="CO87"/>
          <cell r="CP87"/>
          <cell r="CQ87"/>
          <cell r="CR87"/>
          <cell r="CS87"/>
          <cell r="CT87"/>
          <cell r="CU87"/>
          <cell r="CV87"/>
          <cell r="CW87"/>
          <cell r="CX87"/>
          <cell r="CY87"/>
          <cell r="CZ87"/>
          <cell r="DA87"/>
          <cell r="DB87"/>
          <cell r="DC87"/>
          <cell r="DD87"/>
          <cell r="DE87"/>
          <cell r="DF87"/>
          <cell r="DG87"/>
          <cell r="DH87"/>
          <cell r="DI87"/>
          <cell r="DJ87"/>
          <cell r="DK87"/>
          <cell r="DL87"/>
          <cell r="DM87"/>
          <cell r="DN87"/>
          <cell r="DO87"/>
          <cell r="DP87"/>
          <cell r="DQ87"/>
          <cell r="DR87"/>
          <cell r="DS87"/>
          <cell r="DT87"/>
          <cell r="DU87"/>
          <cell r="DV87">
            <v>0</v>
          </cell>
          <cell r="DW87"/>
          <cell r="DX87"/>
          <cell r="DY87"/>
          <cell r="DZ87"/>
          <cell r="EA87"/>
          <cell r="EB87"/>
          <cell r="EC87"/>
          <cell r="ED87">
            <v>0</v>
          </cell>
          <cell r="EE87"/>
          <cell r="EF87"/>
          <cell r="EG87">
            <v>0</v>
          </cell>
          <cell r="EH87">
            <v>0</v>
          </cell>
          <cell r="EI87"/>
          <cell r="EJ87"/>
          <cell r="EK87"/>
          <cell r="EL87"/>
          <cell r="EM87"/>
          <cell r="EN87"/>
          <cell r="EO87"/>
          <cell r="EP87"/>
          <cell r="EQ87"/>
          <cell r="ER87"/>
          <cell r="ES87"/>
          <cell r="ET87"/>
          <cell r="EU87"/>
          <cell r="EV87"/>
          <cell r="EW87"/>
          <cell r="EX87"/>
          <cell r="EY87"/>
          <cell r="EZ87"/>
          <cell r="FA87"/>
          <cell r="FB87"/>
          <cell r="FC87"/>
          <cell r="FD87"/>
          <cell r="FE87"/>
          <cell r="FF87"/>
          <cell r="FG87"/>
          <cell r="FH87"/>
          <cell r="FI87">
            <v>0</v>
          </cell>
          <cell r="FJ87"/>
          <cell r="FK87">
            <v>1689.5</v>
          </cell>
        </row>
        <row r="88">
          <cell r="A88" t="str">
            <v>Hostwinds</v>
          </cell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/>
          <cell r="P88"/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>
            <v>0</v>
          </cell>
          <cell r="BF88">
            <v>2954.7</v>
          </cell>
          <cell r="BG88"/>
          <cell r="BH88"/>
          <cell r="BI88">
            <v>0</v>
          </cell>
          <cell r="BJ88"/>
          <cell r="BK88"/>
          <cell r="BL88">
            <v>0</v>
          </cell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  <cell r="CE88"/>
          <cell r="CF88">
            <v>0</v>
          </cell>
          <cell r="CG88"/>
          <cell r="CH88"/>
          <cell r="CI88"/>
          <cell r="CJ88"/>
          <cell r="CK88"/>
          <cell r="CL88"/>
          <cell r="CM88"/>
          <cell r="CN88"/>
          <cell r="CO88"/>
          <cell r="CP88"/>
          <cell r="CQ88"/>
          <cell r="CR88"/>
          <cell r="CS88"/>
          <cell r="CT88"/>
          <cell r="CU88"/>
          <cell r="CV88"/>
          <cell r="CW88"/>
          <cell r="CX88"/>
          <cell r="CY88"/>
          <cell r="CZ88"/>
          <cell r="DA88"/>
          <cell r="DB88"/>
          <cell r="DC88"/>
          <cell r="DD88"/>
          <cell r="DE88"/>
          <cell r="DF88"/>
          <cell r="DG88"/>
          <cell r="DH88"/>
          <cell r="DI88"/>
          <cell r="DJ88"/>
          <cell r="DK88"/>
          <cell r="DL88"/>
          <cell r="DM88"/>
          <cell r="DN88"/>
          <cell r="DO88"/>
          <cell r="DP88"/>
          <cell r="DQ88"/>
          <cell r="DR88"/>
          <cell r="DS88"/>
          <cell r="DT88"/>
          <cell r="DU88"/>
          <cell r="DV88">
            <v>0</v>
          </cell>
          <cell r="DW88"/>
          <cell r="DX88"/>
          <cell r="DY88"/>
          <cell r="DZ88"/>
          <cell r="EA88"/>
          <cell r="EB88"/>
          <cell r="EC88"/>
          <cell r="ED88">
            <v>0</v>
          </cell>
          <cell r="EE88"/>
          <cell r="EF88"/>
          <cell r="EG88">
            <v>0</v>
          </cell>
          <cell r="EH88">
            <v>0</v>
          </cell>
          <cell r="EI88"/>
          <cell r="EJ88"/>
          <cell r="EK88"/>
          <cell r="EL88"/>
          <cell r="EM88"/>
          <cell r="EN88"/>
          <cell r="EO88"/>
          <cell r="EP88"/>
          <cell r="EQ88"/>
          <cell r="ER88"/>
          <cell r="ES88"/>
          <cell r="ET88"/>
          <cell r="EU88"/>
          <cell r="EV88"/>
          <cell r="EW88"/>
          <cell r="EX88"/>
          <cell r="EY88"/>
          <cell r="EZ88"/>
          <cell r="FA88"/>
          <cell r="FB88"/>
          <cell r="FC88"/>
          <cell r="FD88"/>
          <cell r="FE88"/>
          <cell r="FF88"/>
          <cell r="FG88"/>
          <cell r="FH88"/>
          <cell r="FI88">
            <v>0</v>
          </cell>
          <cell r="FJ88">
            <v>13.99</v>
          </cell>
          <cell r="FK88">
            <v>2968.69</v>
          </cell>
        </row>
        <row r="89">
          <cell r="A89" t="str">
            <v>Liberty AI</v>
          </cell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/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>
            <v>0</v>
          </cell>
          <cell r="BF89">
            <v>5800</v>
          </cell>
          <cell r="BG89"/>
          <cell r="BH89"/>
          <cell r="BI89">
            <v>0</v>
          </cell>
          <cell r="BJ89"/>
          <cell r="BK89"/>
          <cell r="BL89">
            <v>0</v>
          </cell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  <cell r="CE89"/>
          <cell r="CF89">
            <v>0</v>
          </cell>
          <cell r="CG89"/>
          <cell r="CH89"/>
          <cell r="CI89"/>
          <cell r="CJ89"/>
          <cell r="CK89"/>
          <cell r="CL89"/>
          <cell r="CM89"/>
          <cell r="CN89"/>
          <cell r="CO89"/>
          <cell r="CP89"/>
          <cell r="CQ89"/>
          <cell r="CR89"/>
          <cell r="CS89"/>
          <cell r="CT89"/>
          <cell r="CU89"/>
          <cell r="CV89"/>
          <cell r="CW89"/>
          <cell r="CX89"/>
          <cell r="CY89"/>
          <cell r="CZ89"/>
          <cell r="DA89"/>
          <cell r="DB89"/>
          <cell r="DC89"/>
          <cell r="DD89"/>
          <cell r="DE89"/>
          <cell r="DF89"/>
          <cell r="DG89"/>
          <cell r="DH89"/>
          <cell r="DI89"/>
          <cell r="DJ89"/>
          <cell r="DK89"/>
          <cell r="DL89"/>
          <cell r="DM89"/>
          <cell r="DN89"/>
          <cell r="DO89"/>
          <cell r="DP89"/>
          <cell r="DQ89"/>
          <cell r="DR89"/>
          <cell r="DS89"/>
          <cell r="DT89"/>
          <cell r="DU89"/>
          <cell r="DV89">
            <v>0</v>
          </cell>
          <cell r="DW89"/>
          <cell r="DX89"/>
          <cell r="DY89"/>
          <cell r="DZ89"/>
          <cell r="EA89"/>
          <cell r="EB89"/>
          <cell r="EC89"/>
          <cell r="ED89">
            <v>0</v>
          </cell>
          <cell r="EE89"/>
          <cell r="EF89"/>
          <cell r="EG89">
            <v>0</v>
          </cell>
          <cell r="EH89">
            <v>0</v>
          </cell>
          <cell r="EI89"/>
          <cell r="EJ89"/>
          <cell r="EK89"/>
          <cell r="EL89"/>
          <cell r="EM89"/>
          <cell r="EN89"/>
          <cell r="EO89"/>
          <cell r="EP89"/>
          <cell r="EQ89"/>
          <cell r="ER89"/>
          <cell r="ES89"/>
          <cell r="ET89"/>
          <cell r="EU89"/>
          <cell r="EV89"/>
          <cell r="EW89"/>
          <cell r="EX89"/>
          <cell r="EY89"/>
          <cell r="EZ89"/>
          <cell r="FA89"/>
          <cell r="FB89"/>
          <cell r="FC89"/>
          <cell r="FD89"/>
          <cell r="FE89"/>
          <cell r="FF89"/>
          <cell r="FG89"/>
          <cell r="FH89"/>
          <cell r="FI89">
            <v>0</v>
          </cell>
          <cell r="FJ89"/>
          <cell r="FK89">
            <v>5800</v>
          </cell>
        </row>
        <row r="90">
          <cell r="A90" t="str">
            <v>Mail Chimp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>
            <v>0</v>
          </cell>
          <cell r="BF90">
            <v>424</v>
          </cell>
          <cell r="BG90"/>
          <cell r="BH90"/>
          <cell r="BI90">
            <v>0</v>
          </cell>
          <cell r="BJ90"/>
          <cell r="BK90"/>
          <cell r="BL90">
            <v>0</v>
          </cell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  <cell r="CE90"/>
          <cell r="CF90">
            <v>0</v>
          </cell>
          <cell r="CG90"/>
          <cell r="CH90"/>
          <cell r="CI90"/>
          <cell r="CJ90"/>
          <cell r="CK90"/>
          <cell r="CL90"/>
          <cell r="CM90"/>
          <cell r="CN90"/>
          <cell r="CO90"/>
          <cell r="CP90"/>
          <cell r="CQ90"/>
          <cell r="CR90"/>
          <cell r="CS90"/>
          <cell r="CT90"/>
          <cell r="CU90"/>
          <cell r="CV90"/>
          <cell r="CW90"/>
          <cell r="CX90"/>
          <cell r="CY90"/>
          <cell r="CZ90"/>
          <cell r="DA90"/>
          <cell r="DB90"/>
          <cell r="DC90"/>
          <cell r="DD90"/>
          <cell r="DE90"/>
          <cell r="DF90"/>
          <cell r="DG90"/>
          <cell r="DH90"/>
          <cell r="DI90"/>
          <cell r="DJ90"/>
          <cell r="DK90"/>
          <cell r="DL90"/>
          <cell r="DM90"/>
          <cell r="DN90"/>
          <cell r="DO90"/>
          <cell r="DP90"/>
          <cell r="DQ90"/>
          <cell r="DR90"/>
          <cell r="DS90"/>
          <cell r="DT90"/>
          <cell r="DU90"/>
          <cell r="DV90">
            <v>0</v>
          </cell>
          <cell r="DW90"/>
          <cell r="DX90"/>
          <cell r="DY90"/>
          <cell r="DZ90"/>
          <cell r="EA90"/>
          <cell r="EB90"/>
          <cell r="EC90"/>
          <cell r="ED90">
            <v>0</v>
          </cell>
          <cell r="EE90"/>
          <cell r="EF90"/>
          <cell r="EG90">
            <v>0</v>
          </cell>
          <cell r="EH90">
            <v>0</v>
          </cell>
          <cell r="EI90"/>
          <cell r="EJ90"/>
          <cell r="EK90"/>
          <cell r="EL90"/>
          <cell r="EM90"/>
          <cell r="EN90"/>
          <cell r="EO90"/>
          <cell r="EP90"/>
          <cell r="EQ90"/>
          <cell r="ER90"/>
          <cell r="ES90"/>
          <cell r="ET90"/>
          <cell r="EU90"/>
          <cell r="EV90"/>
          <cell r="EW90"/>
          <cell r="EX90"/>
          <cell r="EY90"/>
          <cell r="EZ90"/>
          <cell r="FA90"/>
          <cell r="FB90"/>
          <cell r="FC90"/>
          <cell r="FD90"/>
          <cell r="FE90"/>
          <cell r="FF90"/>
          <cell r="FG90"/>
          <cell r="FH90"/>
          <cell r="FI90">
            <v>0</v>
          </cell>
          <cell r="FJ90"/>
          <cell r="FK90">
            <v>424</v>
          </cell>
        </row>
        <row r="91">
          <cell r="A91" t="str">
            <v>Misc Marketing</v>
          </cell>
          <cell r="B91"/>
          <cell r="C91"/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>
            <v>0</v>
          </cell>
          <cell r="BF91">
            <v>25473.37</v>
          </cell>
          <cell r="BG91"/>
          <cell r="BH91"/>
          <cell r="BI91">
            <v>0</v>
          </cell>
          <cell r="BJ91"/>
          <cell r="BK91"/>
          <cell r="BL91">
            <v>0</v>
          </cell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  <cell r="CE91"/>
          <cell r="CF91">
            <v>0</v>
          </cell>
          <cell r="CG91"/>
          <cell r="CH91"/>
          <cell r="CI91"/>
          <cell r="CJ91"/>
          <cell r="CK91"/>
          <cell r="CL91"/>
          <cell r="CM91"/>
          <cell r="CN91"/>
          <cell r="CO91"/>
          <cell r="CP91"/>
          <cell r="CQ91"/>
          <cell r="CR91"/>
          <cell r="CS91"/>
          <cell r="CT91"/>
          <cell r="CU91"/>
          <cell r="CV91"/>
          <cell r="CW91"/>
          <cell r="CX91"/>
          <cell r="CY91"/>
          <cell r="CZ91"/>
          <cell r="DA91"/>
          <cell r="DB91"/>
          <cell r="DC91"/>
          <cell r="DD91"/>
          <cell r="DE91"/>
          <cell r="DF91"/>
          <cell r="DG91"/>
          <cell r="DH91"/>
          <cell r="DI91"/>
          <cell r="DJ91"/>
          <cell r="DK91"/>
          <cell r="DL91"/>
          <cell r="DM91"/>
          <cell r="DN91"/>
          <cell r="DO91"/>
          <cell r="DP91"/>
          <cell r="DQ91"/>
          <cell r="DR91"/>
          <cell r="DS91"/>
          <cell r="DT91"/>
          <cell r="DU91"/>
          <cell r="DV91">
            <v>0</v>
          </cell>
          <cell r="DW91"/>
          <cell r="DX91"/>
          <cell r="DY91"/>
          <cell r="DZ91"/>
          <cell r="EA91"/>
          <cell r="EB91"/>
          <cell r="EC91"/>
          <cell r="ED91">
            <v>0</v>
          </cell>
          <cell r="EE91"/>
          <cell r="EF91"/>
          <cell r="EG91">
            <v>0</v>
          </cell>
          <cell r="EH91">
            <v>0</v>
          </cell>
          <cell r="EI91"/>
          <cell r="EJ91"/>
          <cell r="EK91"/>
          <cell r="EL91"/>
          <cell r="EM91"/>
          <cell r="EN91"/>
          <cell r="EO91"/>
          <cell r="EP91"/>
          <cell r="EQ91"/>
          <cell r="ER91"/>
          <cell r="ES91"/>
          <cell r="ET91"/>
          <cell r="EU91"/>
          <cell r="EV91"/>
          <cell r="EW91"/>
          <cell r="EX91"/>
          <cell r="EY91"/>
          <cell r="EZ91"/>
          <cell r="FA91"/>
          <cell r="FB91"/>
          <cell r="FC91"/>
          <cell r="FD91"/>
          <cell r="FE91"/>
          <cell r="FF91"/>
          <cell r="FG91"/>
          <cell r="FH91"/>
          <cell r="FI91">
            <v>0</v>
          </cell>
          <cell r="FJ91"/>
          <cell r="FK91">
            <v>25473.37</v>
          </cell>
        </row>
        <row r="92">
          <cell r="A92" t="str">
            <v>Motivated Leads LLC</v>
          </cell>
          <cell r="B92"/>
          <cell r="C92"/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  <cell r="O92"/>
          <cell r="P92"/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>
            <v>0</v>
          </cell>
          <cell r="BF92">
            <v>30000</v>
          </cell>
          <cell r="BG92"/>
          <cell r="BH92"/>
          <cell r="BI92">
            <v>0</v>
          </cell>
          <cell r="BJ92"/>
          <cell r="BK92"/>
          <cell r="BL92">
            <v>0</v>
          </cell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  <cell r="CE92"/>
          <cell r="CF92">
            <v>0</v>
          </cell>
          <cell r="CG92"/>
          <cell r="CH92"/>
          <cell r="CI92"/>
          <cell r="CJ92"/>
          <cell r="CK92"/>
          <cell r="CL92"/>
          <cell r="CM92"/>
          <cell r="CN92"/>
          <cell r="CO92"/>
          <cell r="CP92"/>
          <cell r="CQ92"/>
          <cell r="CR92"/>
          <cell r="CS92"/>
          <cell r="CT92"/>
          <cell r="CU92"/>
          <cell r="CV92"/>
          <cell r="CW92"/>
          <cell r="CX92"/>
          <cell r="CY92"/>
          <cell r="CZ92"/>
          <cell r="DA92"/>
          <cell r="DB92"/>
          <cell r="DC92"/>
          <cell r="DD92"/>
          <cell r="DE92"/>
          <cell r="DF92"/>
          <cell r="DG92"/>
          <cell r="DH92"/>
          <cell r="DI92"/>
          <cell r="DJ92"/>
          <cell r="DK92"/>
          <cell r="DL92"/>
          <cell r="DM92"/>
          <cell r="DN92"/>
          <cell r="DO92"/>
          <cell r="DP92"/>
          <cell r="DQ92"/>
          <cell r="DR92"/>
          <cell r="DS92"/>
          <cell r="DT92"/>
          <cell r="DU92"/>
          <cell r="DV92">
            <v>0</v>
          </cell>
          <cell r="DW92"/>
          <cell r="DX92"/>
          <cell r="DY92"/>
          <cell r="DZ92"/>
          <cell r="EA92"/>
          <cell r="EB92"/>
          <cell r="EC92"/>
          <cell r="ED92">
            <v>0</v>
          </cell>
          <cell r="EE92"/>
          <cell r="EF92"/>
          <cell r="EG92">
            <v>0</v>
          </cell>
          <cell r="EH92">
            <v>0</v>
          </cell>
          <cell r="EI92"/>
          <cell r="EJ92"/>
          <cell r="EK92"/>
          <cell r="EL92"/>
          <cell r="EM92"/>
          <cell r="EN92"/>
          <cell r="EO92"/>
          <cell r="EP92"/>
          <cell r="EQ92"/>
          <cell r="ER92"/>
          <cell r="ES92"/>
          <cell r="ET92"/>
          <cell r="EU92"/>
          <cell r="EV92"/>
          <cell r="EW92"/>
          <cell r="EX92"/>
          <cell r="EY92"/>
          <cell r="EZ92"/>
          <cell r="FA92"/>
          <cell r="FB92"/>
          <cell r="FC92"/>
          <cell r="FD92"/>
          <cell r="FE92"/>
          <cell r="FF92"/>
          <cell r="FG92"/>
          <cell r="FH92"/>
          <cell r="FI92">
            <v>0</v>
          </cell>
          <cell r="FJ92"/>
          <cell r="FK92">
            <v>30000</v>
          </cell>
        </row>
        <row r="93">
          <cell r="A93" t="str">
            <v>NTSMHF.com</v>
          </cell>
          <cell r="B93"/>
          <cell r="C93"/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>
            <v>0</v>
          </cell>
          <cell r="BF93">
            <v>950</v>
          </cell>
          <cell r="BG93"/>
          <cell r="BH93"/>
          <cell r="BI93">
            <v>0</v>
          </cell>
          <cell r="BJ93"/>
          <cell r="BK93"/>
          <cell r="BL93">
            <v>0</v>
          </cell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  <cell r="CE93"/>
          <cell r="CF93">
            <v>0</v>
          </cell>
          <cell r="CG93"/>
          <cell r="CH93"/>
          <cell r="CI93"/>
          <cell r="CJ93"/>
          <cell r="CK93"/>
          <cell r="CL93"/>
          <cell r="CM93"/>
          <cell r="CN93"/>
          <cell r="CO93"/>
          <cell r="CP93"/>
          <cell r="CQ93"/>
          <cell r="CR93"/>
          <cell r="CS93"/>
          <cell r="CT93"/>
          <cell r="CU93"/>
          <cell r="CV93"/>
          <cell r="CW93"/>
          <cell r="CX93"/>
          <cell r="CY93"/>
          <cell r="CZ93"/>
          <cell r="DA93"/>
          <cell r="DB93"/>
          <cell r="DC93"/>
          <cell r="DD93"/>
          <cell r="DE93"/>
          <cell r="DF93"/>
          <cell r="DG93"/>
          <cell r="DH93"/>
          <cell r="DI93"/>
          <cell r="DJ93"/>
          <cell r="DK93"/>
          <cell r="DL93"/>
          <cell r="DM93"/>
          <cell r="DN93"/>
          <cell r="DO93"/>
          <cell r="DP93"/>
          <cell r="DQ93"/>
          <cell r="DR93"/>
          <cell r="DS93"/>
          <cell r="DT93"/>
          <cell r="DU93"/>
          <cell r="DV93">
            <v>0</v>
          </cell>
          <cell r="DW93"/>
          <cell r="DX93"/>
          <cell r="DY93"/>
          <cell r="DZ93"/>
          <cell r="EA93"/>
          <cell r="EB93"/>
          <cell r="EC93"/>
          <cell r="ED93">
            <v>0</v>
          </cell>
          <cell r="EE93"/>
          <cell r="EF93"/>
          <cell r="EG93">
            <v>0</v>
          </cell>
          <cell r="EH93">
            <v>0</v>
          </cell>
          <cell r="EI93"/>
          <cell r="EJ93"/>
          <cell r="EK93"/>
          <cell r="EL93"/>
          <cell r="EM93"/>
          <cell r="EN93"/>
          <cell r="EO93"/>
          <cell r="EP93"/>
          <cell r="EQ93"/>
          <cell r="ER93"/>
          <cell r="ES93"/>
          <cell r="ET93"/>
          <cell r="EU93"/>
          <cell r="EV93"/>
          <cell r="EW93"/>
          <cell r="EX93"/>
          <cell r="EY93"/>
          <cell r="EZ93"/>
          <cell r="FA93"/>
          <cell r="FB93"/>
          <cell r="FC93"/>
          <cell r="FD93"/>
          <cell r="FE93"/>
          <cell r="FF93"/>
          <cell r="FG93"/>
          <cell r="FH93"/>
          <cell r="FI93">
            <v>0</v>
          </cell>
          <cell r="FJ93"/>
          <cell r="FK93">
            <v>950</v>
          </cell>
        </row>
        <row r="94">
          <cell r="A94" t="str">
            <v>Proficiency</v>
          </cell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/>
          <cell r="P94"/>
          <cell r="Q94"/>
          <cell r="R94"/>
          <cell r="S94"/>
          <cell r="T94"/>
          <cell r="U94"/>
          <cell r="V94"/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>
            <v>0</v>
          </cell>
          <cell r="BF94">
            <v>700</v>
          </cell>
          <cell r="BG94"/>
          <cell r="BH94"/>
          <cell r="BI94">
            <v>0</v>
          </cell>
          <cell r="BJ94"/>
          <cell r="BK94"/>
          <cell r="BL94">
            <v>0</v>
          </cell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  <cell r="CE94"/>
          <cell r="CF94">
            <v>0</v>
          </cell>
          <cell r="CG94"/>
          <cell r="CH94"/>
          <cell r="CI94"/>
          <cell r="CJ94"/>
          <cell r="CK94"/>
          <cell r="CL94"/>
          <cell r="CM94"/>
          <cell r="CN94"/>
          <cell r="CO94"/>
          <cell r="CP94"/>
          <cell r="CQ94"/>
          <cell r="CR94"/>
          <cell r="CS94"/>
          <cell r="CT94"/>
          <cell r="CU94"/>
          <cell r="CV94"/>
          <cell r="CW94"/>
          <cell r="CX94"/>
          <cell r="CY94"/>
          <cell r="CZ94"/>
          <cell r="DA94"/>
          <cell r="DB94"/>
          <cell r="DC94"/>
          <cell r="DD94"/>
          <cell r="DE94"/>
          <cell r="DF94"/>
          <cell r="DG94"/>
          <cell r="DH94"/>
          <cell r="DI94"/>
          <cell r="DJ94"/>
          <cell r="DK94"/>
          <cell r="DL94"/>
          <cell r="DM94"/>
          <cell r="DN94"/>
          <cell r="DO94"/>
          <cell r="DP94"/>
          <cell r="DQ94"/>
          <cell r="DR94"/>
          <cell r="DS94"/>
          <cell r="DT94"/>
          <cell r="DU94"/>
          <cell r="DV94">
            <v>0</v>
          </cell>
          <cell r="DW94"/>
          <cell r="DX94"/>
          <cell r="DY94"/>
          <cell r="DZ94"/>
          <cell r="EA94"/>
          <cell r="EB94"/>
          <cell r="EC94"/>
          <cell r="ED94">
            <v>0</v>
          </cell>
          <cell r="EE94"/>
          <cell r="EF94"/>
          <cell r="EG94">
            <v>0</v>
          </cell>
          <cell r="EH94">
            <v>0</v>
          </cell>
          <cell r="EI94"/>
          <cell r="EJ94"/>
          <cell r="EK94"/>
          <cell r="EL94"/>
          <cell r="EM94"/>
          <cell r="EN94"/>
          <cell r="EO94"/>
          <cell r="EP94"/>
          <cell r="EQ94"/>
          <cell r="ER94"/>
          <cell r="ES94"/>
          <cell r="ET94"/>
          <cell r="EU94"/>
          <cell r="EV94"/>
          <cell r="EW94"/>
          <cell r="EX94"/>
          <cell r="EY94"/>
          <cell r="EZ94"/>
          <cell r="FA94"/>
          <cell r="FB94"/>
          <cell r="FC94"/>
          <cell r="FD94"/>
          <cell r="FE94"/>
          <cell r="FF94"/>
          <cell r="FG94"/>
          <cell r="FH94"/>
          <cell r="FI94">
            <v>0</v>
          </cell>
          <cell r="FJ94"/>
          <cell r="FK94">
            <v>700</v>
          </cell>
        </row>
        <row r="95">
          <cell r="A95" t="str">
            <v>Propstream</v>
          </cell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>
            <v>0</v>
          </cell>
          <cell r="BF95">
            <v>2165.16</v>
          </cell>
          <cell r="BG95"/>
          <cell r="BH95"/>
          <cell r="BI95">
            <v>0</v>
          </cell>
          <cell r="BJ95"/>
          <cell r="BK95"/>
          <cell r="BL95">
            <v>0</v>
          </cell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  <cell r="CE95"/>
          <cell r="CF95">
            <v>0</v>
          </cell>
          <cell r="CG95"/>
          <cell r="CH95"/>
          <cell r="CI95"/>
          <cell r="CJ95"/>
          <cell r="CK95"/>
          <cell r="CL95"/>
          <cell r="CM95"/>
          <cell r="CN95"/>
          <cell r="CO95"/>
          <cell r="CP95"/>
          <cell r="CQ95"/>
          <cell r="CR95"/>
          <cell r="CS95"/>
          <cell r="CT95"/>
          <cell r="CU95"/>
          <cell r="CV95"/>
          <cell r="CW95"/>
          <cell r="CX95"/>
          <cell r="CY95"/>
          <cell r="CZ95"/>
          <cell r="DA95"/>
          <cell r="DB95"/>
          <cell r="DC95"/>
          <cell r="DD95"/>
          <cell r="DE95"/>
          <cell r="DF95"/>
          <cell r="DG95"/>
          <cell r="DH95"/>
          <cell r="DI95"/>
          <cell r="DJ95"/>
          <cell r="DK95"/>
          <cell r="DL95"/>
          <cell r="DM95"/>
          <cell r="DN95"/>
          <cell r="DO95"/>
          <cell r="DP95"/>
          <cell r="DQ95"/>
          <cell r="DR95"/>
          <cell r="DS95"/>
          <cell r="DT95"/>
          <cell r="DU95"/>
          <cell r="DV95">
            <v>0</v>
          </cell>
          <cell r="DW95"/>
          <cell r="DX95"/>
          <cell r="DY95"/>
          <cell r="DZ95"/>
          <cell r="EA95"/>
          <cell r="EB95"/>
          <cell r="EC95"/>
          <cell r="ED95">
            <v>0</v>
          </cell>
          <cell r="EE95"/>
          <cell r="EF95"/>
          <cell r="EG95">
            <v>0</v>
          </cell>
          <cell r="EH95">
            <v>0</v>
          </cell>
          <cell r="EI95"/>
          <cell r="EJ95"/>
          <cell r="EK95"/>
          <cell r="EL95"/>
          <cell r="EM95"/>
          <cell r="EN95"/>
          <cell r="EO95"/>
          <cell r="EP95"/>
          <cell r="EQ95"/>
          <cell r="ER95"/>
          <cell r="ES95"/>
          <cell r="ET95"/>
          <cell r="EU95"/>
          <cell r="EV95"/>
          <cell r="EW95"/>
          <cell r="EX95"/>
          <cell r="EY95"/>
          <cell r="EZ95"/>
          <cell r="FA95"/>
          <cell r="FB95"/>
          <cell r="FC95"/>
          <cell r="FD95"/>
          <cell r="FE95"/>
          <cell r="FF95"/>
          <cell r="FG95"/>
          <cell r="FH95"/>
          <cell r="FI95">
            <v>0</v>
          </cell>
          <cell r="FJ95"/>
          <cell r="FK95">
            <v>2165.16</v>
          </cell>
        </row>
        <row r="96">
          <cell r="A96" t="str">
            <v>REI Success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>
            <v>0</v>
          </cell>
          <cell r="BF96">
            <v>40001.370000000003</v>
          </cell>
          <cell r="BG96"/>
          <cell r="BH96"/>
          <cell r="BI96">
            <v>0</v>
          </cell>
          <cell r="BJ96"/>
          <cell r="BK96"/>
          <cell r="BL96">
            <v>0</v>
          </cell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  <cell r="CE96"/>
          <cell r="CF96">
            <v>0</v>
          </cell>
          <cell r="CG96"/>
          <cell r="CH96"/>
          <cell r="CI96"/>
          <cell r="CJ96"/>
          <cell r="CK96"/>
          <cell r="CL96"/>
          <cell r="CM96"/>
          <cell r="CN96"/>
          <cell r="CO96"/>
          <cell r="CP96"/>
          <cell r="CQ96"/>
          <cell r="CR96"/>
          <cell r="CS96"/>
          <cell r="CT96"/>
          <cell r="CU96"/>
          <cell r="CV96"/>
          <cell r="CW96"/>
          <cell r="CX96"/>
          <cell r="CY96"/>
          <cell r="CZ96"/>
          <cell r="DA96"/>
          <cell r="DB96"/>
          <cell r="DC96"/>
          <cell r="DD96"/>
          <cell r="DE96"/>
          <cell r="DF96"/>
          <cell r="DG96"/>
          <cell r="DH96"/>
          <cell r="DI96"/>
          <cell r="DJ96"/>
          <cell r="DK96"/>
          <cell r="DL96"/>
          <cell r="DM96"/>
          <cell r="DN96"/>
          <cell r="DO96"/>
          <cell r="DP96"/>
          <cell r="DQ96"/>
          <cell r="DR96"/>
          <cell r="DS96"/>
          <cell r="DT96"/>
          <cell r="DU96"/>
          <cell r="DV96">
            <v>0</v>
          </cell>
          <cell r="DW96"/>
          <cell r="DX96"/>
          <cell r="DY96"/>
          <cell r="DZ96"/>
          <cell r="EA96"/>
          <cell r="EB96"/>
          <cell r="EC96"/>
          <cell r="ED96">
            <v>0</v>
          </cell>
          <cell r="EE96"/>
          <cell r="EF96"/>
          <cell r="EG96">
            <v>0</v>
          </cell>
          <cell r="EH96">
            <v>0</v>
          </cell>
          <cell r="EI96"/>
          <cell r="EJ96"/>
          <cell r="EK96"/>
          <cell r="EL96"/>
          <cell r="EM96"/>
          <cell r="EN96"/>
          <cell r="EO96"/>
          <cell r="EP96"/>
          <cell r="EQ96"/>
          <cell r="ER96"/>
          <cell r="ES96"/>
          <cell r="ET96"/>
          <cell r="EU96"/>
          <cell r="EV96"/>
          <cell r="EW96"/>
          <cell r="EX96"/>
          <cell r="EY96"/>
          <cell r="EZ96"/>
          <cell r="FA96"/>
          <cell r="FB96"/>
          <cell r="FC96"/>
          <cell r="FD96"/>
          <cell r="FE96"/>
          <cell r="FF96"/>
          <cell r="FG96"/>
          <cell r="FH96"/>
          <cell r="FI96">
            <v>0</v>
          </cell>
          <cell r="FJ96"/>
          <cell r="FK96">
            <v>40001.370000000003</v>
          </cell>
        </row>
        <row r="97">
          <cell r="A97" t="str">
            <v>Subcontractors</v>
          </cell>
          <cell r="B97"/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>
            <v>0</v>
          </cell>
          <cell r="BF97">
            <v>5195</v>
          </cell>
          <cell r="BG97"/>
          <cell r="BH97"/>
          <cell r="BI97">
            <v>0</v>
          </cell>
          <cell r="BJ97"/>
          <cell r="BK97"/>
          <cell r="BL97">
            <v>0</v>
          </cell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  <cell r="CE97"/>
          <cell r="CF97">
            <v>0</v>
          </cell>
          <cell r="CG97"/>
          <cell r="CH97"/>
          <cell r="CI97"/>
          <cell r="CJ97"/>
          <cell r="CK97"/>
          <cell r="CL97"/>
          <cell r="CM97"/>
          <cell r="CN97"/>
          <cell r="CO97"/>
          <cell r="CP97"/>
          <cell r="CQ97"/>
          <cell r="CR97"/>
          <cell r="CS97"/>
          <cell r="CT97"/>
          <cell r="CU97"/>
          <cell r="CV97"/>
          <cell r="CW97"/>
          <cell r="CX97"/>
          <cell r="CY97"/>
          <cell r="CZ97"/>
          <cell r="DA97"/>
          <cell r="DB97"/>
          <cell r="DC97"/>
          <cell r="DD97"/>
          <cell r="DE97"/>
          <cell r="DF97"/>
          <cell r="DG97"/>
          <cell r="DH97"/>
          <cell r="DI97"/>
          <cell r="DJ97"/>
          <cell r="DK97"/>
          <cell r="DL97"/>
          <cell r="DM97"/>
          <cell r="DN97"/>
          <cell r="DO97"/>
          <cell r="DP97"/>
          <cell r="DQ97"/>
          <cell r="DR97"/>
          <cell r="DS97"/>
          <cell r="DT97"/>
          <cell r="DU97"/>
          <cell r="DV97">
            <v>0</v>
          </cell>
          <cell r="DW97"/>
          <cell r="DX97"/>
          <cell r="DY97"/>
          <cell r="DZ97"/>
          <cell r="EA97"/>
          <cell r="EB97"/>
          <cell r="EC97"/>
          <cell r="ED97">
            <v>0</v>
          </cell>
          <cell r="EE97"/>
          <cell r="EF97"/>
          <cell r="EG97">
            <v>0</v>
          </cell>
          <cell r="EH97">
            <v>0</v>
          </cell>
          <cell r="EI97"/>
          <cell r="EJ97"/>
          <cell r="EK97"/>
          <cell r="EL97"/>
          <cell r="EM97"/>
          <cell r="EN97"/>
          <cell r="EO97"/>
          <cell r="EP97"/>
          <cell r="EQ97"/>
          <cell r="ER97"/>
          <cell r="ES97"/>
          <cell r="ET97"/>
          <cell r="EU97"/>
          <cell r="EV97"/>
          <cell r="EW97"/>
          <cell r="EX97"/>
          <cell r="EY97"/>
          <cell r="EZ97"/>
          <cell r="FA97"/>
          <cell r="FB97"/>
          <cell r="FC97"/>
          <cell r="FD97"/>
          <cell r="FE97"/>
          <cell r="FF97"/>
          <cell r="FG97"/>
          <cell r="FH97"/>
          <cell r="FI97">
            <v>0</v>
          </cell>
          <cell r="FJ97"/>
          <cell r="FK97">
            <v>5195</v>
          </cell>
        </row>
        <row r="98">
          <cell r="A98" t="str">
            <v>Sure Messenger Solutions</v>
          </cell>
          <cell r="B98"/>
          <cell r="C98"/>
          <cell r="D98"/>
          <cell r="E98"/>
          <cell r="F98"/>
          <cell r="G98"/>
          <cell r="H98"/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>
            <v>0</v>
          </cell>
          <cell r="BF98">
            <v>51700</v>
          </cell>
          <cell r="BG98"/>
          <cell r="BH98"/>
          <cell r="BI98">
            <v>0</v>
          </cell>
          <cell r="BJ98"/>
          <cell r="BK98"/>
          <cell r="BL98">
            <v>0</v>
          </cell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>
            <v>189.9</v>
          </cell>
          <cell r="BZ98"/>
          <cell r="CA98"/>
          <cell r="CB98"/>
          <cell r="CC98"/>
          <cell r="CD98"/>
          <cell r="CE98"/>
          <cell r="CF98">
            <v>189.9</v>
          </cell>
          <cell r="CG98"/>
          <cell r="CH98"/>
          <cell r="CI98"/>
          <cell r="CJ98"/>
          <cell r="CK98"/>
          <cell r="CL98"/>
          <cell r="CM98"/>
          <cell r="CN98"/>
          <cell r="CO98"/>
          <cell r="CP98"/>
          <cell r="CQ98"/>
          <cell r="CR98"/>
          <cell r="CS98"/>
          <cell r="CT98"/>
          <cell r="CU98"/>
          <cell r="CV98"/>
          <cell r="CW98"/>
          <cell r="CX98"/>
          <cell r="CY98"/>
          <cell r="CZ98"/>
          <cell r="DA98"/>
          <cell r="DB98"/>
          <cell r="DC98"/>
          <cell r="DD98"/>
          <cell r="DE98"/>
          <cell r="DF98"/>
          <cell r="DG98"/>
          <cell r="DH98"/>
          <cell r="DI98"/>
          <cell r="DJ98"/>
          <cell r="DK98"/>
          <cell r="DL98"/>
          <cell r="DM98"/>
          <cell r="DN98"/>
          <cell r="DO98"/>
          <cell r="DP98"/>
          <cell r="DQ98"/>
          <cell r="DR98"/>
          <cell r="DS98"/>
          <cell r="DT98"/>
          <cell r="DU98"/>
          <cell r="DV98">
            <v>0</v>
          </cell>
          <cell r="DW98"/>
          <cell r="DX98"/>
          <cell r="DY98"/>
          <cell r="DZ98"/>
          <cell r="EA98"/>
          <cell r="EB98"/>
          <cell r="EC98"/>
          <cell r="ED98">
            <v>0</v>
          </cell>
          <cell r="EE98"/>
          <cell r="EF98"/>
          <cell r="EG98">
            <v>0</v>
          </cell>
          <cell r="EH98">
            <v>0</v>
          </cell>
          <cell r="EI98"/>
          <cell r="EJ98"/>
          <cell r="EK98"/>
          <cell r="EL98"/>
          <cell r="EM98"/>
          <cell r="EN98"/>
          <cell r="EO98"/>
          <cell r="EP98"/>
          <cell r="EQ98"/>
          <cell r="ER98"/>
          <cell r="ES98"/>
          <cell r="ET98"/>
          <cell r="EU98"/>
          <cell r="EV98"/>
          <cell r="EW98"/>
          <cell r="EX98"/>
          <cell r="EY98"/>
          <cell r="EZ98"/>
          <cell r="FA98"/>
          <cell r="FB98"/>
          <cell r="FC98"/>
          <cell r="FD98"/>
          <cell r="FE98"/>
          <cell r="FF98"/>
          <cell r="FG98"/>
          <cell r="FH98"/>
          <cell r="FI98">
            <v>0</v>
          </cell>
          <cell r="FJ98"/>
          <cell r="FK98">
            <v>51889.9</v>
          </cell>
        </row>
        <row r="99">
          <cell r="A99" t="str">
            <v>Vestor</v>
          </cell>
          <cell r="B99"/>
          <cell r="C99"/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>
            <v>0</v>
          </cell>
          <cell r="BF99">
            <v>12500</v>
          </cell>
          <cell r="BG99"/>
          <cell r="BH99"/>
          <cell r="BI99">
            <v>0</v>
          </cell>
          <cell r="BJ99"/>
          <cell r="BK99"/>
          <cell r="BL99">
            <v>0</v>
          </cell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  <cell r="CE99"/>
          <cell r="CF99">
            <v>0</v>
          </cell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  <cell r="CR99"/>
          <cell r="CS99"/>
          <cell r="CT99"/>
          <cell r="CU99"/>
          <cell r="CV99"/>
          <cell r="CW99"/>
          <cell r="CX99"/>
          <cell r="CY99"/>
          <cell r="CZ99"/>
          <cell r="DA99"/>
          <cell r="DB99"/>
          <cell r="DC99"/>
          <cell r="DD99"/>
          <cell r="DE99"/>
          <cell r="DF99"/>
          <cell r="DG99"/>
          <cell r="DH99"/>
          <cell r="DI99"/>
          <cell r="DJ99"/>
          <cell r="DK99"/>
          <cell r="DL99"/>
          <cell r="DM99"/>
          <cell r="DN99"/>
          <cell r="DO99"/>
          <cell r="DP99"/>
          <cell r="DQ99"/>
          <cell r="DR99"/>
          <cell r="DS99"/>
          <cell r="DT99"/>
          <cell r="DU99"/>
          <cell r="DV99">
            <v>0</v>
          </cell>
          <cell r="DW99"/>
          <cell r="DX99"/>
          <cell r="DY99"/>
          <cell r="DZ99"/>
          <cell r="EA99"/>
          <cell r="EB99"/>
          <cell r="EC99"/>
          <cell r="ED99">
            <v>0</v>
          </cell>
          <cell r="EE99"/>
          <cell r="EF99"/>
          <cell r="EG99">
            <v>0</v>
          </cell>
          <cell r="EH99">
            <v>0</v>
          </cell>
          <cell r="EI99"/>
          <cell r="EJ99"/>
          <cell r="EK99"/>
          <cell r="EL99"/>
          <cell r="EM99"/>
          <cell r="EN99"/>
          <cell r="EO99"/>
          <cell r="EP99"/>
          <cell r="EQ99"/>
          <cell r="ER99"/>
          <cell r="ES99"/>
          <cell r="ET99"/>
          <cell r="EU99"/>
          <cell r="EV99"/>
          <cell r="EW99"/>
          <cell r="EX99"/>
          <cell r="EY99"/>
          <cell r="EZ99"/>
          <cell r="FA99"/>
          <cell r="FB99"/>
          <cell r="FC99"/>
          <cell r="FD99"/>
          <cell r="FE99"/>
          <cell r="FF99"/>
          <cell r="FG99"/>
          <cell r="FH99"/>
          <cell r="FI99">
            <v>0</v>
          </cell>
          <cell r="FJ99"/>
          <cell r="FK99">
            <v>12500</v>
          </cell>
        </row>
        <row r="100">
          <cell r="A100" t="str">
            <v>Total Marketing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350747.57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189.9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189.9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T100">
            <v>0</v>
          </cell>
          <cell r="EU100">
            <v>0</v>
          </cell>
          <cell r="EV100">
            <v>0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0</v>
          </cell>
          <cell r="FH100">
            <v>0</v>
          </cell>
          <cell r="FI100">
            <v>0</v>
          </cell>
          <cell r="FJ100">
            <v>415.39</v>
          </cell>
          <cell r="FK100">
            <v>351352.86</v>
          </cell>
        </row>
        <row r="101">
          <cell r="A101" t="str">
            <v>Operating Expenses</v>
          </cell>
          <cell r="B101"/>
          <cell r="C101"/>
          <cell r="D101"/>
          <cell r="E101"/>
          <cell r="F101"/>
          <cell r="G101"/>
          <cell r="H101"/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  <cell r="S101"/>
          <cell r="T101"/>
          <cell r="U101"/>
          <cell r="V101"/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>
            <v>0</v>
          </cell>
          <cell r="BF101"/>
          <cell r="BG101"/>
          <cell r="BH101"/>
          <cell r="BI101">
            <v>0</v>
          </cell>
          <cell r="BJ101"/>
          <cell r="BK101"/>
          <cell r="BL101">
            <v>0</v>
          </cell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  <cell r="CE101"/>
          <cell r="CF101">
            <v>0</v>
          </cell>
          <cell r="CG101"/>
          <cell r="CH101"/>
          <cell r="CI101"/>
          <cell r="CJ101"/>
          <cell r="CK101"/>
          <cell r="CL101"/>
          <cell r="CM101"/>
          <cell r="CN101"/>
          <cell r="CO101"/>
          <cell r="CP101"/>
          <cell r="CQ101"/>
          <cell r="CR101"/>
          <cell r="CS101"/>
          <cell r="CT101"/>
          <cell r="CU101"/>
          <cell r="CV101"/>
          <cell r="CW101"/>
          <cell r="CX101"/>
          <cell r="CY101"/>
          <cell r="CZ101"/>
          <cell r="DA101"/>
          <cell r="DB101"/>
          <cell r="DC101"/>
          <cell r="DD101"/>
          <cell r="DE101"/>
          <cell r="DF101"/>
          <cell r="DG101"/>
          <cell r="DH101"/>
          <cell r="DI101"/>
          <cell r="DJ101"/>
          <cell r="DK101"/>
          <cell r="DL101"/>
          <cell r="DM101"/>
          <cell r="DN101"/>
          <cell r="DO101"/>
          <cell r="DP101"/>
          <cell r="DQ101"/>
          <cell r="DR101"/>
          <cell r="DS101"/>
          <cell r="DT101"/>
          <cell r="DU101"/>
          <cell r="DV101">
            <v>0</v>
          </cell>
          <cell r="DW101"/>
          <cell r="DX101"/>
          <cell r="DY101"/>
          <cell r="DZ101"/>
          <cell r="EA101"/>
          <cell r="EB101"/>
          <cell r="EC101"/>
          <cell r="ED101">
            <v>0</v>
          </cell>
          <cell r="EE101"/>
          <cell r="EF101"/>
          <cell r="EG101">
            <v>0</v>
          </cell>
          <cell r="EH101">
            <v>0</v>
          </cell>
          <cell r="EI101"/>
          <cell r="EJ101"/>
          <cell r="EK101"/>
          <cell r="EL101"/>
          <cell r="EM101"/>
          <cell r="EN101"/>
          <cell r="EO101"/>
          <cell r="EP101"/>
          <cell r="EQ101"/>
          <cell r="ER101"/>
          <cell r="ES101"/>
          <cell r="ET101"/>
          <cell r="EU101"/>
          <cell r="EV101"/>
          <cell r="EW101"/>
          <cell r="EX101"/>
          <cell r="EY101"/>
          <cell r="EZ101"/>
          <cell r="FA101"/>
          <cell r="FB101"/>
          <cell r="FC101"/>
          <cell r="FD101"/>
          <cell r="FE101"/>
          <cell r="FF101"/>
          <cell r="FG101"/>
          <cell r="FH101"/>
          <cell r="FI101">
            <v>0</v>
          </cell>
          <cell r="FJ101"/>
          <cell r="FK101">
            <v>0</v>
          </cell>
        </row>
        <row r="102">
          <cell r="A102" t="str">
            <v>Auto and Travel</v>
          </cell>
          <cell r="B102"/>
          <cell r="C102"/>
          <cell r="D102"/>
          <cell r="E102"/>
          <cell r="F102"/>
          <cell r="G102"/>
          <cell r="H102"/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>
            <v>0</v>
          </cell>
          <cell r="BF102">
            <v>2099.59</v>
          </cell>
          <cell r="BG102"/>
          <cell r="BH102"/>
          <cell r="BI102">
            <v>0</v>
          </cell>
          <cell r="BJ102"/>
          <cell r="BK102"/>
          <cell r="BL102">
            <v>0</v>
          </cell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  <cell r="CE102"/>
          <cell r="CF102">
            <v>0</v>
          </cell>
          <cell r="CG102"/>
          <cell r="CH102"/>
          <cell r="CI102"/>
          <cell r="CJ102"/>
          <cell r="CK102"/>
          <cell r="CL102"/>
          <cell r="CM102"/>
          <cell r="CN102"/>
          <cell r="CO102"/>
          <cell r="CP102"/>
          <cell r="CQ102"/>
          <cell r="CR102"/>
          <cell r="CS102"/>
          <cell r="CT102"/>
          <cell r="CU102"/>
          <cell r="CV102"/>
          <cell r="CW102"/>
          <cell r="CX102"/>
          <cell r="CY102"/>
          <cell r="CZ102"/>
          <cell r="DA102"/>
          <cell r="DB102"/>
          <cell r="DC102"/>
          <cell r="DD102"/>
          <cell r="DE102"/>
          <cell r="DF102"/>
          <cell r="DG102"/>
          <cell r="DH102"/>
          <cell r="DI102"/>
          <cell r="DJ102"/>
          <cell r="DK102"/>
          <cell r="DL102"/>
          <cell r="DM102"/>
          <cell r="DN102"/>
          <cell r="DO102"/>
          <cell r="DP102"/>
          <cell r="DQ102"/>
          <cell r="DR102"/>
          <cell r="DS102"/>
          <cell r="DT102"/>
          <cell r="DU102"/>
          <cell r="DV102">
            <v>0</v>
          </cell>
          <cell r="DW102"/>
          <cell r="DX102"/>
          <cell r="DY102"/>
          <cell r="DZ102"/>
          <cell r="EA102"/>
          <cell r="EB102"/>
          <cell r="EC102"/>
          <cell r="ED102">
            <v>0</v>
          </cell>
          <cell r="EE102"/>
          <cell r="EF102"/>
          <cell r="EG102">
            <v>0</v>
          </cell>
          <cell r="EH102">
            <v>0</v>
          </cell>
          <cell r="EI102"/>
          <cell r="EJ102"/>
          <cell r="EK102"/>
          <cell r="EL102"/>
          <cell r="EM102"/>
          <cell r="EN102"/>
          <cell r="EO102"/>
          <cell r="EP102"/>
          <cell r="EQ102"/>
          <cell r="ER102"/>
          <cell r="ES102"/>
          <cell r="ET102"/>
          <cell r="EU102"/>
          <cell r="EV102"/>
          <cell r="EW102"/>
          <cell r="EX102"/>
          <cell r="EY102"/>
          <cell r="EZ102"/>
          <cell r="FA102"/>
          <cell r="FB102"/>
          <cell r="FC102"/>
          <cell r="FD102"/>
          <cell r="FE102"/>
          <cell r="FF102"/>
          <cell r="FG102"/>
          <cell r="FH102"/>
          <cell r="FI102">
            <v>0</v>
          </cell>
          <cell r="FJ102"/>
          <cell r="FK102">
            <v>2099.59</v>
          </cell>
        </row>
        <row r="103">
          <cell r="A103" t="str">
            <v>Accomodation</v>
          </cell>
          <cell r="B103"/>
          <cell r="C103"/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>
            <v>0</v>
          </cell>
          <cell r="BF103">
            <v>4892.29</v>
          </cell>
          <cell r="BG103"/>
          <cell r="BH103"/>
          <cell r="BI103">
            <v>0</v>
          </cell>
          <cell r="BJ103"/>
          <cell r="BK103"/>
          <cell r="BL103">
            <v>0</v>
          </cell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  <cell r="CE103"/>
          <cell r="CF103">
            <v>0</v>
          </cell>
          <cell r="CG103"/>
          <cell r="CH103"/>
          <cell r="CI103"/>
          <cell r="CJ103"/>
          <cell r="CK103"/>
          <cell r="CL103"/>
          <cell r="CM103"/>
          <cell r="CN103"/>
          <cell r="CO103"/>
          <cell r="CP103"/>
          <cell r="CQ103"/>
          <cell r="CR103"/>
          <cell r="CS103"/>
          <cell r="CT103"/>
          <cell r="CU103"/>
          <cell r="CV103"/>
          <cell r="CW103"/>
          <cell r="CX103"/>
          <cell r="CY103"/>
          <cell r="CZ103"/>
          <cell r="DA103"/>
          <cell r="DB103"/>
          <cell r="DC103"/>
          <cell r="DD103"/>
          <cell r="DE103"/>
          <cell r="DF103"/>
          <cell r="DG103"/>
          <cell r="DH103"/>
          <cell r="DI103"/>
          <cell r="DJ103"/>
          <cell r="DK103"/>
          <cell r="DL103"/>
          <cell r="DM103"/>
          <cell r="DN103"/>
          <cell r="DO103"/>
          <cell r="DP103"/>
          <cell r="DQ103"/>
          <cell r="DR103"/>
          <cell r="DS103"/>
          <cell r="DT103"/>
          <cell r="DU103"/>
          <cell r="DV103">
            <v>0</v>
          </cell>
          <cell r="DW103"/>
          <cell r="DX103"/>
          <cell r="DY103"/>
          <cell r="DZ103"/>
          <cell r="EA103"/>
          <cell r="EB103"/>
          <cell r="EC103"/>
          <cell r="ED103">
            <v>0</v>
          </cell>
          <cell r="EE103"/>
          <cell r="EF103"/>
          <cell r="EG103">
            <v>0</v>
          </cell>
          <cell r="EH103">
            <v>0</v>
          </cell>
          <cell r="EI103"/>
          <cell r="EJ103"/>
          <cell r="EK103"/>
          <cell r="EL103"/>
          <cell r="EM103"/>
          <cell r="EN103"/>
          <cell r="EO103"/>
          <cell r="EP103"/>
          <cell r="EQ103"/>
          <cell r="ER103"/>
          <cell r="ES103"/>
          <cell r="ET103"/>
          <cell r="EU103"/>
          <cell r="EV103"/>
          <cell r="EW103"/>
          <cell r="EX103"/>
          <cell r="EY103"/>
          <cell r="EZ103"/>
          <cell r="FA103"/>
          <cell r="FB103"/>
          <cell r="FC103"/>
          <cell r="FD103"/>
          <cell r="FE103"/>
          <cell r="FF103"/>
          <cell r="FG103"/>
          <cell r="FH103"/>
          <cell r="FI103">
            <v>0</v>
          </cell>
          <cell r="FJ103"/>
          <cell r="FK103">
            <v>4892.29</v>
          </cell>
        </row>
        <row r="104">
          <cell r="A104" t="str">
            <v>Airfare</v>
          </cell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>
            <v>0</v>
          </cell>
          <cell r="BF104">
            <v>5988.24</v>
          </cell>
          <cell r="BG104"/>
          <cell r="BH104"/>
          <cell r="BI104">
            <v>0</v>
          </cell>
          <cell r="BJ104"/>
          <cell r="BK104"/>
          <cell r="BL104">
            <v>0</v>
          </cell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  <cell r="CE104"/>
          <cell r="CF104">
            <v>0</v>
          </cell>
          <cell r="CG104"/>
          <cell r="CH104"/>
          <cell r="CI104"/>
          <cell r="CJ104"/>
          <cell r="CK104"/>
          <cell r="CL104"/>
          <cell r="CM104"/>
          <cell r="CN104"/>
          <cell r="CO104"/>
          <cell r="CP104"/>
          <cell r="CQ104"/>
          <cell r="CR104"/>
          <cell r="CS104"/>
          <cell r="CT104"/>
          <cell r="CU104"/>
          <cell r="CV104"/>
          <cell r="CW104"/>
          <cell r="CX104"/>
          <cell r="CY104"/>
          <cell r="CZ104"/>
          <cell r="DA104"/>
          <cell r="DB104"/>
          <cell r="DC104"/>
          <cell r="DD104"/>
          <cell r="DE104"/>
          <cell r="DF104"/>
          <cell r="DG104"/>
          <cell r="DH104"/>
          <cell r="DI104"/>
          <cell r="DJ104"/>
          <cell r="DK104"/>
          <cell r="DL104"/>
          <cell r="DM104"/>
          <cell r="DN104"/>
          <cell r="DO104"/>
          <cell r="DP104"/>
          <cell r="DQ104"/>
          <cell r="DR104"/>
          <cell r="DS104"/>
          <cell r="DT104"/>
          <cell r="DU104"/>
          <cell r="DV104">
            <v>0</v>
          </cell>
          <cell r="DW104"/>
          <cell r="DX104"/>
          <cell r="DY104"/>
          <cell r="DZ104"/>
          <cell r="EA104"/>
          <cell r="EB104"/>
          <cell r="EC104"/>
          <cell r="ED104">
            <v>0</v>
          </cell>
          <cell r="EE104"/>
          <cell r="EF104"/>
          <cell r="EG104">
            <v>0</v>
          </cell>
          <cell r="EH104">
            <v>0</v>
          </cell>
          <cell r="EI104"/>
          <cell r="EJ104"/>
          <cell r="EK104"/>
          <cell r="EL104"/>
          <cell r="EM104"/>
          <cell r="EN104"/>
          <cell r="EO104"/>
          <cell r="EP104"/>
          <cell r="EQ104"/>
          <cell r="ER104"/>
          <cell r="ES104"/>
          <cell r="ET104"/>
          <cell r="EU104"/>
          <cell r="EV104"/>
          <cell r="EW104"/>
          <cell r="EX104"/>
          <cell r="EY104"/>
          <cell r="EZ104"/>
          <cell r="FA104"/>
          <cell r="FB104"/>
          <cell r="FC104"/>
          <cell r="FD104"/>
          <cell r="FE104"/>
          <cell r="FF104"/>
          <cell r="FG104"/>
          <cell r="FH104"/>
          <cell r="FI104">
            <v>0</v>
          </cell>
          <cell r="FJ104"/>
          <cell r="FK104">
            <v>5988.24</v>
          </cell>
        </row>
        <row r="105">
          <cell r="A105" t="str">
            <v>Auto Lease</v>
          </cell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>
            <v>0</v>
          </cell>
          <cell r="BF105">
            <v>31313.39</v>
          </cell>
          <cell r="BG105"/>
          <cell r="BH105"/>
          <cell r="BI105">
            <v>0</v>
          </cell>
          <cell r="BJ105"/>
          <cell r="BK105"/>
          <cell r="BL105">
            <v>0</v>
          </cell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  <cell r="CE105"/>
          <cell r="CF105">
            <v>0</v>
          </cell>
          <cell r="CG105"/>
          <cell r="CH105"/>
          <cell r="CI105"/>
          <cell r="CJ105"/>
          <cell r="CK105"/>
          <cell r="CL105"/>
          <cell r="CM105"/>
          <cell r="CN105"/>
          <cell r="CO105"/>
          <cell r="CP105"/>
          <cell r="CQ105"/>
          <cell r="CR105"/>
          <cell r="CS105"/>
          <cell r="CT105"/>
          <cell r="CU105"/>
          <cell r="CV105"/>
          <cell r="CW105"/>
          <cell r="CX105"/>
          <cell r="CY105"/>
          <cell r="CZ105"/>
          <cell r="DA105"/>
          <cell r="DB105"/>
          <cell r="DC105"/>
          <cell r="DD105"/>
          <cell r="DE105"/>
          <cell r="DF105"/>
          <cell r="DG105"/>
          <cell r="DH105"/>
          <cell r="DI105"/>
          <cell r="DJ105"/>
          <cell r="DK105"/>
          <cell r="DL105"/>
          <cell r="DM105"/>
          <cell r="DN105"/>
          <cell r="DO105"/>
          <cell r="DP105"/>
          <cell r="DQ105"/>
          <cell r="DR105"/>
          <cell r="DS105"/>
          <cell r="DT105"/>
          <cell r="DU105"/>
          <cell r="DV105">
            <v>0</v>
          </cell>
          <cell r="DW105"/>
          <cell r="DX105"/>
          <cell r="DY105"/>
          <cell r="DZ105"/>
          <cell r="EA105"/>
          <cell r="EB105"/>
          <cell r="EC105"/>
          <cell r="ED105">
            <v>0</v>
          </cell>
          <cell r="EE105"/>
          <cell r="EF105"/>
          <cell r="EG105">
            <v>0</v>
          </cell>
          <cell r="EH105">
            <v>0</v>
          </cell>
          <cell r="EI105"/>
          <cell r="EJ105"/>
          <cell r="EK105"/>
          <cell r="EL105"/>
          <cell r="EM105"/>
          <cell r="EN105"/>
          <cell r="EO105"/>
          <cell r="EP105"/>
          <cell r="EQ105"/>
          <cell r="ER105"/>
          <cell r="ES105"/>
          <cell r="ET105"/>
          <cell r="EU105"/>
          <cell r="EV105"/>
          <cell r="EW105"/>
          <cell r="EX105"/>
          <cell r="EY105"/>
          <cell r="EZ105"/>
          <cell r="FA105"/>
          <cell r="FB105"/>
          <cell r="FC105"/>
          <cell r="FD105"/>
          <cell r="FE105"/>
          <cell r="FF105"/>
          <cell r="FG105"/>
          <cell r="FH105"/>
          <cell r="FI105">
            <v>0</v>
          </cell>
          <cell r="FJ105">
            <v>3221.98</v>
          </cell>
          <cell r="FK105">
            <v>34535.370000000003</v>
          </cell>
        </row>
        <row r="106">
          <cell r="A106" t="str">
            <v>Auto Repair &amp; Maintenance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F106"/>
          <cell r="AG106"/>
          <cell r="AH106"/>
          <cell r="AI106"/>
          <cell r="AJ106"/>
          <cell r="AK106"/>
          <cell r="AL106"/>
          <cell r="AM106"/>
          <cell r="AN106"/>
          <cell r="AO106"/>
          <cell r="AP106"/>
          <cell r="AQ106"/>
          <cell r="AR106"/>
          <cell r="AS106"/>
          <cell r="AT106"/>
          <cell r="AU106"/>
          <cell r="AV106"/>
          <cell r="AW106"/>
          <cell r="AX106"/>
          <cell r="AY106"/>
          <cell r="AZ106"/>
          <cell r="BA106"/>
          <cell r="BB106"/>
          <cell r="BC106"/>
          <cell r="BD106"/>
          <cell r="BE106">
            <v>0</v>
          </cell>
          <cell r="BF106">
            <v>3241.4</v>
          </cell>
          <cell r="BG106"/>
          <cell r="BH106"/>
          <cell r="BI106">
            <v>0</v>
          </cell>
          <cell r="BJ106"/>
          <cell r="BK106"/>
          <cell r="BL106">
            <v>0</v>
          </cell>
          <cell r="BM106"/>
          <cell r="BN106"/>
          <cell r="BO106"/>
          <cell r="BP106"/>
          <cell r="BQ106"/>
          <cell r="BR106"/>
          <cell r="BS106"/>
          <cell r="BT106"/>
          <cell r="BU106"/>
          <cell r="BV106"/>
          <cell r="BW106"/>
          <cell r="BX106"/>
          <cell r="BY106"/>
          <cell r="BZ106"/>
          <cell r="CA106"/>
          <cell r="CB106"/>
          <cell r="CC106"/>
          <cell r="CD106"/>
          <cell r="CE106"/>
          <cell r="CF106">
            <v>0</v>
          </cell>
          <cell r="CG106"/>
          <cell r="CH106"/>
          <cell r="CI106"/>
          <cell r="CJ106"/>
          <cell r="CK106"/>
          <cell r="CL106"/>
          <cell r="CM106"/>
          <cell r="CN106"/>
          <cell r="CO106"/>
          <cell r="CP106"/>
          <cell r="CQ106"/>
          <cell r="CR106"/>
          <cell r="CS106"/>
          <cell r="CT106"/>
          <cell r="CU106"/>
          <cell r="CV106"/>
          <cell r="CW106"/>
          <cell r="CX106"/>
          <cell r="CY106"/>
          <cell r="CZ106"/>
          <cell r="DA106"/>
          <cell r="DB106"/>
          <cell r="DC106"/>
          <cell r="DD106"/>
          <cell r="DE106"/>
          <cell r="DF106"/>
          <cell r="DG106"/>
          <cell r="DH106"/>
          <cell r="DI106"/>
          <cell r="DJ106"/>
          <cell r="DK106"/>
          <cell r="DL106"/>
          <cell r="DM106"/>
          <cell r="DN106"/>
          <cell r="DO106"/>
          <cell r="DP106"/>
          <cell r="DQ106"/>
          <cell r="DR106"/>
          <cell r="DS106"/>
          <cell r="DT106"/>
          <cell r="DU106"/>
          <cell r="DV106">
            <v>0</v>
          </cell>
          <cell r="DW106"/>
          <cell r="DX106"/>
          <cell r="DY106"/>
          <cell r="DZ106"/>
          <cell r="EA106"/>
          <cell r="EB106"/>
          <cell r="EC106"/>
          <cell r="ED106">
            <v>0</v>
          </cell>
          <cell r="EE106"/>
          <cell r="EF106"/>
          <cell r="EG106">
            <v>0</v>
          </cell>
          <cell r="EH106">
            <v>0</v>
          </cell>
          <cell r="EI106"/>
          <cell r="EJ106"/>
          <cell r="EK106"/>
          <cell r="EL106"/>
          <cell r="EM106"/>
          <cell r="EN106"/>
          <cell r="EO106"/>
          <cell r="EP106"/>
          <cell r="EQ106"/>
          <cell r="ER106"/>
          <cell r="ES106"/>
          <cell r="ET106"/>
          <cell r="EU106"/>
          <cell r="EV106"/>
          <cell r="EW106"/>
          <cell r="EX106"/>
          <cell r="EY106"/>
          <cell r="EZ106"/>
          <cell r="FA106"/>
          <cell r="FB106"/>
          <cell r="FC106"/>
          <cell r="FD106"/>
          <cell r="FE106"/>
          <cell r="FF106"/>
          <cell r="FG106"/>
          <cell r="FH106"/>
          <cell r="FI106">
            <v>0</v>
          </cell>
          <cell r="FJ106"/>
          <cell r="FK106">
            <v>3241.4</v>
          </cell>
        </row>
        <row r="107">
          <cell r="A107" t="str">
            <v>Fuel</v>
          </cell>
          <cell r="B107"/>
          <cell r="C107"/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/>
          <cell r="AF107"/>
          <cell r="AG107"/>
          <cell r="AH107"/>
          <cell r="AI107"/>
          <cell r="AJ107"/>
          <cell r="AK107"/>
          <cell r="AL107"/>
          <cell r="AM107"/>
          <cell r="AN107"/>
          <cell r="AO107"/>
          <cell r="AP107"/>
          <cell r="AQ107"/>
          <cell r="AR107"/>
          <cell r="AS107"/>
          <cell r="AT107"/>
          <cell r="AU107"/>
          <cell r="AV107"/>
          <cell r="AW107"/>
          <cell r="AX107"/>
          <cell r="AY107"/>
          <cell r="AZ107"/>
          <cell r="BA107"/>
          <cell r="BB107"/>
          <cell r="BC107"/>
          <cell r="BD107"/>
          <cell r="BE107">
            <v>0</v>
          </cell>
          <cell r="BF107">
            <v>4048.14</v>
          </cell>
          <cell r="BG107"/>
          <cell r="BH107"/>
          <cell r="BI107">
            <v>0</v>
          </cell>
          <cell r="BJ107"/>
          <cell r="BK107"/>
          <cell r="BL107">
            <v>0</v>
          </cell>
          <cell r="BM107"/>
          <cell r="BN107"/>
          <cell r="BO107"/>
          <cell r="BP107"/>
          <cell r="BQ107"/>
          <cell r="BR107"/>
          <cell r="BS107"/>
          <cell r="BT107"/>
          <cell r="BU107"/>
          <cell r="BV107"/>
          <cell r="BW107"/>
          <cell r="BX107"/>
          <cell r="BY107"/>
          <cell r="BZ107"/>
          <cell r="CA107"/>
          <cell r="CB107"/>
          <cell r="CC107"/>
          <cell r="CD107"/>
          <cell r="CE107"/>
          <cell r="CF107">
            <v>0</v>
          </cell>
          <cell r="CG107"/>
          <cell r="CH107"/>
          <cell r="CI107"/>
          <cell r="CJ107"/>
          <cell r="CK107"/>
          <cell r="CL107"/>
          <cell r="CM107"/>
          <cell r="CN107"/>
          <cell r="CO107"/>
          <cell r="CP107"/>
          <cell r="CQ107"/>
          <cell r="CR107"/>
          <cell r="CS107"/>
          <cell r="CT107"/>
          <cell r="CU107"/>
          <cell r="CV107"/>
          <cell r="CW107"/>
          <cell r="CX107"/>
          <cell r="CY107"/>
          <cell r="CZ107"/>
          <cell r="DA107"/>
          <cell r="DB107"/>
          <cell r="DC107"/>
          <cell r="DD107"/>
          <cell r="DE107"/>
          <cell r="DF107"/>
          <cell r="DG107"/>
          <cell r="DH107"/>
          <cell r="DI107"/>
          <cell r="DJ107"/>
          <cell r="DK107"/>
          <cell r="DL107"/>
          <cell r="DM107"/>
          <cell r="DN107"/>
          <cell r="DO107"/>
          <cell r="DP107"/>
          <cell r="DQ107"/>
          <cell r="DR107"/>
          <cell r="DS107"/>
          <cell r="DT107"/>
          <cell r="DU107"/>
          <cell r="DV107">
            <v>0</v>
          </cell>
          <cell r="DW107"/>
          <cell r="DX107"/>
          <cell r="DY107"/>
          <cell r="DZ107"/>
          <cell r="EA107"/>
          <cell r="EB107"/>
          <cell r="EC107"/>
          <cell r="ED107">
            <v>0</v>
          </cell>
          <cell r="EE107"/>
          <cell r="EF107"/>
          <cell r="EG107">
            <v>0</v>
          </cell>
          <cell r="EH107">
            <v>0</v>
          </cell>
          <cell r="EI107"/>
          <cell r="EJ107"/>
          <cell r="EK107"/>
          <cell r="EL107"/>
          <cell r="EM107"/>
          <cell r="EN107"/>
          <cell r="EO107"/>
          <cell r="EP107"/>
          <cell r="EQ107"/>
          <cell r="ER107"/>
          <cell r="ES107"/>
          <cell r="ET107"/>
          <cell r="EU107"/>
          <cell r="EV107"/>
          <cell r="EW107"/>
          <cell r="EX107"/>
          <cell r="EY107"/>
          <cell r="EZ107"/>
          <cell r="FA107"/>
          <cell r="FB107"/>
          <cell r="FC107"/>
          <cell r="FD107"/>
          <cell r="FE107"/>
          <cell r="FF107"/>
          <cell r="FG107"/>
          <cell r="FH107"/>
          <cell r="FI107">
            <v>0</v>
          </cell>
          <cell r="FJ107"/>
          <cell r="FK107">
            <v>4048.14</v>
          </cell>
        </row>
        <row r="108">
          <cell r="A108" t="str">
            <v>Mileage Reimbursement</v>
          </cell>
          <cell r="B108"/>
          <cell r="C108"/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/>
          <cell r="AF108"/>
          <cell r="AG108"/>
          <cell r="AH108"/>
          <cell r="AI108"/>
          <cell r="AJ108"/>
          <cell r="AK108"/>
          <cell r="AL108"/>
          <cell r="AM108"/>
          <cell r="AN108"/>
          <cell r="AO108"/>
          <cell r="AP108"/>
          <cell r="AQ108"/>
          <cell r="AR108"/>
          <cell r="AS108"/>
          <cell r="AT108"/>
          <cell r="AU108"/>
          <cell r="AV108"/>
          <cell r="AW108"/>
          <cell r="AX108"/>
          <cell r="AY108"/>
          <cell r="AZ108"/>
          <cell r="BA108"/>
          <cell r="BB108"/>
          <cell r="BC108"/>
          <cell r="BD108"/>
          <cell r="BE108">
            <v>0</v>
          </cell>
          <cell r="BF108">
            <v>3889.29</v>
          </cell>
          <cell r="BG108"/>
          <cell r="BH108"/>
          <cell r="BI108">
            <v>0</v>
          </cell>
          <cell r="BJ108"/>
          <cell r="BK108"/>
          <cell r="BL108">
            <v>0</v>
          </cell>
          <cell r="BM108"/>
          <cell r="BN108"/>
          <cell r="BO108"/>
          <cell r="BP108"/>
          <cell r="BQ108"/>
          <cell r="BR108"/>
          <cell r="BS108"/>
          <cell r="BT108"/>
          <cell r="BU108"/>
          <cell r="BV108"/>
          <cell r="BW108"/>
          <cell r="BX108"/>
          <cell r="BY108"/>
          <cell r="BZ108"/>
          <cell r="CA108"/>
          <cell r="CB108"/>
          <cell r="CC108"/>
          <cell r="CD108"/>
          <cell r="CE108"/>
          <cell r="CF108">
            <v>0</v>
          </cell>
          <cell r="CG108"/>
          <cell r="CH108"/>
          <cell r="CI108"/>
          <cell r="CJ108"/>
          <cell r="CK108"/>
          <cell r="CL108"/>
          <cell r="CM108"/>
          <cell r="CN108"/>
          <cell r="CO108"/>
          <cell r="CP108"/>
          <cell r="CQ108"/>
          <cell r="CR108"/>
          <cell r="CS108"/>
          <cell r="CT108"/>
          <cell r="CU108"/>
          <cell r="CV108"/>
          <cell r="CW108"/>
          <cell r="CX108"/>
          <cell r="CY108"/>
          <cell r="CZ108"/>
          <cell r="DA108"/>
          <cell r="DB108"/>
          <cell r="DC108"/>
          <cell r="DD108"/>
          <cell r="DE108"/>
          <cell r="DF108"/>
          <cell r="DG108"/>
          <cell r="DH108"/>
          <cell r="DI108"/>
          <cell r="DJ108"/>
          <cell r="DK108"/>
          <cell r="DL108"/>
          <cell r="DM108"/>
          <cell r="DN108"/>
          <cell r="DO108"/>
          <cell r="DP108"/>
          <cell r="DQ108"/>
          <cell r="DR108"/>
          <cell r="DS108"/>
          <cell r="DT108"/>
          <cell r="DU108"/>
          <cell r="DV108">
            <v>0</v>
          </cell>
          <cell r="DW108"/>
          <cell r="DX108"/>
          <cell r="DY108"/>
          <cell r="DZ108"/>
          <cell r="EA108"/>
          <cell r="EB108"/>
          <cell r="EC108"/>
          <cell r="ED108">
            <v>0</v>
          </cell>
          <cell r="EE108"/>
          <cell r="EF108"/>
          <cell r="EG108">
            <v>0</v>
          </cell>
          <cell r="EH108">
            <v>0</v>
          </cell>
          <cell r="EI108"/>
          <cell r="EJ108"/>
          <cell r="EK108"/>
          <cell r="EL108"/>
          <cell r="EM108"/>
          <cell r="EN108"/>
          <cell r="EO108"/>
          <cell r="EP108"/>
          <cell r="EQ108"/>
          <cell r="ER108"/>
          <cell r="ES108"/>
          <cell r="ET108"/>
          <cell r="EU108"/>
          <cell r="EV108"/>
          <cell r="EW108"/>
          <cell r="EX108"/>
          <cell r="EY108"/>
          <cell r="EZ108"/>
          <cell r="FA108"/>
          <cell r="FB108"/>
          <cell r="FC108"/>
          <cell r="FD108"/>
          <cell r="FE108"/>
          <cell r="FF108"/>
          <cell r="FG108"/>
          <cell r="FH108"/>
          <cell r="FI108">
            <v>0</v>
          </cell>
          <cell r="FJ108"/>
          <cell r="FK108">
            <v>3889.29</v>
          </cell>
        </row>
        <row r="109">
          <cell r="A109" t="str">
            <v>Tolls</v>
          </cell>
          <cell r="B109"/>
          <cell r="C109"/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/>
          <cell r="AF109"/>
          <cell r="AG109"/>
          <cell r="AH109"/>
          <cell r="AI109"/>
          <cell r="AJ109"/>
          <cell r="AK109"/>
          <cell r="AL109"/>
          <cell r="AM109"/>
          <cell r="AN109"/>
          <cell r="AO109"/>
          <cell r="AP109"/>
          <cell r="AQ109"/>
          <cell r="AR109"/>
          <cell r="AS109"/>
          <cell r="AT109"/>
          <cell r="AU109"/>
          <cell r="AV109"/>
          <cell r="AW109"/>
          <cell r="AX109"/>
          <cell r="AY109"/>
          <cell r="AZ109"/>
          <cell r="BA109"/>
          <cell r="BB109"/>
          <cell r="BC109"/>
          <cell r="BD109"/>
          <cell r="BE109">
            <v>0</v>
          </cell>
          <cell r="BF109">
            <v>2303.0500000000002</v>
          </cell>
          <cell r="BG109"/>
          <cell r="BH109"/>
          <cell r="BI109">
            <v>0</v>
          </cell>
          <cell r="BJ109"/>
          <cell r="BK109"/>
          <cell r="BL109">
            <v>0</v>
          </cell>
          <cell r="BM109"/>
          <cell r="BN109"/>
          <cell r="BO109"/>
          <cell r="BP109"/>
          <cell r="BQ109"/>
          <cell r="BR109"/>
          <cell r="BS109"/>
          <cell r="BT109"/>
          <cell r="BU109"/>
          <cell r="BV109"/>
          <cell r="BW109"/>
          <cell r="BX109"/>
          <cell r="BY109"/>
          <cell r="BZ109"/>
          <cell r="CA109"/>
          <cell r="CB109"/>
          <cell r="CC109"/>
          <cell r="CD109"/>
          <cell r="CE109"/>
          <cell r="CF109">
            <v>0</v>
          </cell>
          <cell r="CG109"/>
          <cell r="CH109"/>
          <cell r="CI109"/>
          <cell r="CJ109"/>
          <cell r="CK109"/>
          <cell r="CL109"/>
          <cell r="CM109"/>
          <cell r="CN109"/>
          <cell r="CO109"/>
          <cell r="CP109"/>
          <cell r="CQ109"/>
          <cell r="CR109"/>
          <cell r="CS109"/>
          <cell r="CT109"/>
          <cell r="CU109"/>
          <cell r="CV109"/>
          <cell r="CW109"/>
          <cell r="CX109"/>
          <cell r="CY109"/>
          <cell r="CZ109"/>
          <cell r="DA109"/>
          <cell r="DB109"/>
          <cell r="DC109"/>
          <cell r="DD109"/>
          <cell r="DE109"/>
          <cell r="DF109"/>
          <cell r="DG109"/>
          <cell r="DH109"/>
          <cell r="DI109"/>
          <cell r="DJ109"/>
          <cell r="DK109"/>
          <cell r="DL109"/>
          <cell r="DM109"/>
          <cell r="DN109"/>
          <cell r="DO109"/>
          <cell r="DP109"/>
          <cell r="DQ109"/>
          <cell r="DR109"/>
          <cell r="DS109"/>
          <cell r="DT109"/>
          <cell r="DU109"/>
          <cell r="DV109">
            <v>0</v>
          </cell>
          <cell r="DW109"/>
          <cell r="DX109"/>
          <cell r="DY109"/>
          <cell r="DZ109"/>
          <cell r="EA109"/>
          <cell r="EB109"/>
          <cell r="EC109"/>
          <cell r="ED109">
            <v>0</v>
          </cell>
          <cell r="EE109"/>
          <cell r="EF109"/>
          <cell r="EG109">
            <v>0</v>
          </cell>
          <cell r="EH109">
            <v>0</v>
          </cell>
          <cell r="EI109"/>
          <cell r="EJ109"/>
          <cell r="EK109"/>
          <cell r="EL109"/>
          <cell r="EM109"/>
          <cell r="EN109"/>
          <cell r="EO109"/>
          <cell r="EP109"/>
          <cell r="EQ109"/>
          <cell r="ER109"/>
          <cell r="ES109"/>
          <cell r="ET109"/>
          <cell r="EU109"/>
          <cell r="EV109"/>
          <cell r="EW109"/>
          <cell r="EX109"/>
          <cell r="EY109"/>
          <cell r="EZ109"/>
          <cell r="FA109"/>
          <cell r="FB109"/>
          <cell r="FC109"/>
          <cell r="FD109"/>
          <cell r="FE109"/>
          <cell r="FF109"/>
          <cell r="FG109"/>
          <cell r="FH109"/>
          <cell r="FI109">
            <v>0</v>
          </cell>
          <cell r="FJ109"/>
          <cell r="FK109">
            <v>2303.0500000000002</v>
          </cell>
        </row>
        <row r="110">
          <cell r="A110" t="str">
            <v>Total Auto and Travel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57775.39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0</v>
          </cell>
          <cell r="DA110">
            <v>0</v>
          </cell>
          <cell r="DB110">
            <v>0</v>
          </cell>
          <cell r="DC110">
            <v>0</v>
          </cell>
          <cell r="DD110">
            <v>0</v>
          </cell>
          <cell r="DE110">
            <v>0</v>
          </cell>
          <cell r="DF110">
            <v>0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0</v>
          </cell>
          <cell r="DP110">
            <v>0</v>
          </cell>
          <cell r="DQ110">
            <v>0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T110">
            <v>0</v>
          </cell>
          <cell r="EU110">
            <v>0</v>
          </cell>
          <cell r="EV110">
            <v>0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  <cell r="FA110">
            <v>0</v>
          </cell>
          <cell r="FB110">
            <v>0</v>
          </cell>
          <cell r="FC110">
            <v>0</v>
          </cell>
          <cell r="FD110">
            <v>0</v>
          </cell>
          <cell r="FE110">
            <v>0</v>
          </cell>
          <cell r="FF110">
            <v>0</v>
          </cell>
          <cell r="FG110">
            <v>0</v>
          </cell>
          <cell r="FH110">
            <v>0</v>
          </cell>
          <cell r="FI110">
            <v>0</v>
          </cell>
          <cell r="FJ110">
            <v>3221.98</v>
          </cell>
          <cell r="FK110">
            <v>60997.37</v>
          </cell>
        </row>
        <row r="111">
          <cell r="A111" t="str">
            <v>Background checks</v>
          </cell>
          <cell r="B111"/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/>
          <cell r="AZ111"/>
          <cell r="BA111"/>
          <cell r="BB111"/>
          <cell r="BC111"/>
          <cell r="BD111"/>
          <cell r="BE111">
            <v>0</v>
          </cell>
          <cell r="BF111">
            <v>100</v>
          </cell>
          <cell r="BG111"/>
          <cell r="BH111"/>
          <cell r="BI111">
            <v>0</v>
          </cell>
          <cell r="BJ111"/>
          <cell r="BK111"/>
          <cell r="BL111">
            <v>0</v>
          </cell>
          <cell r="BM111"/>
          <cell r="BN111"/>
          <cell r="BO111"/>
          <cell r="BP111"/>
          <cell r="BQ111"/>
          <cell r="BR111"/>
          <cell r="BS111"/>
          <cell r="BT111"/>
          <cell r="BU111"/>
          <cell r="BV111"/>
          <cell r="BW111"/>
          <cell r="BX111"/>
          <cell r="BY111"/>
          <cell r="BZ111"/>
          <cell r="CA111"/>
          <cell r="CB111"/>
          <cell r="CC111"/>
          <cell r="CD111"/>
          <cell r="CE111"/>
          <cell r="CF111">
            <v>0</v>
          </cell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  <cell r="CR111"/>
          <cell r="CS111"/>
          <cell r="CT111"/>
          <cell r="CU111"/>
          <cell r="CV111"/>
          <cell r="CW111"/>
          <cell r="CX111"/>
          <cell r="CY111"/>
          <cell r="CZ111"/>
          <cell r="DA111"/>
          <cell r="DB111"/>
          <cell r="DC111"/>
          <cell r="DD111"/>
          <cell r="DE111"/>
          <cell r="DF111"/>
          <cell r="DG111"/>
          <cell r="DH111"/>
          <cell r="DI111"/>
          <cell r="DJ111"/>
          <cell r="DK111"/>
          <cell r="DL111"/>
          <cell r="DM111"/>
          <cell r="DN111"/>
          <cell r="DO111"/>
          <cell r="DP111"/>
          <cell r="DQ111"/>
          <cell r="DR111"/>
          <cell r="DS111"/>
          <cell r="DT111"/>
          <cell r="DU111"/>
          <cell r="DV111">
            <v>0</v>
          </cell>
          <cell r="DW111"/>
          <cell r="DX111"/>
          <cell r="DY111"/>
          <cell r="DZ111"/>
          <cell r="EA111"/>
          <cell r="EB111"/>
          <cell r="EC111"/>
          <cell r="ED111">
            <v>0</v>
          </cell>
          <cell r="EE111"/>
          <cell r="EF111"/>
          <cell r="EG111">
            <v>0</v>
          </cell>
          <cell r="EH111">
            <v>0</v>
          </cell>
          <cell r="EI111"/>
          <cell r="EJ111"/>
          <cell r="EK111"/>
          <cell r="EL111"/>
          <cell r="EM111"/>
          <cell r="EN111"/>
          <cell r="EO111"/>
          <cell r="EP111"/>
          <cell r="EQ111"/>
          <cell r="ER111"/>
          <cell r="ES111"/>
          <cell r="ET111"/>
          <cell r="EU111"/>
          <cell r="EV111"/>
          <cell r="EW111"/>
          <cell r="EX111"/>
          <cell r="EY111"/>
          <cell r="EZ111"/>
          <cell r="FA111"/>
          <cell r="FB111"/>
          <cell r="FC111"/>
          <cell r="FD111"/>
          <cell r="FE111"/>
          <cell r="FF111"/>
          <cell r="FG111"/>
          <cell r="FH111"/>
          <cell r="FI111">
            <v>0</v>
          </cell>
          <cell r="FJ111"/>
          <cell r="FK111">
            <v>100</v>
          </cell>
        </row>
        <row r="112">
          <cell r="A112" t="str">
            <v>Bank Charges</v>
          </cell>
          <cell r="B112"/>
          <cell r="C112"/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>
            <v>3</v>
          </cell>
          <cell r="Q112"/>
          <cell r="R112"/>
          <cell r="S112"/>
          <cell r="T112"/>
          <cell r="U112"/>
          <cell r="V112"/>
          <cell r="W112"/>
          <cell r="X112"/>
          <cell r="Y112"/>
          <cell r="Z112"/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>
            <v>1.5</v>
          </cell>
          <cell r="AX112"/>
          <cell r="AY112"/>
          <cell r="AZ112">
            <v>-2.4700000000000002</v>
          </cell>
          <cell r="BA112"/>
          <cell r="BB112"/>
          <cell r="BC112"/>
          <cell r="BD112"/>
          <cell r="BE112">
            <v>-0.97</v>
          </cell>
          <cell r="BF112">
            <v>18005.419999999998</v>
          </cell>
          <cell r="BG112"/>
          <cell r="BH112"/>
          <cell r="BI112">
            <v>0</v>
          </cell>
          <cell r="BJ112"/>
          <cell r="BK112"/>
          <cell r="BL112">
            <v>0</v>
          </cell>
          <cell r="BM112"/>
          <cell r="BN112"/>
          <cell r="BO112"/>
          <cell r="BP112"/>
          <cell r="BQ112"/>
          <cell r="BR112"/>
          <cell r="BS112"/>
          <cell r="BT112"/>
          <cell r="BU112"/>
          <cell r="BV112"/>
          <cell r="BW112"/>
          <cell r="BX112"/>
          <cell r="BY112"/>
          <cell r="BZ112"/>
          <cell r="CA112"/>
          <cell r="CB112"/>
          <cell r="CC112"/>
          <cell r="CD112"/>
          <cell r="CE112"/>
          <cell r="CF112">
            <v>0</v>
          </cell>
          <cell r="CG112"/>
          <cell r="CH112"/>
          <cell r="CI112"/>
          <cell r="CJ112">
            <v>3</v>
          </cell>
          <cell r="CK112"/>
          <cell r="CL112"/>
          <cell r="CM112"/>
          <cell r="CN112"/>
          <cell r="CO112"/>
          <cell r="CP112"/>
          <cell r="CQ112"/>
          <cell r="CR112"/>
          <cell r="CS112"/>
          <cell r="CT112"/>
          <cell r="CU112">
            <v>1.5</v>
          </cell>
          <cell r="CV112"/>
          <cell r="CW112"/>
          <cell r="CX112"/>
          <cell r="CY112"/>
          <cell r="CZ112"/>
          <cell r="DA112"/>
          <cell r="DB112"/>
          <cell r="DC112"/>
          <cell r="DD112"/>
          <cell r="DE112">
            <v>3.95</v>
          </cell>
          <cell r="DF112"/>
          <cell r="DG112"/>
          <cell r="DH112">
            <v>3.05</v>
          </cell>
          <cell r="DI112"/>
          <cell r="DJ112"/>
          <cell r="DK112"/>
          <cell r="DL112"/>
          <cell r="DM112"/>
          <cell r="DN112"/>
          <cell r="DO112">
            <v>30</v>
          </cell>
          <cell r="DP112">
            <v>30</v>
          </cell>
          <cell r="DQ112">
            <v>30</v>
          </cell>
          <cell r="DR112">
            <v>30</v>
          </cell>
          <cell r="DS112">
            <v>30</v>
          </cell>
          <cell r="DT112">
            <v>30</v>
          </cell>
          <cell r="DU112">
            <v>30</v>
          </cell>
          <cell r="DV112">
            <v>210</v>
          </cell>
          <cell r="DW112"/>
          <cell r="DX112">
            <v>30</v>
          </cell>
          <cell r="DY112">
            <v>30</v>
          </cell>
          <cell r="DZ112">
            <v>31.5</v>
          </cell>
          <cell r="EA112">
            <v>31.5</v>
          </cell>
          <cell r="EB112">
            <v>30</v>
          </cell>
          <cell r="EC112">
            <v>30</v>
          </cell>
          <cell r="ED112">
            <v>183</v>
          </cell>
          <cell r="EE112"/>
          <cell r="EF112"/>
          <cell r="EG112">
            <v>0</v>
          </cell>
          <cell r="EH112">
            <v>404.5</v>
          </cell>
          <cell r="EI112"/>
          <cell r="EJ112"/>
          <cell r="EK112"/>
          <cell r="EL112"/>
          <cell r="EM112"/>
          <cell r="EN112"/>
          <cell r="EO112"/>
          <cell r="EP112"/>
          <cell r="EQ112"/>
          <cell r="ER112"/>
          <cell r="ES112"/>
          <cell r="ET112"/>
          <cell r="EU112"/>
          <cell r="EV112"/>
          <cell r="EW112"/>
          <cell r="EX112"/>
          <cell r="EY112"/>
          <cell r="EZ112"/>
          <cell r="FA112"/>
          <cell r="FB112"/>
          <cell r="FC112"/>
          <cell r="FD112"/>
          <cell r="FE112"/>
          <cell r="FF112"/>
          <cell r="FG112"/>
          <cell r="FH112"/>
          <cell r="FI112">
            <v>0</v>
          </cell>
          <cell r="FJ112">
            <v>1345.95</v>
          </cell>
          <cell r="FK112">
            <v>19757.900000000001</v>
          </cell>
        </row>
        <row r="113">
          <cell r="A113" t="str">
            <v>Loan Costs</v>
          </cell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F113"/>
          <cell r="AG113"/>
          <cell r="AH113"/>
          <cell r="AI113"/>
          <cell r="AJ113"/>
          <cell r="AK113"/>
          <cell r="AL113"/>
          <cell r="AM113"/>
          <cell r="AN113"/>
          <cell r="AO113"/>
          <cell r="AP113"/>
          <cell r="AQ113"/>
          <cell r="AR113"/>
          <cell r="AS113"/>
          <cell r="AT113"/>
          <cell r="AU113"/>
          <cell r="AV113"/>
          <cell r="AW113"/>
          <cell r="AX113"/>
          <cell r="AY113"/>
          <cell r="AZ113"/>
          <cell r="BA113"/>
          <cell r="BB113"/>
          <cell r="BC113"/>
          <cell r="BD113"/>
          <cell r="BE113">
            <v>0</v>
          </cell>
          <cell r="BF113">
            <v>13605.97</v>
          </cell>
          <cell r="BG113"/>
          <cell r="BH113"/>
          <cell r="BI113">
            <v>0</v>
          </cell>
          <cell r="BJ113"/>
          <cell r="BK113"/>
          <cell r="BL113">
            <v>0</v>
          </cell>
          <cell r="BM113"/>
          <cell r="BN113"/>
          <cell r="BO113"/>
          <cell r="BP113"/>
          <cell r="BQ113"/>
          <cell r="BR113"/>
          <cell r="BS113"/>
          <cell r="BT113"/>
          <cell r="BU113"/>
          <cell r="BV113"/>
          <cell r="BW113"/>
          <cell r="BX113"/>
          <cell r="BY113"/>
          <cell r="BZ113"/>
          <cell r="CA113"/>
          <cell r="CB113"/>
          <cell r="CC113"/>
          <cell r="CD113"/>
          <cell r="CE113"/>
          <cell r="CF113">
            <v>0</v>
          </cell>
          <cell r="CG113"/>
          <cell r="CH113"/>
          <cell r="CI113"/>
          <cell r="CJ113"/>
          <cell r="CK113"/>
          <cell r="CL113"/>
          <cell r="CM113"/>
          <cell r="CN113"/>
          <cell r="CO113"/>
          <cell r="CP113"/>
          <cell r="CQ113"/>
          <cell r="CR113"/>
          <cell r="CS113"/>
          <cell r="CT113"/>
          <cell r="CU113"/>
          <cell r="CV113"/>
          <cell r="CW113"/>
          <cell r="CX113"/>
          <cell r="CY113"/>
          <cell r="CZ113"/>
          <cell r="DA113"/>
          <cell r="DB113"/>
          <cell r="DC113"/>
          <cell r="DD113"/>
          <cell r="DE113"/>
          <cell r="DF113"/>
          <cell r="DG113"/>
          <cell r="DH113"/>
          <cell r="DI113"/>
          <cell r="DJ113"/>
          <cell r="DK113"/>
          <cell r="DL113"/>
          <cell r="DM113"/>
          <cell r="DN113"/>
          <cell r="DO113"/>
          <cell r="DP113"/>
          <cell r="DQ113"/>
          <cell r="DR113"/>
          <cell r="DS113"/>
          <cell r="DT113"/>
          <cell r="DU113"/>
          <cell r="DV113">
            <v>0</v>
          </cell>
          <cell r="DW113"/>
          <cell r="DX113"/>
          <cell r="DY113"/>
          <cell r="DZ113"/>
          <cell r="EA113"/>
          <cell r="EB113"/>
          <cell r="EC113"/>
          <cell r="ED113">
            <v>0</v>
          </cell>
          <cell r="EE113"/>
          <cell r="EF113"/>
          <cell r="EG113">
            <v>0</v>
          </cell>
          <cell r="EH113">
            <v>0</v>
          </cell>
          <cell r="EI113"/>
          <cell r="EJ113"/>
          <cell r="EK113"/>
          <cell r="EL113"/>
          <cell r="EM113"/>
          <cell r="EN113"/>
          <cell r="EO113"/>
          <cell r="EP113"/>
          <cell r="EQ113"/>
          <cell r="ER113"/>
          <cell r="ES113"/>
          <cell r="ET113"/>
          <cell r="EU113"/>
          <cell r="EV113"/>
          <cell r="EW113"/>
          <cell r="EX113"/>
          <cell r="EY113"/>
          <cell r="EZ113"/>
          <cell r="FA113"/>
          <cell r="FB113"/>
          <cell r="FC113"/>
          <cell r="FD113"/>
          <cell r="FE113"/>
          <cell r="FF113"/>
          <cell r="FG113"/>
          <cell r="FH113"/>
          <cell r="FI113">
            <v>0</v>
          </cell>
          <cell r="FJ113"/>
          <cell r="FK113">
            <v>13605.97</v>
          </cell>
        </row>
        <row r="114">
          <cell r="A114" t="str">
            <v>Total Bank Charges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3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1.5</v>
          </cell>
          <cell r="AX114">
            <v>0</v>
          </cell>
          <cell r="AY114">
            <v>0</v>
          </cell>
          <cell r="AZ114">
            <v>-2.4700000000000002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-0.97</v>
          </cell>
          <cell r="BF114">
            <v>31611.39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3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1.5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3.95</v>
          </cell>
          <cell r="DF114">
            <v>0</v>
          </cell>
          <cell r="DG114">
            <v>0</v>
          </cell>
          <cell r="DH114">
            <v>3.05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30</v>
          </cell>
          <cell r="DP114">
            <v>30</v>
          </cell>
          <cell r="DQ114">
            <v>30</v>
          </cell>
          <cell r="DR114">
            <v>30</v>
          </cell>
          <cell r="DS114">
            <v>30</v>
          </cell>
          <cell r="DT114">
            <v>30</v>
          </cell>
          <cell r="DU114">
            <v>30</v>
          </cell>
          <cell r="DV114">
            <v>210</v>
          </cell>
          <cell r="DW114">
            <v>0</v>
          </cell>
          <cell r="DX114">
            <v>30</v>
          </cell>
          <cell r="DY114">
            <v>30</v>
          </cell>
          <cell r="DZ114">
            <v>31.5</v>
          </cell>
          <cell r="EA114">
            <v>31.5</v>
          </cell>
          <cell r="EB114">
            <v>30</v>
          </cell>
          <cell r="EC114">
            <v>30</v>
          </cell>
          <cell r="ED114">
            <v>183</v>
          </cell>
          <cell r="EE114">
            <v>0</v>
          </cell>
          <cell r="EF114">
            <v>0</v>
          </cell>
          <cell r="EG114">
            <v>0</v>
          </cell>
          <cell r="EH114">
            <v>404.5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0</v>
          </cell>
          <cell r="EU114">
            <v>0</v>
          </cell>
          <cell r="EV114">
            <v>0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0</v>
          </cell>
          <cell r="FH114">
            <v>0</v>
          </cell>
          <cell r="FI114">
            <v>0</v>
          </cell>
          <cell r="FJ114">
            <v>1345.95</v>
          </cell>
          <cell r="FK114">
            <v>33363.870000000003</v>
          </cell>
        </row>
        <row r="115">
          <cell r="A115" t="str">
            <v>Charitable Contributions</v>
          </cell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  <cell r="S115"/>
          <cell r="T115"/>
          <cell r="U115"/>
          <cell r="V115"/>
          <cell r="W115"/>
          <cell r="X115"/>
          <cell r="Y115"/>
          <cell r="Z115"/>
          <cell r="AA115"/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/>
          <cell r="AN115"/>
          <cell r="AO115"/>
          <cell r="AP115"/>
          <cell r="AQ115"/>
          <cell r="AR115"/>
          <cell r="AS115"/>
          <cell r="AT115"/>
          <cell r="AU115"/>
          <cell r="AV115"/>
          <cell r="AW115"/>
          <cell r="AX115"/>
          <cell r="AY115"/>
          <cell r="AZ115"/>
          <cell r="BA115"/>
          <cell r="BB115"/>
          <cell r="BC115"/>
          <cell r="BD115"/>
          <cell r="BE115">
            <v>0</v>
          </cell>
          <cell r="BF115">
            <v>6575</v>
          </cell>
          <cell r="BG115"/>
          <cell r="BH115"/>
          <cell r="BI115">
            <v>0</v>
          </cell>
          <cell r="BJ115"/>
          <cell r="BK115"/>
          <cell r="BL115">
            <v>0</v>
          </cell>
          <cell r="BM115"/>
          <cell r="BN115"/>
          <cell r="BO115"/>
          <cell r="BP115"/>
          <cell r="BQ115"/>
          <cell r="BR115"/>
          <cell r="BS115"/>
          <cell r="BT115"/>
          <cell r="BU115"/>
          <cell r="BV115"/>
          <cell r="BW115"/>
          <cell r="BX115"/>
          <cell r="BY115"/>
          <cell r="BZ115"/>
          <cell r="CA115"/>
          <cell r="CB115"/>
          <cell r="CC115"/>
          <cell r="CD115"/>
          <cell r="CE115"/>
          <cell r="CF115">
            <v>0</v>
          </cell>
          <cell r="CG115"/>
          <cell r="CH115"/>
          <cell r="CI115"/>
          <cell r="CJ115"/>
          <cell r="CK115"/>
          <cell r="CL115"/>
          <cell r="CM115"/>
          <cell r="CN115"/>
          <cell r="CO115"/>
          <cell r="CP115"/>
          <cell r="CQ115"/>
          <cell r="CR115"/>
          <cell r="CS115"/>
          <cell r="CT115"/>
          <cell r="CU115"/>
          <cell r="CV115"/>
          <cell r="CW115"/>
          <cell r="CX115"/>
          <cell r="CY115"/>
          <cell r="CZ115"/>
          <cell r="DA115"/>
          <cell r="DB115"/>
          <cell r="DC115"/>
          <cell r="DD115"/>
          <cell r="DE115"/>
          <cell r="DF115"/>
          <cell r="DG115"/>
          <cell r="DH115"/>
          <cell r="DI115"/>
          <cell r="DJ115"/>
          <cell r="DK115"/>
          <cell r="DL115"/>
          <cell r="DM115"/>
          <cell r="DN115"/>
          <cell r="DO115"/>
          <cell r="DP115"/>
          <cell r="DQ115"/>
          <cell r="DR115"/>
          <cell r="DS115"/>
          <cell r="DT115"/>
          <cell r="DU115"/>
          <cell r="DV115">
            <v>0</v>
          </cell>
          <cell r="DW115"/>
          <cell r="DX115"/>
          <cell r="DY115"/>
          <cell r="DZ115"/>
          <cell r="EA115"/>
          <cell r="EB115"/>
          <cell r="EC115"/>
          <cell r="ED115">
            <v>0</v>
          </cell>
          <cell r="EE115"/>
          <cell r="EF115"/>
          <cell r="EG115">
            <v>0</v>
          </cell>
          <cell r="EH115">
            <v>0</v>
          </cell>
          <cell r="EI115"/>
          <cell r="EJ115"/>
          <cell r="EK115"/>
          <cell r="EL115"/>
          <cell r="EM115"/>
          <cell r="EN115"/>
          <cell r="EO115"/>
          <cell r="EP115"/>
          <cell r="EQ115"/>
          <cell r="ER115"/>
          <cell r="ES115"/>
          <cell r="ET115"/>
          <cell r="EU115"/>
          <cell r="EV115"/>
          <cell r="EW115"/>
          <cell r="EX115"/>
          <cell r="EY115"/>
          <cell r="EZ115"/>
          <cell r="FA115"/>
          <cell r="FB115"/>
          <cell r="FC115"/>
          <cell r="FD115"/>
          <cell r="FE115"/>
          <cell r="FF115"/>
          <cell r="FG115"/>
          <cell r="FH115"/>
          <cell r="FI115">
            <v>0</v>
          </cell>
          <cell r="FJ115"/>
          <cell r="FK115">
            <v>6575</v>
          </cell>
        </row>
        <row r="116">
          <cell r="A116" t="str">
            <v>Dues &amp; subscriptions</v>
          </cell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  <cell r="S116"/>
          <cell r="T116"/>
          <cell r="U116"/>
          <cell r="V116"/>
          <cell r="W116"/>
          <cell r="X116"/>
          <cell r="Y116"/>
          <cell r="Z116"/>
          <cell r="AA116"/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/>
          <cell r="AN116"/>
          <cell r="AO116"/>
          <cell r="AP116"/>
          <cell r="AQ116"/>
          <cell r="AR116"/>
          <cell r="AS116"/>
          <cell r="AT116"/>
          <cell r="AU116"/>
          <cell r="AV116"/>
          <cell r="AW116"/>
          <cell r="AX116"/>
          <cell r="AY116"/>
          <cell r="AZ116"/>
          <cell r="BA116"/>
          <cell r="BB116"/>
          <cell r="BC116"/>
          <cell r="BD116"/>
          <cell r="BE116">
            <v>0</v>
          </cell>
          <cell r="BF116">
            <v>1132</v>
          </cell>
          <cell r="BG116"/>
          <cell r="BH116"/>
          <cell r="BI116">
            <v>0</v>
          </cell>
          <cell r="BJ116"/>
          <cell r="BK116"/>
          <cell r="BL116">
            <v>0</v>
          </cell>
          <cell r="BM116"/>
          <cell r="BN116"/>
          <cell r="BO116"/>
          <cell r="BP116"/>
          <cell r="BQ116"/>
          <cell r="BR116"/>
          <cell r="BS116"/>
          <cell r="BT116"/>
          <cell r="BU116"/>
          <cell r="BV116"/>
          <cell r="BW116"/>
          <cell r="BX116"/>
          <cell r="BY116"/>
          <cell r="BZ116"/>
          <cell r="CA116"/>
          <cell r="CB116"/>
          <cell r="CC116"/>
          <cell r="CD116"/>
          <cell r="CE116"/>
          <cell r="CF116">
            <v>0</v>
          </cell>
          <cell r="CG116"/>
          <cell r="CH116"/>
          <cell r="CI116"/>
          <cell r="CJ116"/>
          <cell r="CK116"/>
          <cell r="CL116"/>
          <cell r="CM116"/>
          <cell r="CN116"/>
          <cell r="CO116"/>
          <cell r="CP116"/>
          <cell r="CQ116"/>
          <cell r="CR116"/>
          <cell r="CS116"/>
          <cell r="CT116"/>
          <cell r="CU116"/>
          <cell r="CV116"/>
          <cell r="CW116"/>
          <cell r="CX116"/>
          <cell r="CY116"/>
          <cell r="CZ116"/>
          <cell r="DA116"/>
          <cell r="DB116"/>
          <cell r="DC116"/>
          <cell r="DD116"/>
          <cell r="DE116"/>
          <cell r="DF116"/>
          <cell r="DG116"/>
          <cell r="DH116"/>
          <cell r="DI116"/>
          <cell r="DJ116"/>
          <cell r="DK116"/>
          <cell r="DL116"/>
          <cell r="DM116"/>
          <cell r="DN116"/>
          <cell r="DO116"/>
          <cell r="DP116"/>
          <cell r="DQ116"/>
          <cell r="DR116"/>
          <cell r="DS116"/>
          <cell r="DT116"/>
          <cell r="DU116"/>
          <cell r="DV116">
            <v>0</v>
          </cell>
          <cell r="DW116"/>
          <cell r="DX116"/>
          <cell r="DY116"/>
          <cell r="DZ116"/>
          <cell r="EA116"/>
          <cell r="EB116"/>
          <cell r="EC116"/>
          <cell r="ED116">
            <v>0</v>
          </cell>
          <cell r="EE116"/>
          <cell r="EF116"/>
          <cell r="EG116">
            <v>0</v>
          </cell>
          <cell r="EH116">
            <v>0</v>
          </cell>
          <cell r="EI116"/>
          <cell r="EJ116"/>
          <cell r="EK116"/>
          <cell r="EL116"/>
          <cell r="EM116"/>
          <cell r="EN116"/>
          <cell r="EO116"/>
          <cell r="EP116"/>
          <cell r="EQ116"/>
          <cell r="ER116"/>
          <cell r="ES116"/>
          <cell r="ET116"/>
          <cell r="EU116"/>
          <cell r="EV116"/>
          <cell r="EW116"/>
          <cell r="EX116"/>
          <cell r="EY116"/>
          <cell r="EZ116"/>
          <cell r="FA116"/>
          <cell r="FB116"/>
          <cell r="FC116"/>
          <cell r="FD116"/>
          <cell r="FE116"/>
          <cell r="FF116"/>
          <cell r="FG116"/>
          <cell r="FH116"/>
          <cell r="FI116">
            <v>0</v>
          </cell>
          <cell r="FJ116"/>
          <cell r="FK116">
            <v>1132</v>
          </cell>
        </row>
        <row r="117">
          <cell r="A117" t="str">
            <v>Employee Relations</v>
          </cell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  <cell r="S117"/>
          <cell r="T117"/>
          <cell r="U117"/>
          <cell r="V117"/>
          <cell r="W117"/>
          <cell r="X117"/>
          <cell r="Y117"/>
          <cell r="Z117"/>
          <cell r="AA117"/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/>
          <cell r="AS117"/>
          <cell r="AT117"/>
          <cell r="AU117"/>
          <cell r="AV117"/>
          <cell r="AW117"/>
          <cell r="AX117"/>
          <cell r="AY117"/>
          <cell r="AZ117"/>
          <cell r="BA117"/>
          <cell r="BB117"/>
          <cell r="BC117"/>
          <cell r="BD117"/>
          <cell r="BE117">
            <v>0</v>
          </cell>
          <cell r="BF117">
            <v>6981.59</v>
          </cell>
          <cell r="BG117"/>
          <cell r="BH117"/>
          <cell r="BI117">
            <v>0</v>
          </cell>
          <cell r="BJ117"/>
          <cell r="BK117"/>
          <cell r="BL117">
            <v>0</v>
          </cell>
          <cell r="BM117"/>
          <cell r="BN117"/>
          <cell r="BO117"/>
          <cell r="BP117"/>
          <cell r="BQ117"/>
          <cell r="BR117"/>
          <cell r="BS117"/>
          <cell r="BT117"/>
          <cell r="BU117"/>
          <cell r="BV117"/>
          <cell r="BW117"/>
          <cell r="BX117"/>
          <cell r="BY117"/>
          <cell r="BZ117"/>
          <cell r="CA117"/>
          <cell r="CB117"/>
          <cell r="CC117"/>
          <cell r="CD117"/>
          <cell r="CE117"/>
          <cell r="CF117">
            <v>0</v>
          </cell>
          <cell r="CG117"/>
          <cell r="CH117"/>
          <cell r="CI117"/>
          <cell r="CJ117"/>
          <cell r="CK117"/>
          <cell r="CL117"/>
          <cell r="CM117"/>
          <cell r="CN117"/>
          <cell r="CO117"/>
          <cell r="CP117"/>
          <cell r="CQ117"/>
          <cell r="CR117"/>
          <cell r="CS117"/>
          <cell r="CT117"/>
          <cell r="CU117"/>
          <cell r="CV117"/>
          <cell r="CW117"/>
          <cell r="CX117"/>
          <cell r="CY117"/>
          <cell r="CZ117"/>
          <cell r="DA117"/>
          <cell r="DB117"/>
          <cell r="DC117"/>
          <cell r="DD117"/>
          <cell r="DE117"/>
          <cell r="DF117"/>
          <cell r="DG117"/>
          <cell r="DH117"/>
          <cell r="DI117"/>
          <cell r="DJ117"/>
          <cell r="DK117"/>
          <cell r="DL117"/>
          <cell r="DM117"/>
          <cell r="DN117"/>
          <cell r="DO117"/>
          <cell r="DP117"/>
          <cell r="DQ117"/>
          <cell r="DR117"/>
          <cell r="DS117"/>
          <cell r="DT117"/>
          <cell r="DU117"/>
          <cell r="DV117">
            <v>0</v>
          </cell>
          <cell r="DW117"/>
          <cell r="DX117"/>
          <cell r="DY117"/>
          <cell r="DZ117"/>
          <cell r="EA117"/>
          <cell r="EB117"/>
          <cell r="EC117"/>
          <cell r="ED117">
            <v>0</v>
          </cell>
          <cell r="EE117"/>
          <cell r="EF117"/>
          <cell r="EG117">
            <v>0</v>
          </cell>
          <cell r="EH117">
            <v>0</v>
          </cell>
          <cell r="EI117"/>
          <cell r="EJ117"/>
          <cell r="EK117"/>
          <cell r="EL117"/>
          <cell r="EM117"/>
          <cell r="EN117"/>
          <cell r="EO117"/>
          <cell r="EP117"/>
          <cell r="EQ117"/>
          <cell r="ER117"/>
          <cell r="ES117"/>
          <cell r="ET117"/>
          <cell r="EU117"/>
          <cell r="EV117"/>
          <cell r="EW117"/>
          <cell r="EX117"/>
          <cell r="EY117"/>
          <cell r="EZ117"/>
          <cell r="FA117"/>
          <cell r="FB117"/>
          <cell r="FC117"/>
          <cell r="FD117"/>
          <cell r="FE117"/>
          <cell r="FF117"/>
          <cell r="FG117"/>
          <cell r="FH117"/>
          <cell r="FI117">
            <v>0</v>
          </cell>
          <cell r="FJ117">
            <v>169.47</v>
          </cell>
          <cell r="FK117">
            <v>7151.06</v>
          </cell>
        </row>
        <row r="118">
          <cell r="A118" t="str">
            <v>Eviction Costs</v>
          </cell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/>
          <cell r="AY118"/>
          <cell r="AZ118"/>
          <cell r="BA118"/>
          <cell r="BB118"/>
          <cell r="BC118"/>
          <cell r="BD118"/>
          <cell r="BE118">
            <v>0</v>
          </cell>
          <cell r="BF118">
            <v>2379.2199999999998</v>
          </cell>
          <cell r="BG118"/>
          <cell r="BH118"/>
          <cell r="BI118">
            <v>0</v>
          </cell>
          <cell r="BJ118"/>
          <cell r="BK118"/>
          <cell r="BL118">
            <v>0</v>
          </cell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>
            <v>0</v>
          </cell>
          <cell r="CG118"/>
          <cell r="CH118"/>
          <cell r="CI118"/>
          <cell r="CJ118"/>
          <cell r="CK118"/>
          <cell r="CL118"/>
          <cell r="CM118"/>
          <cell r="CN118">
            <v>307</v>
          </cell>
          <cell r="CO118"/>
          <cell r="CP118"/>
          <cell r="CQ118">
            <v>257</v>
          </cell>
          <cell r="CR118"/>
          <cell r="CS118"/>
          <cell r="CT118"/>
          <cell r="CU118"/>
          <cell r="CV118"/>
          <cell r="CW118"/>
          <cell r="CX118"/>
          <cell r="CY118"/>
          <cell r="CZ118"/>
          <cell r="DA118"/>
          <cell r="DB118"/>
          <cell r="DC118"/>
          <cell r="DD118"/>
          <cell r="DE118"/>
          <cell r="DF118"/>
          <cell r="DG118"/>
          <cell r="DH118"/>
          <cell r="DI118">
            <v>322</v>
          </cell>
          <cell r="DJ118"/>
          <cell r="DK118">
            <v>554</v>
          </cell>
          <cell r="DL118"/>
          <cell r="DM118"/>
          <cell r="DN118"/>
          <cell r="DO118"/>
          <cell r="DP118"/>
          <cell r="DQ118"/>
          <cell r="DR118"/>
          <cell r="DS118"/>
          <cell r="DT118"/>
          <cell r="DU118"/>
          <cell r="DV118">
            <v>0</v>
          </cell>
          <cell r="DW118"/>
          <cell r="DX118"/>
          <cell r="DY118"/>
          <cell r="DZ118"/>
          <cell r="EA118">
            <v>150</v>
          </cell>
          <cell r="EB118"/>
          <cell r="EC118"/>
          <cell r="ED118">
            <v>150</v>
          </cell>
          <cell r="EE118"/>
          <cell r="EF118"/>
          <cell r="EG118">
            <v>0</v>
          </cell>
          <cell r="EH118">
            <v>1590</v>
          </cell>
          <cell r="EI118"/>
          <cell r="EJ118"/>
          <cell r="EK118"/>
          <cell r="EL118"/>
          <cell r="EM118"/>
          <cell r="EN118"/>
          <cell r="EO118"/>
          <cell r="EP118"/>
          <cell r="EQ118"/>
          <cell r="ER118"/>
          <cell r="ES118"/>
          <cell r="ET118"/>
          <cell r="EU118"/>
          <cell r="EV118"/>
          <cell r="EW118"/>
          <cell r="EX118"/>
          <cell r="EY118"/>
          <cell r="EZ118"/>
          <cell r="FA118"/>
          <cell r="FB118"/>
          <cell r="FC118"/>
          <cell r="FD118"/>
          <cell r="FE118"/>
          <cell r="FF118"/>
          <cell r="FG118"/>
          <cell r="FH118"/>
          <cell r="FI118">
            <v>0</v>
          </cell>
          <cell r="FJ118"/>
          <cell r="FK118">
            <v>3969.22</v>
          </cell>
        </row>
        <row r="119">
          <cell r="A119" t="str">
            <v>Gifts</v>
          </cell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  <cell r="S119"/>
          <cell r="T119"/>
          <cell r="U119"/>
          <cell r="V119"/>
          <cell r="W119"/>
          <cell r="X119"/>
          <cell r="Y119"/>
          <cell r="Z119"/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/>
          <cell r="AY119"/>
          <cell r="AZ119"/>
          <cell r="BA119"/>
          <cell r="BB119"/>
          <cell r="BC119"/>
          <cell r="BD119"/>
          <cell r="BE119">
            <v>0</v>
          </cell>
          <cell r="BF119">
            <v>640.5</v>
          </cell>
          <cell r="BG119"/>
          <cell r="BH119"/>
          <cell r="BI119">
            <v>0</v>
          </cell>
          <cell r="BJ119"/>
          <cell r="BK119"/>
          <cell r="BL119">
            <v>0</v>
          </cell>
          <cell r="BM119"/>
          <cell r="BN119"/>
          <cell r="BO119"/>
          <cell r="BP119"/>
          <cell r="BQ119"/>
          <cell r="BR119"/>
          <cell r="BS119"/>
          <cell r="BT119"/>
          <cell r="BU119"/>
          <cell r="BV119"/>
          <cell r="BW119"/>
          <cell r="BX119"/>
          <cell r="BY119"/>
          <cell r="BZ119"/>
          <cell r="CA119"/>
          <cell r="CB119"/>
          <cell r="CC119"/>
          <cell r="CD119"/>
          <cell r="CE119"/>
          <cell r="CF119">
            <v>0</v>
          </cell>
          <cell r="CG119"/>
          <cell r="CH119"/>
          <cell r="CI119"/>
          <cell r="CJ119"/>
          <cell r="CK119"/>
          <cell r="CL119"/>
          <cell r="CM119"/>
          <cell r="CN119"/>
          <cell r="CO119"/>
          <cell r="CP119"/>
          <cell r="CQ119"/>
          <cell r="CR119"/>
          <cell r="CS119"/>
          <cell r="CT119"/>
          <cell r="CU119"/>
          <cell r="CV119"/>
          <cell r="CW119"/>
          <cell r="CX119"/>
          <cell r="CY119"/>
          <cell r="CZ119"/>
          <cell r="DA119"/>
          <cell r="DB119"/>
          <cell r="DC119"/>
          <cell r="DD119"/>
          <cell r="DE119"/>
          <cell r="DF119"/>
          <cell r="DG119"/>
          <cell r="DH119"/>
          <cell r="DI119"/>
          <cell r="DJ119"/>
          <cell r="DK119"/>
          <cell r="DL119"/>
          <cell r="DM119"/>
          <cell r="DN119"/>
          <cell r="DO119"/>
          <cell r="DP119"/>
          <cell r="DQ119"/>
          <cell r="DR119"/>
          <cell r="DS119"/>
          <cell r="DT119"/>
          <cell r="DU119"/>
          <cell r="DV119">
            <v>0</v>
          </cell>
          <cell r="DW119"/>
          <cell r="DX119"/>
          <cell r="DY119"/>
          <cell r="DZ119"/>
          <cell r="EA119"/>
          <cell r="EB119"/>
          <cell r="EC119"/>
          <cell r="ED119">
            <v>0</v>
          </cell>
          <cell r="EE119"/>
          <cell r="EF119"/>
          <cell r="EG119">
            <v>0</v>
          </cell>
          <cell r="EH119">
            <v>0</v>
          </cell>
          <cell r="EI119"/>
          <cell r="EJ119"/>
          <cell r="EK119"/>
          <cell r="EL119"/>
          <cell r="EM119"/>
          <cell r="EN119"/>
          <cell r="EO119"/>
          <cell r="EP119"/>
          <cell r="EQ119"/>
          <cell r="ER119"/>
          <cell r="ES119"/>
          <cell r="ET119"/>
          <cell r="EU119"/>
          <cell r="EV119"/>
          <cell r="EW119"/>
          <cell r="EX119"/>
          <cell r="EY119"/>
          <cell r="EZ119"/>
          <cell r="FA119"/>
          <cell r="FB119"/>
          <cell r="FC119"/>
          <cell r="FD119"/>
          <cell r="FE119"/>
          <cell r="FF119"/>
          <cell r="FG119"/>
          <cell r="FH119"/>
          <cell r="FI119">
            <v>0</v>
          </cell>
          <cell r="FJ119"/>
          <cell r="FK119">
            <v>640.5</v>
          </cell>
        </row>
        <row r="120">
          <cell r="A120" t="str">
            <v>Insurance</v>
          </cell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/>
          <cell r="AZ120"/>
          <cell r="BA120"/>
          <cell r="BB120"/>
          <cell r="BC120"/>
          <cell r="BD120"/>
          <cell r="BE120">
            <v>1503.65</v>
          </cell>
          <cell r="BF120">
            <v>6271.39</v>
          </cell>
          <cell r="BG120"/>
          <cell r="BH120"/>
          <cell r="BI120">
            <v>0</v>
          </cell>
          <cell r="BJ120"/>
          <cell r="BK120"/>
          <cell r="BL120">
            <v>0</v>
          </cell>
          <cell r="BM120">
            <v>-1156.8599999999999</v>
          </cell>
          <cell r="BN120"/>
          <cell r="BO120"/>
          <cell r="BP120"/>
          <cell r="BQ120"/>
          <cell r="BR120"/>
          <cell r="BS120"/>
          <cell r="BT120"/>
          <cell r="BU120"/>
          <cell r="BV120"/>
          <cell r="BW120"/>
          <cell r="BX120"/>
          <cell r="BY120"/>
          <cell r="BZ120"/>
          <cell r="CA120"/>
          <cell r="CB120"/>
          <cell r="CC120"/>
          <cell r="CD120"/>
          <cell r="CE120"/>
          <cell r="CF120">
            <v>-1156.8599999999999</v>
          </cell>
          <cell r="CG120"/>
          <cell r="CH120"/>
          <cell r="CI120"/>
          <cell r="CJ120"/>
          <cell r="CK120"/>
          <cell r="CL120"/>
          <cell r="CM120"/>
          <cell r="CN120"/>
          <cell r="CO120"/>
          <cell r="CP120"/>
          <cell r="CQ120"/>
          <cell r="CR120"/>
          <cell r="CS120"/>
          <cell r="CT120"/>
          <cell r="CU120"/>
          <cell r="CV120"/>
          <cell r="CW120"/>
          <cell r="CX120"/>
          <cell r="CY120"/>
          <cell r="CZ120"/>
          <cell r="DA120"/>
          <cell r="DB120"/>
          <cell r="DC120"/>
          <cell r="DD120"/>
          <cell r="DE120"/>
          <cell r="DF120"/>
          <cell r="DG120"/>
          <cell r="DH120"/>
          <cell r="DI120"/>
          <cell r="DJ120"/>
          <cell r="DK120"/>
          <cell r="DL120"/>
          <cell r="DM120"/>
          <cell r="DN120"/>
          <cell r="DO120"/>
          <cell r="DP120"/>
          <cell r="DQ120"/>
          <cell r="DR120"/>
          <cell r="DS120"/>
          <cell r="DT120"/>
          <cell r="DU120"/>
          <cell r="DV120">
            <v>0</v>
          </cell>
          <cell r="DW120"/>
          <cell r="DX120"/>
          <cell r="DY120"/>
          <cell r="DZ120"/>
          <cell r="EA120"/>
          <cell r="EB120"/>
          <cell r="EC120"/>
          <cell r="ED120">
            <v>0</v>
          </cell>
          <cell r="EE120"/>
          <cell r="EF120"/>
          <cell r="EG120">
            <v>0</v>
          </cell>
          <cell r="EH120">
            <v>0</v>
          </cell>
          <cell r="EI120"/>
          <cell r="EJ120"/>
          <cell r="EK120"/>
          <cell r="EL120"/>
          <cell r="EM120"/>
          <cell r="EN120"/>
          <cell r="EO120"/>
          <cell r="EP120"/>
          <cell r="EQ120"/>
          <cell r="ER120">
            <v>8.0500000000000007</v>
          </cell>
          <cell r="ES120"/>
          <cell r="ET120"/>
          <cell r="EU120"/>
          <cell r="EV120"/>
          <cell r="EW120"/>
          <cell r="EX120"/>
          <cell r="EY120"/>
          <cell r="EZ120"/>
          <cell r="FA120"/>
          <cell r="FB120"/>
          <cell r="FC120"/>
          <cell r="FD120"/>
          <cell r="FE120"/>
          <cell r="FF120"/>
          <cell r="FG120"/>
          <cell r="FH120"/>
          <cell r="FI120">
            <v>8.0500000000000007</v>
          </cell>
          <cell r="FJ120">
            <v>209.5</v>
          </cell>
          <cell r="FK120">
            <v>6835.73</v>
          </cell>
        </row>
        <row r="121">
          <cell r="A121" t="str">
            <v>Interest - LOC</v>
          </cell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  <cell r="S121"/>
          <cell r="T121"/>
          <cell r="U121"/>
          <cell r="V121"/>
          <cell r="W121"/>
          <cell r="X121"/>
          <cell r="Y121"/>
          <cell r="Z121"/>
          <cell r="AA121"/>
          <cell r="AB121"/>
          <cell r="AC121"/>
          <cell r="AD121"/>
          <cell r="AE121"/>
          <cell r="AF121"/>
          <cell r="AG121"/>
          <cell r="AH121"/>
          <cell r="AI121"/>
          <cell r="AJ121"/>
          <cell r="AK121"/>
          <cell r="AL121"/>
          <cell r="AM121"/>
          <cell r="AN121"/>
          <cell r="AO121"/>
          <cell r="AP121"/>
          <cell r="AQ121"/>
          <cell r="AR121"/>
          <cell r="AS121"/>
          <cell r="AT121"/>
          <cell r="AU121"/>
          <cell r="AV121"/>
          <cell r="AW121"/>
          <cell r="AX121"/>
          <cell r="AY121"/>
          <cell r="AZ121"/>
          <cell r="BA121"/>
          <cell r="BB121"/>
          <cell r="BC121"/>
          <cell r="BD121"/>
          <cell r="BE121">
            <v>0</v>
          </cell>
          <cell r="BF121">
            <v>24138.49</v>
          </cell>
          <cell r="BG121"/>
          <cell r="BH121"/>
          <cell r="BI121">
            <v>0</v>
          </cell>
          <cell r="BJ121"/>
          <cell r="BK121"/>
          <cell r="BL121">
            <v>0</v>
          </cell>
          <cell r="BM121"/>
          <cell r="BN121"/>
          <cell r="BO121"/>
          <cell r="BP121"/>
          <cell r="BQ121"/>
          <cell r="BR121"/>
          <cell r="BS121"/>
          <cell r="BT121"/>
          <cell r="BU121"/>
          <cell r="BV121"/>
          <cell r="BW121"/>
          <cell r="BX121"/>
          <cell r="BY121"/>
          <cell r="BZ121"/>
          <cell r="CA121"/>
          <cell r="CB121"/>
          <cell r="CC121"/>
          <cell r="CD121"/>
          <cell r="CE121"/>
          <cell r="CF121">
            <v>0</v>
          </cell>
          <cell r="CG121"/>
          <cell r="CH121"/>
          <cell r="CI121"/>
          <cell r="CJ121"/>
          <cell r="CK121"/>
          <cell r="CL121"/>
          <cell r="CM121"/>
          <cell r="CN121"/>
          <cell r="CO121"/>
          <cell r="CP121"/>
          <cell r="CQ121"/>
          <cell r="CR121"/>
          <cell r="CS121"/>
          <cell r="CT121"/>
          <cell r="CU121"/>
          <cell r="CV121"/>
          <cell r="CW121"/>
          <cell r="CX121"/>
          <cell r="CY121"/>
          <cell r="CZ121"/>
          <cell r="DA121"/>
          <cell r="DB121"/>
          <cell r="DC121"/>
          <cell r="DD121"/>
          <cell r="DE121"/>
          <cell r="DF121"/>
          <cell r="DG121"/>
          <cell r="DH121"/>
          <cell r="DI121"/>
          <cell r="DJ121"/>
          <cell r="DK121"/>
          <cell r="DL121"/>
          <cell r="DM121"/>
          <cell r="DN121"/>
          <cell r="DO121"/>
          <cell r="DP121"/>
          <cell r="DQ121"/>
          <cell r="DR121"/>
          <cell r="DS121"/>
          <cell r="DT121"/>
          <cell r="DU121"/>
          <cell r="DV121">
            <v>0</v>
          </cell>
          <cell r="DW121"/>
          <cell r="DX121"/>
          <cell r="DY121"/>
          <cell r="DZ121"/>
          <cell r="EA121"/>
          <cell r="EB121"/>
          <cell r="EC121"/>
          <cell r="ED121">
            <v>0</v>
          </cell>
          <cell r="EE121"/>
          <cell r="EF121"/>
          <cell r="EG121">
            <v>0</v>
          </cell>
          <cell r="EH121">
            <v>0</v>
          </cell>
          <cell r="EI121"/>
          <cell r="EJ121"/>
          <cell r="EK121"/>
          <cell r="EL121"/>
          <cell r="EM121"/>
          <cell r="EN121"/>
          <cell r="EO121"/>
          <cell r="EP121"/>
          <cell r="EQ121"/>
          <cell r="ER121"/>
          <cell r="ES121"/>
          <cell r="ET121"/>
          <cell r="EU121"/>
          <cell r="EV121"/>
          <cell r="EW121"/>
          <cell r="EX121"/>
          <cell r="EY121"/>
          <cell r="EZ121"/>
          <cell r="FA121"/>
          <cell r="FB121"/>
          <cell r="FC121"/>
          <cell r="FD121"/>
          <cell r="FE121"/>
          <cell r="FF121"/>
          <cell r="FG121"/>
          <cell r="FH121"/>
          <cell r="FI121">
            <v>0</v>
          </cell>
          <cell r="FJ121"/>
          <cell r="FK121">
            <v>24138.49</v>
          </cell>
        </row>
        <row r="122">
          <cell r="A122" t="str">
            <v>Interest Expense</v>
          </cell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F122"/>
          <cell r="AG122"/>
          <cell r="AH122"/>
          <cell r="AI122"/>
          <cell r="AJ122"/>
          <cell r="AK122"/>
          <cell r="AL122"/>
          <cell r="AM122"/>
          <cell r="AN122"/>
          <cell r="AO122"/>
          <cell r="AP122"/>
          <cell r="AQ122"/>
          <cell r="AR122"/>
          <cell r="AS122"/>
          <cell r="AT122"/>
          <cell r="AU122"/>
          <cell r="AV122"/>
          <cell r="AW122"/>
          <cell r="AX122"/>
          <cell r="AY122"/>
          <cell r="AZ122"/>
          <cell r="BA122"/>
          <cell r="BB122"/>
          <cell r="BC122"/>
          <cell r="BD122"/>
          <cell r="BE122">
            <v>0</v>
          </cell>
          <cell r="BF122">
            <v>206372.82</v>
          </cell>
          <cell r="BG122"/>
          <cell r="BH122"/>
          <cell r="BI122">
            <v>0</v>
          </cell>
          <cell r="BJ122"/>
          <cell r="BK122"/>
          <cell r="BL122">
            <v>0</v>
          </cell>
          <cell r="BM122"/>
          <cell r="BN122"/>
          <cell r="BO122"/>
          <cell r="BP122"/>
          <cell r="BQ122"/>
          <cell r="BR122"/>
          <cell r="BS122"/>
          <cell r="BT122"/>
          <cell r="BU122"/>
          <cell r="BV122"/>
          <cell r="BW122"/>
          <cell r="BX122"/>
          <cell r="BY122"/>
          <cell r="BZ122"/>
          <cell r="CA122"/>
          <cell r="CB122"/>
          <cell r="CC122"/>
          <cell r="CD122"/>
          <cell r="CE122"/>
          <cell r="CF122">
            <v>0</v>
          </cell>
          <cell r="CG122"/>
          <cell r="CH122"/>
          <cell r="CI122"/>
          <cell r="CJ122"/>
          <cell r="CK122"/>
          <cell r="CL122"/>
          <cell r="CM122"/>
          <cell r="CN122"/>
          <cell r="CO122"/>
          <cell r="CP122">
            <v>78.08</v>
          </cell>
          <cell r="CQ122"/>
          <cell r="CR122"/>
          <cell r="CS122"/>
          <cell r="CT122"/>
          <cell r="CU122"/>
          <cell r="CV122"/>
          <cell r="CW122"/>
          <cell r="CX122"/>
          <cell r="CY122"/>
          <cell r="CZ122"/>
          <cell r="DA122"/>
          <cell r="DB122"/>
          <cell r="DC122"/>
          <cell r="DD122"/>
          <cell r="DE122"/>
          <cell r="DF122"/>
          <cell r="DG122"/>
          <cell r="DH122"/>
          <cell r="DI122"/>
          <cell r="DJ122"/>
          <cell r="DK122"/>
          <cell r="DL122"/>
          <cell r="DM122"/>
          <cell r="DN122"/>
          <cell r="DO122"/>
          <cell r="DP122"/>
          <cell r="DQ122"/>
          <cell r="DR122"/>
          <cell r="DS122"/>
          <cell r="DT122"/>
          <cell r="DU122"/>
          <cell r="DV122">
            <v>0</v>
          </cell>
          <cell r="DW122"/>
          <cell r="DX122"/>
          <cell r="DY122"/>
          <cell r="DZ122"/>
          <cell r="EA122"/>
          <cell r="EB122"/>
          <cell r="EC122"/>
          <cell r="ED122">
            <v>0</v>
          </cell>
          <cell r="EE122"/>
          <cell r="EF122"/>
          <cell r="EG122">
            <v>0</v>
          </cell>
          <cell r="EH122">
            <v>78.08</v>
          </cell>
          <cell r="EI122"/>
          <cell r="EJ122"/>
          <cell r="EK122"/>
          <cell r="EL122"/>
          <cell r="EM122"/>
          <cell r="EN122"/>
          <cell r="EO122"/>
          <cell r="EP122"/>
          <cell r="EQ122"/>
          <cell r="ER122"/>
          <cell r="ES122"/>
          <cell r="ET122"/>
          <cell r="EU122"/>
          <cell r="EV122"/>
          <cell r="EW122"/>
          <cell r="EX122"/>
          <cell r="EY122"/>
          <cell r="EZ122"/>
          <cell r="FA122"/>
          <cell r="FB122"/>
          <cell r="FC122"/>
          <cell r="FD122"/>
          <cell r="FE122"/>
          <cell r="FF122"/>
          <cell r="FG122"/>
          <cell r="FH122"/>
          <cell r="FI122">
            <v>0</v>
          </cell>
          <cell r="FJ122"/>
          <cell r="FK122">
            <v>206450.9</v>
          </cell>
        </row>
        <row r="123">
          <cell r="A123" t="str">
            <v>Investor Dinner</v>
          </cell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  <cell r="AE123"/>
          <cell r="AF123"/>
          <cell r="AG123"/>
          <cell r="AH123"/>
          <cell r="AI123"/>
          <cell r="AJ123"/>
          <cell r="AK123"/>
          <cell r="AL123"/>
          <cell r="AM123"/>
          <cell r="AN123"/>
          <cell r="AO123"/>
          <cell r="AP123"/>
          <cell r="AQ123"/>
          <cell r="AR123"/>
          <cell r="AS123"/>
          <cell r="AT123"/>
          <cell r="AU123"/>
          <cell r="AV123"/>
          <cell r="AW123"/>
          <cell r="AX123"/>
          <cell r="AY123"/>
          <cell r="AZ123"/>
          <cell r="BA123"/>
          <cell r="BB123"/>
          <cell r="BC123"/>
          <cell r="BD123"/>
          <cell r="BE123">
            <v>0</v>
          </cell>
          <cell r="BF123">
            <v>3882.79</v>
          </cell>
          <cell r="BG123"/>
          <cell r="BH123"/>
          <cell r="BI123">
            <v>0</v>
          </cell>
          <cell r="BJ123"/>
          <cell r="BK123"/>
          <cell r="BL123">
            <v>0</v>
          </cell>
          <cell r="BM123"/>
          <cell r="BN123"/>
          <cell r="BO123"/>
          <cell r="BP123"/>
          <cell r="BQ123"/>
          <cell r="BR123"/>
          <cell r="BS123"/>
          <cell r="BT123"/>
          <cell r="BU123"/>
          <cell r="BV123"/>
          <cell r="BW123"/>
          <cell r="BX123"/>
          <cell r="BY123"/>
          <cell r="BZ123"/>
          <cell r="CA123"/>
          <cell r="CB123"/>
          <cell r="CC123"/>
          <cell r="CD123"/>
          <cell r="CE123"/>
          <cell r="CF123">
            <v>0</v>
          </cell>
          <cell r="CG123"/>
          <cell r="CH123"/>
          <cell r="CI123"/>
          <cell r="CJ123"/>
          <cell r="CK123"/>
          <cell r="CL123"/>
          <cell r="CM123"/>
          <cell r="CN123"/>
          <cell r="CO123"/>
          <cell r="CP123"/>
          <cell r="CQ123"/>
          <cell r="CR123"/>
          <cell r="CS123"/>
          <cell r="CT123"/>
          <cell r="CU123"/>
          <cell r="CV123"/>
          <cell r="CW123"/>
          <cell r="CX123"/>
          <cell r="CY123"/>
          <cell r="CZ123"/>
          <cell r="DA123"/>
          <cell r="DB123"/>
          <cell r="DC123"/>
          <cell r="DD123"/>
          <cell r="DE123"/>
          <cell r="DF123"/>
          <cell r="DG123"/>
          <cell r="DH123"/>
          <cell r="DI123"/>
          <cell r="DJ123"/>
          <cell r="DK123"/>
          <cell r="DL123"/>
          <cell r="DM123"/>
          <cell r="DN123"/>
          <cell r="DO123"/>
          <cell r="DP123"/>
          <cell r="DQ123"/>
          <cell r="DR123"/>
          <cell r="DS123"/>
          <cell r="DT123"/>
          <cell r="DU123"/>
          <cell r="DV123">
            <v>0</v>
          </cell>
          <cell r="DW123"/>
          <cell r="DX123"/>
          <cell r="DY123"/>
          <cell r="DZ123"/>
          <cell r="EA123"/>
          <cell r="EB123"/>
          <cell r="EC123"/>
          <cell r="ED123">
            <v>0</v>
          </cell>
          <cell r="EE123"/>
          <cell r="EF123"/>
          <cell r="EG123">
            <v>0</v>
          </cell>
          <cell r="EH123">
            <v>0</v>
          </cell>
          <cell r="EI123"/>
          <cell r="EJ123"/>
          <cell r="EK123"/>
          <cell r="EL123"/>
          <cell r="EM123"/>
          <cell r="EN123"/>
          <cell r="EO123"/>
          <cell r="EP123"/>
          <cell r="EQ123"/>
          <cell r="ER123"/>
          <cell r="ES123"/>
          <cell r="ET123"/>
          <cell r="EU123"/>
          <cell r="EV123"/>
          <cell r="EW123"/>
          <cell r="EX123"/>
          <cell r="EY123"/>
          <cell r="EZ123"/>
          <cell r="FA123"/>
          <cell r="FB123"/>
          <cell r="FC123"/>
          <cell r="FD123"/>
          <cell r="FE123"/>
          <cell r="FF123"/>
          <cell r="FG123"/>
          <cell r="FH123"/>
          <cell r="FI123">
            <v>0</v>
          </cell>
          <cell r="FJ123"/>
          <cell r="FK123">
            <v>3882.79</v>
          </cell>
        </row>
        <row r="124">
          <cell r="A124" t="str">
            <v>Meals and Entertainment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  <cell r="AE124"/>
          <cell r="AF124"/>
          <cell r="AG124"/>
          <cell r="AH124"/>
          <cell r="AI124"/>
          <cell r="AJ124"/>
          <cell r="AK124"/>
          <cell r="AL124"/>
          <cell r="AM124"/>
          <cell r="AN124"/>
          <cell r="AO124"/>
          <cell r="AP124"/>
          <cell r="AQ124"/>
          <cell r="AR124"/>
          <cell r="AS124"/>
          <cell r="AT124"/>
          <cell r="AU124"/>
          <cell r="AV124"/>
          <cell r="AW124"/>
          <cell r="AX124"/>
          <cell r="AY124"/>
          <cell r="AZ124"/>
          <cell r="BA124"/>
          <cell r="BB124"/>
          <cell r="BC124"/>
          <cell r="BD124"/>
          <cell r="BE124">
            <v>0</v>
          </cell>
          <cell r="BF124">
            <v>323.33</v>
          </cell>
          <cell r="BG124"/>
          <cell r="BH124"/>
          <cell r="BI124">
            <v>0</v>
          </cell>
          <cell r="BJ124"/>
          <cell r="BK124"/>
          <cell r="BL124">
            <v>0</v>
          </cell>
          <cell r="BM124"/>
          <cell r="BN124"/>
          <cell r="BO124"/>
          <cell r="BP124"/>
          <cell r="BQ124"/>
          <cell r="BR124"/>
          <cell r="BS124"/>
          <cell r="BT124"/>
          <cell r="BU124"/>
          <cell r="BV124"/>
          <cell r="BW124"/>
          <cell r="BX124"/>
          <cell r="BY124"/>
          <cell r="BZ124"/>
          <cell r="CA124"/>
          <cell r="CB124"/>
          <cell r="CC124"/>
          <cell r="CD124"/>
          <cell r="CE124"/>
          <cell r="CF124">
            <v>0</v>
          </cell>
          <cell r="CG124"/>
          <cell r="CH124"/>
          <cell r="CI124"/>
          <cell r="CJ124"/>
          <cell r="CK124"/>
          <cell r="CL124"/>
          <cell r="CM124"/>
          <cell r="CN124"/>
          <cell r="CO124"/>
          <cell r="CP124"/>
          <cell r="CQ124"/>
          <cell r="CR124"/>
          <cell r="CS124"/>
          <cell r="CT124"/>
          <cell r="CU124"/>
          <cell r="CV124"/>
          <cell r="CW124"/>
          <cell r="CX124"/>
          <cell r="CY124"/>
          <cell r="CZ124"/>
          <cell r="DA124"/>
          <cell r="DB124"/>
          <cell r="DC124"/>
          <cell r="DD124"/>
          <cell r="DE124"/>
          <cell r="DF124"/>
          <cell r="DG124"/>
          <cell r="DH124"/>
          <cell r="DI124"/>
          <cell r="DJ124"/>
          <cell r="DK124"/>
          <cell r="DL124"/>
          <cell r="DM124"/>
          <cell r="DN124"/>
          <cell r="DO124"/>
          <cell r="DP124"/>
          <cell r="DQ124"/>
          <cell r="DR124"/>
          <cell r="DS124"/>
          <cell r="DT124"/>
          <cell r="DU124"/>
          <cell r="DV124">
            <v>0</v>
          </cell>
          <cell r="DW124"/>
          <cell r="DX124"/>
          <cell r="DY124"/>
          <cell r="DZ124"/>
          <cell r="EA124"/>
          <cell r="EB124"/>
          <cell r="EC124"/>
          <cell r="ED124">
            <v>0</v>
          </cell>
          <cell r="EE124"/>
          <cell r="EF124"/>
          <cell r="EG124">
            <v>0</v>
          </cell>
          <cell r="EH124">
            <v>0</v>
          </cell>
          <cell r="EI124"/>
          <cell r="EJ124"/>
          <cell r="EK124"/>
          <cell r="EL124"/>
          <cell r="EM124"/>
          <cell r="EN124"/>
          <cell r="EO124"/>
          <cell r="EP124"/>
          <cell r="EQ124"/>
          <cell r="ER124"/>
          <cell r="ES124"/>
          <cell r="ET124"/>
          <cell r="EU124"/>
          <cell r="EV124"/>
          <cell r="EW124"/>
          <cell r="EX124"/>
          <cell r="EY124"/>
          <cell r="EZ124"/>
          <cell r="FA124"/>
          <cell r="FB124"/>
          <cell r="FC124"/>
          <cell r="FD124"/>
          <cell r="FE124"/>
          <cell r="FF124"/>
          <cell r="FG124"/>
          <cell r="FH124"/>
          <cell r="FI124">
            <v>0</v>
          </cell>
          <cell r="FJ124"/>
          <cell r="FK124">
            <v>323.33</v>
          </cell>
        </row>
        <row r="125">
          <cell r="A125" t="str">
            <v>Meals</v>
          </cell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  <cell r="S125"/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  <cell r="AE125"/>
          <cell r="AF125"/>
          <cell r="AG125"/>
          <cell r="AH125"/>
          <cell r="AI125"/>
          <cell r="AJ125"/>
          <cell r="AK125"/>
          <cell r="AL125"/>
          <cell r="AM125"/>
          <cell r="AN125"/>
          <cell r="AO125"/>
          <cell r="AP125"/>
          <cell r="AQ125"/>
          <cell r="AR125"/>
          <cell r="AS125"/>
          <cell r="AT125"/>
          <cell r="AU125"/>
          <cell r="AV125"/>
          <cell r="AW125"/>
          <cell r="AX125"/>
          <cell r="AY125"/>
          <cell r="AZ125"/>
          <cell r="BA125"/>
          <cell r="BB125"/>
          <cell r="BC125"/>
          <cell r="BD125"/>
          <cell r="BE125">
            <v>0</v>
          </cell>
          <cell r="BF125">
            <v>3585.02</v>
          </cell>
          <cell r="BG125"/>
          <cell r="BH125"/>
          <cell r="BI125">
            <v>0</v>
          </cell>
          <cell r="BJ125"/>
          <cell r="BK125"/>
          <cell r="BL125">
            <v>0</v>
          </cell>
          <cell r="BM125"/>
          <cell r="BN125"/>
          <cell r="BO125"/>
          <cell r="BP125"/>
          <cell r="BQ125"/>
          <cell r="BR125"/>
          <cell r="BS125"/>
          <cell r="BT125"/>
          <cell r="BU125"/>
          <cell r="BV125"/>
          <cell r="BW125"/>
          <cell r="BX125"/>
          <cell r="BY125"/>
          <cell r="BZ125"/>
          <cell r="CA125"/>
          <cell r="CB125"/>
          <cell r="CC125"/>
          <cell r="CD125"/>
          <cell r="CE125"/>
          <cell r="CF125">
            <v>0</v>
          </cell>
          <cell r="CG125"/>
          <cell r="CH125"/>
          <cell r="CI125"/>
          <cell r="CJ125"/>
          <cell r="CK125"/>
          <cell r="CL125"/>
          <cell r="CM125"/>
          <cell r="CN125"/>
          <cell r="CO125"/>
          <cell r="CP125"/>
          <cell r="CQ125"/>
          <cell r="CR125"/>
          <cell r="CS125"/>
          <cell r="CT125"/>
          <cell r="CU125"/>
          <cell r="CV125"/>
          <cell r="CW125"/>
          <cell r="CX125"/>
          <cell r="CY125"/>
          <cell r="CZ125"/>
          <cell r="DA125"/>
          <cell r="DB125"/>
          <cell r="DC125"/>
          <cell r="DD125"/>
          <cell r="DE125"/>
          <cell r="DF125"/>
          <cell r="DG125"/>
          <cell r="DH125"/>
          <cell r="DI125"/>
          <cell r="DJ125"/>
          <cell r="DK125"/>
          <cell r="DL125"/>
          <cell r="DM125"/>
          <cell r="DN125"/>
          <cell r="DO125"/>
          <cell r="DP125"/>
          <cell r="DQ125"/>
          <cell r="DR125"/>
          <cell r="DS125"/>
          <cell r="DT125"/>
          <cell r="DU125"/>
          <cell r="DV125">
            <v>0</v>
          </cell>
          <cell r="DW125"/>
          <cell r="DX125"/>
          <cell r="DY125"/>
          <cell r="DZ125"/>
          <cell r="EA125"/>
          <cell r="EB125"/>
          <cell r="EC125"/>
          <cell r="ED125">
            <v>0</v>
          </cell>
          <cell r="EE125"/>
          <cell r="EF125"/>
          <cell r="EG125">
            <v>0</v>
          </cell>
          <cell r="EH125">
            <v>0</v>
          </cell>
          <cell r="EI125"/>
          <cell r="EJ125"/>
          <cell r="EK125"/>
          <cell r="EL125"/>
          <cell r="EM125"/>
          <cell r="EN125"/>
          <cell r="EO125"/>
          <cell r="EP125"/>
          <cell r="EQ125"/>
          <cell r="ER125"/>
          <cell r="ES125"/>
          <cell r="ET125"/>
          <cell r="EU125"/>
          <cell r="EV125"/>
          <cell r="EW125"/>
          <cell r="EX125"/>
          <cell r="EY125"/>
          <cell r="EZ125"/>
          <cell r="FA125"/>
          <cell r="FB125"/>
          <cell r="FC125"/>
          <cell r="FD125"/>
          <cell r="FE125"/>
          <cell r="FF125"/>
          <cell r="FG125"/>
          <cell r="FH125"/>
          <cell r="FI125">
            <v>0</v>
          </cell>
          <cell r="FJ125">
            <v>20.440000000000001</v>
          </cell>
          <cell r="FK125">
            <v>3605.46</v>
          </cell>
        </row>
        <row r="126">
          <cell r="A126" t="str">
            <v>Total Meals and Entertainment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3908.35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0</v>
          </cell>
          <cell r="FH126">
            <v>0</v>
          </cell>
          <cell r="FI126">
            <v>0</v>
          </cell>
          <cell r="FJ126">
            <v>20.440000000000001</v>
          </cell>
          <cell r="FK126">
            <v>3928.79</v>
          </cell>
        </row>
        <row r="127">
          <cell r="A127" t="str">
            <v>Misc. Expenses</v>
          </cell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  <cell r="AE127"/>
          <cell r="AF127"/>
          <cell r="AG127"/>
          <cell r="AH127"/>
          <cell r="AI127"/>
          <cell r="AJ127"/>
          <cell r="AK127"/>
          <cell r="AL127"/>
          <cell r="AM127"/>
          <cell r="AN127"/>
          <cell r="AO127"/>
          <cell r="AP127"/>
          <cell r="AQ127"/>
          <cell r="AR127"/>
          <cell r="AS127"/>
          <cell r="AT127"/>
          <cell r="AU127"/>
          <cell r="AV127"/>
          <cell r="AW127"/>
          <cell r="AX127"/>
          <cell r="AY127"/>
          <cell r="AZ127"/>
          <cell r="BA127"/>
          <cell r="BB127"/>
          <cell r="BC127"/>
          <cell r="BD127"/>
          <cell r="BE127">
            <v>0</v>
          </cell>
          <cell r="BF127">
            <v>673</v>
          </cell>
          <cell r="BG127"/>
          <cell r="BH127"/>
          <cell r="BI127">
            <v>0</v>
          </cell>
          <cell r="BJ127"/>
          <cell r="BK127"/>
          <cell r="BL127">
            <v>0</v>
          </cell>
          <cell r="BM127"/>
          <cell r="BN127"/>
          <cell r="BO127"/>
          <cell r="BP127"/>
          <cell r="BQ127"/>
          <cell r="BR127"/>
          <cell r="BS127"/>
          <cell r="BT127"/>
          <cell r="BU127"/>
          <cell r="BV127"/>
          <cell r="BW127"/>
          <cell r="BX127"/>
          <cell r="BY127"/>
          <cell r="BZ127"/>
          <cell r="CA127"/>
          <cell r="CB127"/>
          <cell r="CC127"/>
          <cell r="CD127"/>
          <cell r="CE127"/>
          <cell r="CF127">
            <v>0</v>
          </cell>
          <cell r="CG127"/>
          <cell r="CH127"/>
          <cell r="CI127"/>
          <cell r="CJ127"/>
          <cell r="CK127"/>
          <cell r="CL127"/>
          <cell r="CM127"/>
          <cell r="CN127"/>
          <cell r="CO127"/>
          <cell r="CP127"/>
          <cell r="CQ127"/>
          <cell r="CR127"/>
          <cell r="CS127"/>
          <cell r="CT127"/>
          <cell r="CU127"/>
          <cell r="CV127"/>
          <cell r="CW127"/>
          <cell r="CX127"/>
          <cell r="CY127"/>
          <cell r="CZ127"/>
          <cell r="DA127"/>
          <cell r="DB127"/>
          <cell r="DC127"/>
          <cell r="DD127"/>
          <cell r="DE127"/>
          <cell r="DF127"/>
          <cell r="DG127"/>
          <cell r="DH127"/>
          <cell r="DI127"/>
          <cell r="DJ127"/>
          <cell r="DK127"/>
          <cell r="DL127"/>
          <cell r="DM127"/>
          <cell r="DN127"/>
          <cell r="DO127"/>
          <cell r="DP127"/>
          <cell r="DQ127"/>
          <cell r="DR127"/>
          <cell r="DS127"/>
          <cell r="DT127"/>
          <cell r="DU127"/>
          <cell r="DV127">
            <v>0</v>
          </cell>
          <cell r="DW127"/>
          <cell r="DX127"/>
          <cell r="DY127"/>
          <cell r="DZ127"/>
          <cell r="EA127"/>
          <cell r="EB127"/>
          <cell r="EC127"/>
          <cell r="ED127">
            <v>0</v>
          </cell>
          <cell r="EE127"/>
          <cell r="EF127"/>
          <cell r="EG127">
            <v>0</v>
          </cell>
          <cell r="EH127">
            <v>0</v>
          </cell>
          <cell r="EI127"/>
          <cell r="EJ127"/>
          <cell r="EK127"/>
          <cell r="EL127"/>
          <cell r="EM127"/>
          <cell r="EN127"/>
          <cell r="EO127"/>
          <cell r="EP127"/>
          <cell r="EQ127"/>
          <cell r="ER127"/>
          <cell r="ES127"/>
          <cell r="ET127"/>
          <cell r="EU127"/>
          <cell r="EV127"/>
          <cell r="EW127"/>
          <cell r="EX127"/>
          <cell r="EY127"/>
          <cell r="EZ127"/>
          <cell r="FA127"/>
          <cell r="FB127"/>
          <cell r="FC127"/>
          <cell r="FD127"/>
          <cell r="FE127"/>
          <cell r="FF127"/>
          <cell r="FG127"/>
          <cell r="FH127"/>
          <cell r="FI127">
            <v>0</v>
          </cell>
          <cell r="FJ127"/>
          <cell r="FK127">
            <v>673</v>
          </cell>
        </row>
        <row r="128">
          <cell r="A128" t="str">
            <v>Office Supplies and Expenses</v>
          </cell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  <cell r="AE128"/>
          <cell r="AF128"/>
          <cell r="AG128"/>
          <cell r="AH128"/>
          <cell r="AI128"/>
          <cell r="AJ128"/>
          <cell r="AK128"/>
          <cell r="AL128"/>
          <cell r="AM128"/>
          <cell r="AN128"/>
          <cell r="AO128"/>
          <cell r="AP128"/>
          <cell r="AQ128"/>
          <cell r="AR128"/>
          <cell r="AS128"/>
          <cell r="AT128"/>
          <cell r="AU128"/>
          <cell r="AV128"/>
          <cell r="AW128"/>
          <cell r="AX128"/>
          <cell r="AY128"/>
          <cell r="AZ128"/>
          <cell r="BA128"/>
          <cell r="BB128"/>
          <cell r="BC128"/>
          <cell r="BD128"/>
          <cell r="BE128">
            <v>0</v>
          </cell>
          <cell r="BF128">
            <v>7608.33</v>
          </cell>
          <cell r="BG128"/>
          <cell r="BH128"/>
          <cell r="BI128">
            <v>0</v>
          </cell>
          <cell r="BJ128"/>
          <cell r="BK128"/>
          <cell r="BL128">
            <v>0</v>
          </cell>
          <cell r="BM128"/>
          <cell r="BN128"/>
          <cell r="BO128"/>
          <cell r="BP128"/>
          <cell r="BQ128"/>
          <cell r="BR128"/>
          <cell r="BS128"/>
          <cell r="BT128"/>
          <cell r="BU128"/>
          <cell r="BV128"/>
          <cell r="BW128"/>
          <cell r="BX128"/>
          <cell r="BY128"/>
          <cell r="BZ128"/>
          <cell r="CA128"/>
          <cell r="CB128"/>
          <cell r="CC128"/>
          <cell r="CD128"/>
          <cell r="CE128"/>
          <cell r="CF128">
            <v>0</v>
          </cell>
          <cell r="CG128"/>
          <cell r="CH128"/>
          <cell r="CI128"/>
          <cell r="CJ128"/>
          <cell r="CK128"/>
          <cell r="CL128"/>
          <cell r="CM128"/>
          <cell r="CN128"/>
          <cell r="CO128"/>
          <cell r="CP128"/>
          <cell r="CQ128"/>
          <cell r="CR128"/>
          <cell r="CS128"/>
          <cell r="CT128"/>
          <cell r="CU128"/>
          <cell r="CV128"/>
          <cell r="CW128"/>
          <cell r="CX128"/>
          <cell r="CY128"/>
          <cell r="CZ128"/>
          <cell r="DA128"/>
          <cell r="DB128"/>
          <cell r="DC128"/>
          <cell r="DD128"/>
          <cell r="DE128"/>
          <cell r="DF128"/>
          <cell r="DG128"/>
          <cell r="DH128"/>
          <cell r="DI128"/>
          <cell r="DJ128"/>
          <cell r="DK128"/>
          <cell r="DL128"/>
          <cell r="DM128"/>
          <cell r="DN128"/>
          <cell r="DO128"/>
          <cell r="DP128"/>
          <cell r="DQ128"/>
          <cell r="DR128"/>
          <cell r="DS128"/>
          <cell r="DT128"/>
          <cell r="DU128"/>
          <cell r="DV128">
            <v>0</v>
          </cell>
          <cell r="DW128"/>
          <cell r="DX128"/>
          <cell r="DY128"/>
          <cell r="DZ128"/>
          <cell r="EA128"/>
          <cell r="EB128"/>
          <cell r="EC128"/>
          <cell r="ED128">
            <v>0</v>
          </cell>
          <cell r="EE128"/>
          <cell r="EF128"/>
          <cell r="EG128">
            <v>0</v>
          </cell>
          <cell r="EH128">
            <v>0</v>
          </cell>
          <cell r="EI128"/>
          <cell r="EJ128"/>
          <cell r="EK128"/>
          <cell r="EL128"/>
          <cell r="EM128"/>
          <cell r="EN128"/>
          <cell r="EO128"/>
          <cell r="EP128"/>
          <cell r="EQ128"/>
          <cell r="ER128"/>
          <cell r="ES128"/>
          <cell r="ET128"/>
          <cell r="EU128"/>
          <cell r="EV128"/>
          <cell r="EW128"/>
          <cell r="EX128"/>
          <cell r="EY128"/>
          <cell r="EZ128"/>
          <cell r="FA128"/>
          <cell r="FB128"/>
          <cell r="FC128"/>
          <cell r="FD128"/>
          <cell r="FE128"/>
          <cell r="FF128"/>
          <cell r="FG128"/>
          <cell r="FH128"/>
          <cell r="FI128">
            <v>0</v>
          </cell>
          <cell r="FJ128">
            <v>910.03</v>
          </cell>
          <cell r="FK128">
            <v>8518.36</v>
          </cell>
        </row>
        <row r="129">
          <cell r="A129" t="str">
            <v>Online Subscriptions</v>
          </cell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  <cell r="T129"/>
          <cell r="U129"/>
          <cell r="V129"/>
          <cell r="W129"/>
          <cell r="X129"/>
          <cell r="Y129"/>
          <cell r="Z129"/>
          <cell r="AA129"/>
          <cell r="AB129"/>
          <cell r="AC129"/>
          <cell r="AD129"/>
          <cell r="AE129"/>
          <cell r="AF129"/>
          <cell r="AG129"/>
          <cell r="AH129"/>
          <cell r="AI129"/>
          <cell r="AJ129"/>
          <cell r="AK129"/>
          <cell r="AL129"/>
          <cell r="AM129"/>
          <cell r="AN129"/>
          <cell r="AO129"/>
          <cell r="AP129"/>
          <cell r="AQ129"/>
          <cell r="AR129"/>
          <cell r="AS129"/>
          <cell r="AT129"/>
          <cell r="AU129"/>
          <cell r="AV129"/>
          <cell r="AW129"/>
          <cell r="AX129"/>
          <cell r="AY129"/>
          <cell r="AZ129"/>
          <cell r="BA129"/>
          <cell r="BB129"/>
          <cell r="BC129"/>
          <cell r="BD129"/>
          <cell r="BE129">
            <v>0</v>
          </cell>
          <cell r="BF129">
            <v>478.91</v>
          </cell>
          <cell r="BG129"/>
          <cell r="BH129"/>
          <cell r="BI129">
            <v>0</v>
          </cell>
          <cell r="BJ129"/>
          <cell r="BK129"/>
          <cell r="BL129">
            <v>0</v>
          </cell>
          <cell r="BM129"/>
          <cell r="BN129"/>
          <cell r="BO129"/>
          <cell r="BP129"/>
          <cell r="BQ129"/>
          <cell r="BR129"/>
          <cell r="BS129"/>
          <cell r="BT129"/>
          <cell r="BU129"/>
          <cell r="BV129"/>
          <cell r="BW129"/>
          <cell r="BX129"/>
          <cell r="BY129"/>
          <cell r="BZ129"/>
          <cell r="CA129"/>
          <cell r="CB129"/>
          <cell r="CC129"/>
          <cell r="CD129"/>
          <cell r="CE129"/>
          <cell r="CF129">
            <v>0</v>
          </cell>
          <cell r="CG129"/>
          <cell r="CH129"/>
          <cell r="CI129"/>
          <cell r="CJ129"/>
          <cell r="CK129"/>
          <cell r="CL129"/>
          <cell r="CM129"/>
          <cell r="CN129"/>
          <cell r="CO129"/>
          <cell r="CP129"/>
          <cell r="CQ129"/>
          <cell r="CR129"/>
          <cell r="CS129"/>
          <cell r="CT129"/>
          <cell r="CU129"/>
          <cell r="CV129"/>
          <cell r="CW129"/>
          <cell r="CX129"/>
          <cell r="CY129"/>
          <cell r="CZ129"/>
          <cell r="DA129"/>
          <cell r="DB129"/>
          <cell r="DC129"/>
          <cell r="DD129"/>
          <cell r="DE129"/>
          <cell r="DF129"/>
          <cell r="DG129"/>
          <cell r="DH129"/>
          <cell r="DI129"/>
          <cell r="DJ129"/>
          <cell r="DK129"/>
          <cell r="DL129"/>
          <cell r="DM129"/>
          <cell r="DN129"/>
          <cell r="DO129"/>
          <cell r="DP129"/>
          <cell r="DQ129"/>
          <cell r="DR129"/>
          <cell r="DS129"/>
          <cell r="DT129"/>
          <cell r="DU129"/>
          <cell r="DV129">
            <v>0</v>
          </cell>
          <cell r="DW129"/>
          <cell r="DX129"/>
          <cell r="DY129"/>
          <cell r="DZ129"/>
          <cell r="EA129"/>
          <cell r="EB129"/>
          <cell r="EC129"/>
          <cell r="ED129">
            <v>0</v>
          </cell>
          <cell r="EE129"/>
          <cell r="EF129"/>
          <cell r="EG129">
            <v>0</v>
          </cell>
          <cell r="EH129">
            <v>0</v>
          </cell>
          <cell r="EI129"/>
          <cell r="EJ129"/>
          <cell r="EK129"/>
          <cell r="EL129"/>
          <cell r="EM129"/>
          <cell r="EN129"/>
          <cell r="EO129"/>
          <cell r="EP129"/>
          <cell r="EQ129"/>
          <cell r="ER129"/>
          <cell r="ES129"/>
          <cell r="ET129"/>
          <cell r="EU129"/>
          <cell r="EV129"/>
          <cell r="EW129"/>
          <cell r="EX129"/>
          <cell r="EY129"/>
          <cell r="EZ129"/>
          <cell r="FA129"/>
          <cell r="FB129"/>
          <cell r="FC129"/>
          <cell r="FD129"/>
          <cell r="FE129"/>
          <cell r="FF129"/>
          <cell r="FG129"/>
          <cell r="FH129"/>
          <cell r="FI129">
            <v>0</v>
          </cell>
          <cell r="FJ129"/>
          <cell r="FK129">
            <v>478.91</v>
          </cell>
        </row>
        <row r="130">
          <cell r="A130" t="str">
            <v>Postage</v>
          </cell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  <cell r="AE130"/>
          <cell r="AF130"/>
          <cell r="AG130"/>
          <cell r="AH130"/>
          <cell r="AI130"/>
          <cell r="AJ130"/>
          <cell r="AK130"/>
          <cell r="AL130"/>
          <cell r="AM130"/>
          <cell r="AN130"/>
          <cell r="AO130"/>
          <cell r="AP130"/>
          <cell r="AQ130"/>
          <cell r="AR130"/>
          <cell r="AS130"/>
          <cell r="AT130"/>
          <cell r="AU130"/>
          <cell r="AV130"/>
          <cell r="AW130"/>
          <cell r="AX130"/>
          <cell r="AY130"/>
          <cell r="AZ130"/>
          <cell r="BA130"/>
          <cell r="BB130"/>
          <cell r="BC130"/>
          <cell r="BD130"/>
          <cell r="BE130">
            <v>0</v>
          </cell>
          <cell r="BF130">
            <v>647.35</v>
          </cell>
          <cell r="BG130"/>
          <cell r="BH130"/>
          <cell r="BI130">
            <v>0</v>
          </cell>
          <cell r="BJ130"/>
          <cell r="BK130"/>
          <cell r="BL130">
            <v>0</v>
          </cell>
          <cell r="BM130"/>
          <cell r="BN130"/>
          <cell r="BO130"/>
          <cell r="BP130"/>
          <cell r="BQ130"/>
          <cell r="BR130"/>
          <cell r="BS130"/>
          <cell r="BT130"/>
          <cell r="BU130"/>
          <cell r="BV130"/>
          <cell r="BW130"/>
          <cell r="BX130"/>
          <cell r="BY130"/>
          <cell r="BZ130"/>
          <cell r="CA130"/>
          <cell r="CB130"/>
          <cell r="CC130"/>
          <cell r="CD130"/>
          <cell r="CE130"/>
          <cell r="CF130">
            <v>0</v>
          </cell>
          <cell r="CG130"/>
          <cell r="CH130"/>
          <cell r="CI130"/>
          <cell r="CJ130"/>
          <cell r="CK130"/>
          <cell r="CL130"/>
          <cell r="CM130"/>
          <cell r="CN130"/>
          <cell r="CO130"/>
          <cell r="CP130"/>
          <cell r="CQ130"/>
          <cell r="CR130"/>
          <cell r="CS130"/>
          <cell r="CT130"/>
          <cell r="CU130"/>
          <cell r="CV130"/>
          <cell r="CW130"/>
          <cell r="CX130"/>
          <cell r="CY130"/>
          <cell r="CZ130"/>
          <cell r="DA130"/>
          <cell r="DB130"/>
          <cell r="DC130"/>
          <cell r="DD130"/>
          <cell r="DE130"/>
          <cell r="DF130"/>
          <cell r="DG130"/>
          <cell r="DH130"/>
          <cell r="DI130"/>
          <cell r="DJ130"/>
          <cell r="DK130"/>
          <cell r="DL130"/>
          <cell r="DM130"/>
          <cell r="DN130"/>
          <cell r="DO130"/>
          <cell r="DP130"/>
          <cell r="DQ130"/>
          <cell r="DR130"/>
          <cell r="DS130"/>
          <cell r="DT130"/>
          <cell r="DU130"/>
          <cell r="DV130">
            <v>0</v>
          </cell>
          <cell r="DW130"/>
          <cell r="DX130"/>
          <cell r="DY130"/>
          <cell r="DZ130"/>
          <cell r="EA130"/>
          <cell r="EB130"/>
          <cell r="EC130"/>
          <cell r="ED130">
            <v>0</v>
          </cell>
          <cell r="EE130"/>
          <cell r="EF130"/>
          <cell r="EG130">
            <v>0</v>
          </cell>
          <cell r="EH130">
            <v>0</v>
          </cell>
          <cell r="EI130"/>
          <cell r="EJ130"/>
          <cell r="EK130"/>
          <cell r="EL130"/>
          <cell r="EM130"/>
          <cell r="EN130"/>
          <cell r="EO130"/>
          <cell r="EP130"/>
          <cell r="EQ130"/>
          <cell r="ER130"/>
          <cell r="ES130"/>
          <cell r="ET130"/>
          <cell r="EU130"/>
          <cell r="EV130"/>
          <cell r="EW130"/>
          <cell r="EX130"/>
          <cell r="EY130"/>
          <cell r="EZ130"/>
          <cell r="FA130"/>
          <cell r="FB130"/>
          <cell r="FC130"/>
          <cell r="FD130"/>
          <cell r="FE130"/>
          <cell r="FF130"/>
          <cell r="FG130"/>
          <cell r="FH130"/>
          <cell r="FI130">
            <v>0</v>
          </cell>
          <cell r="FJ130"/>
          <cell r="FK130">
            <v>647.35</v>
          </cell>
        </row>
        <row r="131">
          <cell r="A131" t="str">
            <v>Professional Fees</v>
          </cell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  <cell r="T131"/>
          <cell r="U131"/>
          <cell r="V131"/>
          <cell r="W131"/>
          <cell r="X131"/>
          <cell r="Y131"/>
          <cell r="Z131"/>
          <cell r="AA131"/>
          <cell r="AB131"/>
          <cell r="AC131"/>
          <cell r="AD131"/>
          <cell r="AE131"/>
          <cell r="AF131"/>
          <cell r="AG131"/>
          <cell r="AH131"/>
          <cell r="AI131"/>
          <cell r="AJ131"/>
          <cell r="AK131"/>
          <cell r="AL131"/>
          <cell r="AM131"/>
          <cell r="AN131"/>
          <cell r="AO131"/>
          <cell r="AP131"/>
          <cell r="AQ131"/>
          <cell r="AR131"/>
          <cell r="AS131"/>
          <cell r="AT131"/>
          <cell r="AU131"/>
          <cell r="AV131"/>
          <cell r="AW131"/>
          <cell r="AX131"/>
          <cell r="AY131"/>
          <cell r="AZ131"/>
          <cell r="BA131"/>
          <cell r="BB131"/>
          <cell r="BC131"/>
          <cell r="BD131"/>
          <cell r="BE131">
            <v>0</v>
          </cell>
          <cell r="BF131">
            <v>150</v>
          </cell>
          <cell r="BG131"/>
          <cell r="BH131"/>
          <cell r="BI131">
            <v>0</v>
          </cell>
          <cell r="BJ131"/>
          <cell r="BK131"/>
          <cell r="BL131">
            <v>0</v>
          </cell>
          <cell r="BM131"/>
          <cell r="BN131"/>
          <cell r="BO131"/>
          <cell r="BP131"/>
          <cell r="BQ131"/>
          <cell r="BR131"/>
          <cell r="BS131"/>
          <cell r="BT131"/>
          <cell r="BU131"/>
          <cell r="BV131"/>
          <cell r="BW131"/>
          <cell r="BX131"/>
          <cell r="BY131"/>
          <cell r="BZ131"/>
          <cell r="CA131"/>
          <cell r="CB131"/>
          <cell r="CC131"/>
          <cell r="CD131"/>
          <cell r="CE131"/>
          <cell r="CF131">
            <v>0</v>
          </cell>
          <cell r="CG131"/>
          <cell r="CH131"/>
          <cell r="CI131"/>
          <cell r="CJ131"/>
          <cell r="CK131"/>
          <cell r="CL131"/>
          <cell r="CM131"/>
          <cell r="CN131"/>
          <cell r="CO131"/>
          <cell r="CP131"/>
          <cell r="CQ131"/>
          <cell r="CR131"/>
          <cell r="CS131"/>
          <cell r="CT131"/>
          <cell r="CU131"/>
          <cell r="CV131"/>
          <cell r="CW131"/>
          <cell r="CX131"/>
          <cell r="CY131"/>
          <cell r="CZ131"/>
          <cell r="DA131"/>
          <cell r="DB131"/>
          <cell r="DC131"/>
          <cell r="DD131"/>
          <cell r="DE131"/>
          <cell r="DF131"/>
          <cell r="DG131"/>
          <cell r="DH131"/>
          <cell r="DI131"/>
          <cell r="DJ131"/>
          <cell r="DK131"/>
          <cell r="DL131"/>
          <cell r="DM131"/>
          <cell r="DN131"/>
          <cell r="DO131"/>
          <cell r="DP131"/>
          <cell r="DQ131"/>
          <cell r="DR131"/>
          <cell r="DS131"/>
          <cell r="DT131"/>
          <cell r="DU131"/>
          <cell r="DV131">
            <v>0</v>
          </cell>
          <cell r="DW131"/>
          <cell r="DX131"/>
          <cell r="DY131"/>
          <cell r="DZ131"/>
          <cell r="EA131"/>
          <cell r="EB131"/>
          <cell r="EC131"/>
          <cell r="ED131">
            <v>0</v>
          </cell>
          <cell r="EE131"/>
          <cell r="EF131"/>
          <cell r="EG131">
            <v>0</v>
          </cell>
          <cell r="EH131">
            <v>0</v>
          </cell>
          <cell r="EI131"/>
          <cell r="EJ131"/>
          <cell r="EK131"/>
          <cell r="EL131"/>
          <cell r="EM131"/>
          <cell r="EN131"/>
          <cell r="EO131"/>
          <cell r="EP131"/>
          <cell r="EQ131"/>
          <cell r="ER131"/>
          <cell r="ES131"/>
          <cell r="ET131"/>
          <cell r="EU131"/>
          <cell r="EV131"/>
          <cell r="EW131"/>
          <cell r="EX131"/>
          <cell r="EY131"/>
          <cell r="EZ131"/>
          <cell r="FA131"/>
          <cell r="FB131"/>
          <cell r="FC131"/>
          <cell r="FD131"/>
          <cell r="FE131"/>
          <cell r="FF131"/>
          <cell r="FG131"/>
          <cell r="FH131"/>
          <cell r="FI131">
            <v>0</v>
          </cell>
          <cell r="FJ131"/>
          <cell r="FK131">
            <v>150</v>
          </cell>
        </row>
        <row r="132">
          <cell r="A132" t="str">
            <v>Accounting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  <cell r="AE132"/>
          <cell r="AF132"/>
          <cell r="AG132"/>
          <cell r="AH132"/>
          <cell r="AI132"/>
          <cell r="AJ132"/>
          <cell r="AK132"/>
          <cell r="AL132"/>
          <cell r="AM132"/>
          <cell r="AN132"/>
          <cell r="AO132"/>
          <cell r="AP132"/>
          <cell r="AQ132"/>
          <cell r="AR132"/>
          <cell r="AS132"/>
          <cell r="AT132"/>
          <cell r="AU132"/>
          <cell r="AV132"/>
          <cell r="AW132"/>
          <cell r="AX132"/>
          <cell r="AY132"/>
          <cell r="AZ132"/>
          <cell r="BA132"/>
          <cell r="BB132"/>
          <cell r="BC132"/>
          <cell r="BD132"/>
          <cell r="BE132">
            <v>0</v>
          </cell>
          <cell r="BF132">
            <v>80699.98</v>
          </cell>
          <cell r="BG132"/>
          <cell r="BH132"/>
          <cell r="BI132">
            <v>0</v>
          </cell>
          <cell r="BJ132"/>
          <cell r="BK132"/>
          <cell r="BL132">
            <v>0</v>
          </cell>
          <cell r="BM132"/>
          <cell r="BN132"/>
          <cell r="BO132"/>
          <cell r="BP132"/>
          <cell r="BQ132"/>
          <cell r="BR132"/>
          <cell r="BS132"/>
          <cell r="BT132"/>
          <cell r="BU132"/>
          <cell r="BV132"/>
          <cell r="BW132"/>
          <cell r="BX132"/>
          <cell r="BY132"/>
          <cell r="BZ132"/>
          <cell r="CA132"/>
          <cell r="CB132"/>
          <cell r="CC132"/>
          <cell r="CD132"/>
          <cell r="CE132"/>
          <cell r="CF132">
            <v>0</v>
          </cell>
          <cell r="CG132"/>
          <cell r="CH132"/>
          <cell r="CI132"/>
          <cell r="CJ132"/>
          <cell r="CK132"/>
          <cell r="CL132"/>
          <cell r="CM132"/>
          <cell r="CN132"/>
          <cell r="CO132"/>
          <cell r="CP132"/>
          <cell r="CQ132"/>
          <cell r="CR132"/>
          <cell r="CS132"/>
          <cell r="CT132"/>
          <cell r="CU132"/>
          <cell r="CV132"/>
          <cell r="CW132"/>
          <cell r="CX132"/>
          <cell r="CY132"/>
          <cell r="CZ132"/>
          <cell r="DA132"/>
          <cell r="DB132"/>
          <cell r="DC132"/>
          <cell r="DD132"/>
          <cell r="DE132"/>
          <cell r="DF132"/>
          <cell r="DG132"/>
          <cell r="DH132"/>
          <cell r="DI132"/>
          <cell r="DJ132"/>
          <cell r="DK132"/>
          <cell r="DL132"/>
          <cell r="DM132"/>
          <cell r="DN132"/>
          <cell r="DO132"/>
          <cell r="DP132"/>
          <cell r="DQ132"/>
          <cell r="DR132"/>
          <cell r="DS132"/>
          <cell r="DT132"/>
          <cell r="DU132"/>
          <cell r="DV132">
            <v>0</v>
          </cell>
          <cell r="DW132"/>
          <cell r="DX132"/>
          <cell r="DY132"/>
          <cell r="DZ132"/>
          <cell r="EA132"/>
          <cell r="EB132"/>
          <cell r="EC132"/>
          <cell r="ED132">
            <v>0</v>
          </cell>
          <cell r="EE132"/>
          <cell r="EF132"/>
          <cell r="EG132">
            <v>0</v>
          </cell>
          <cell r="EH132">
            <v>0</v>
          </cell>
          <cell r="EI132"/>
          <cell r="EJ132"/>
          <cell r="EK132"/>
          <cell r="EL132"/>
          <cell r="EM132"/>
          <cell r="EN132"/>
          <cell r="EO132"/>
          <cell r="EP132"/>
          <cell r="EQ132"/>
          <cell r="ER132"/>
          <cell r="ES132"/>
          <cell r="ET132"/>
          <cell r="EU132"/>
          <cell r="EV132"/>
          <cell r="EW132"/>
          <cell r="EX132"/>
          <cell r="EY132"/>
          <cell r="EZ132"/>
          <cell r="FA132"/>
          <cell r="FB132"/>
          <cell r="FC132"/>
          <cell r="FD132"/>
          <cell r="FE132"/>
          <cell r="FF132"/>
          <cell r="FG132"/>
          <cell r="FH132"/>
          <cell r="FI132">
            <v>0</v>
          </cell>
          <cell r="FJ132"/>
          <cell r="FK132">
            <v>80699.98</v>
          </cell>
        </row>
        <row r="133">
          <cell r="A133" t="str">
            <v>HR Services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  <cell r="Z133"/>
          <cell r="AA133"/>
          <cell r="AB133"/>
          <cell r="AC133"/>
          <cell r="AD133"/>
          <cell r="AE133"/>
          <cell r="AF133"/>
          <cell r="AG133"/>
          <cell r="AH133"/>
          <cell r="AI133"/>
          <cell r="AJ133"/>
          <cell r="AK133"/>
          <cell r="AL133"/>
          <cell r="AM133"/>
          <cell r="AN133"/>
          <cell r="AO133"/>
          <cell r="AP133"/>
          <cell r="AQ133"/>
          <cell r="AR133"/>
          <cell r="AS133"/>
          <cell r="AT133"/>
          <cell r="AU133"/>
          <cell r="AV133"/>
          <cell r="AW133"/>
          <cell r="AX133"/>
          <cell r="AY133"/>
          <cell r="AZ133"/>
          <cell r="BA133"/>
          <cell r="BB133"/>
          <cell r="BC133"/>
          <cell r="BD133"/>
          <cell r="BE133">
            <v>0</v>
          </cell>
          <cell r="BF133">
            <v>13950</v>
          </cell>
          <cell r="BG133"/>
          <cell r="BH133"/>
          <cell r="BI133">
            <v>0</v>
          </cell>
          <cell r="BJ133"/>
          <cell r="BK133"/>
          <cell r="BL133">
            <v>0</v>
          </cell>
          <cell r="BM133"/>
          <cell r="BN133"/>
          <cell r="BO133"/>
          <cell r="BP133"/>
          <cell r="BQ133"/>
          <cell r="BR133"/>
          <cell r="BS133"/>
          <cell r="BT133"/>
          <cell r="BU133"/>
          <cell r="BV133"/>
          <cell r="BW133"/>
          <cell r="BX133"/>
          <cell r="BY133"/>
          <cell r="BZ133"/>
          <cell r="CA133"/>
          <cell r="CB133"/>
          <cell r="CC133"/>
          <cell r="CD133"/>
          <cell r="CE133"/>
          <cell r="CF133">
            <v>0</v>
          </cell>
          <cell r="CG133"/>
          <cell r="CH133"/>
          <cell r="CI133"/>
          <cell r="CJ133"/>
          <cell r="CK133"/>
          <cell r="CL133"/>
          <cell r="CM133"/>
          <cell r="CN133"/>
          <cell r="CO133"/>
          <cell r="CP133"/>
          <cell r="CQ133"/>
          <cell r="CR133"/>
          <cell r="CS133"/>
          <cell r="CT133"/>
          <cell r="CU133"/>
          <cell r="CV133"/>
          <cell r="CW133"/>
          <cell r="CX133"/>
          <cell r="CY133"/>
          <cell r="CZ133"/>
          <cell r="DA133"/>
          <cell r="DB133"/>
          <cell r="DC133"/>
          <cell r="DD133"/>
          <cell r="DE133"/>
          <cell r="DF133"/>
          <cell r="DG133"/>
          <cell r="DH133"/>
          <cell r="DI133"/>
          <cell r="DJ133"/>
          <cell r="DK133"/>
          <cell r="DL133"/>
          <cell r="DM133"/>
          <cell r="DN133"/>
          <cell r="DO133"/>
          <cell r="DP133"/>
          <cell r="DQ133"/>
          <cell r="DR133"/>
          <cell r="DS133"/>
          <cell r="DT133"/>
          <cell r="DU133"/>
          <cell r="DV133">
            <v>0</v>
          </cell>
          <cell r="DW133"/>
          <cell r="DX133"/>
          <cell r="DY133"/>
          <cell r="DZ133"/>
          <cell r="EA133"/>
          <cell r="EB133"/>
          <cell r="EC133"/>
          <cell r="ED133">
            <v>0</v>
          </cell>
          <cell r="EE133"/>
          <cell r="EF133"/>
          <cell r="EG133">
            <v>0</v>
          </cell>
          <cell r="EH133">
            <v>0</v>
          </cell>
          <cell r="EI133"/>
          <cell r="EJ133"/>
          <cell r="EK133"/>
          <cell r="EL133"/>
          <cell r="EM133"/>
          <cell r="EN133"/>
          <cell r="EO133"/>
          <cell r="EP133"/>
          <cell r="EQ133"/>
          <cell r="ER133"/>
          <cell r="ES133"/>
          <cell r="ET133"/>
          <cell r="EU133"/>
          <cell r="EV133"/>
          <cell r="EW133"/>
          <cell r="EX133"/>
          <cell r="EY133"/>
          <cell r="EZ133"/>
          <cell r="FA133"/>
          <cell r="FB133"/>
          <cell r="FC133"/>
          <cell r="FD133"/>
          <cell r="FE133"/>
          <cell r="FF133"/>
          <cell r="FG133"/>
          <cell r="FH133"/>
          <cell r="FI133">
            <v>0</v>
          </cell>
          <cell r="FJ133"/>
          <cell r="FK133">
            <v>13950</v>
          </cell>
        </row>
        <row r="134">
          <cell r="A134" t="str">
            <v>Legal Fees</v>
          </cell>
          <cell r="B134"/>
          <cell r="C134"/>
          <cell r="D134"/>
          <cell r="E134">
            <v>270</v>
          </cell>
          <cell r="F134"/>
          <cell r="G134"/>
          <cell r="H134"/>
          <cell r="I134"/>
          <cell r="J134"/>
          <cell r="K134"/>
          <cell r="L134"/>
          <cell r="M134"/>
          <cell r="N134"/>
          <cell r="O134">
            <v>1628.23</v>
          </cell>
          <cell r="P134"/>
          <cell r="Q134"/>
          <cell r="R134"/>
          <cell r="S134"/>
          <cell r="T134"/>
          <cell r="U134"/>
          <cell r="V134"/>
          <cell r="W134"/>
          <cell r="X134"/>
          <cell r="Y134"/>
          <cell r="Z134"/>
          <cell r="AA134"/>
          <cell r="AB134"/>
          <cell r="AC134"/>
          <cell r="AD134"/>
          <cell r="AE134"/>
          <cell r="AF134"/>
          <cell r="AG134"/>
          <cell r="AH134">
            <v>600</v>
          </cell>
          <cell r="AI134"/>
          <cell r="AJ134"/>
          <cell r="AK134"/>
          <cell r="AL134"/>
          <cell r="AM134"/>
          <cell r="AN134"/>
          <cell r="AO134"/>
          <cell r="AP134"/>
          <cell r="AQ134"/>
          <cell r="AR134"/>
          <cell r="AS134"/>
          <cell r="AT134"/>
          <cell r="AU134"/>
          <cell r="AV134"/>
          <cell r="AW134"/>
          <cell r="AX134"/>
          <cell r="AY134"/>
          <cell r="AZ134"/>
          <cell r="BA134"/>
          <cell r="BB134"/>
          <cell r="BC134">
            <v>186</v>
          </cell>
          <cell r="BD134"/>
          <cell r="BE134">
            <v>786</v>
          </cell>
          <cell r="BF134">
            <v>24800.31</v>
          </cell>
          <cell r="BG134"/>
          <cell r="BH134"/>
          <cell r="BI134">
            <v>0</v>
          </cell>
          <cell r="BJ134"/>
          <cell r="BK134"/>
          <cell r="BL134">
            <v>0</v>
          </cell>
          <cell r="BM134">
            <v>150</v>
          </cell>
          <cell r="BN134"/>
          <cell r="BO134"/>
          <cell r="BP134"/>
          <cell r="BQ134"/>
          <cell r="BR134"/>
          <cell r="BS134"/>
          <cell r="BT134"/>
          <cell r="BU134"/>
          <cell r="BV134"/>
          <cell r="BW134"/>
          <cell r="BX134"/>
          <cell r="BY134"/>
          <cell r="BZ134"/>
          <cell r="CA134"/>
          <cell r="CB134"/>
          <cell r="CC134"/>
          <cell r="CD134"/>
          <cell r="CE134"/>
          <cell r="CF134">
            <v>150</v>
          </cell>
          <cell r="CG134"/>
          <cell r="CH134"/>
          <cell r="CI134"/>
          <cell r="CJ134"/>
          <cell r="CK134"/>
          <cell r="CL134"/>
          <cell r="CM134">
            <v>387</v>
          </cell>
          <cell r="CN134"/>
          <cell r="CO134"/>
          <cell r="CP134"/>
          <cell r="CQ134">
            <v>312</v>
          </cell>
          <cell r="CR134"/>
          <cell r="CS134"/>
          <cell r="CT134"/>
          <cell r="CU134"/>
          <cell r="CV134"/>
          <cell r="CW134">
            <v>442</v>
          </cell>
          <cell r="CX134"/>
          <cell r="CY134"/>
          <cell r="CZ134">
            <v>150</v>
          </cell>
          <cell r="DA134"/>
          <cell r="DB134"/>
          <cell r="DC134">
            <v>549.79999999999995</v>
          </cell>
          <cell r="DD134">
            <v>707</v>
          </cell>
          <cell r="DE134"/>
          <cell r="DF134"/>
          <cell r="DG134"/>
          <cell r="DH134"/>
          <cell r="DI134"/>
          <cell r="DJ134">
            <v>469</v>
          </cell>
          <cell r="DK134">
            <v>442</v>
          </cell>
          <cell r="DL134"/>
          <cell r="DM134"/>
          <cell r="DN134"/>
          <cell r="DO134"/>
          <cell r="DP134"/>
          <cell r="DQ134"/>
          <cell r="DR134"/>
          <cell r="DS134"/>
          <cell r="DT134"/>
          <cell r="DU134">
            <v>889</v>
          </cell>
          <cell r="DV134">
            <v>889</v>
          </cell>
          <cell r="DW134"/>
          <cell r="DX134"/>
          <cell r="DY134"/>
          <cell r="DZ134"/>
          <cell r="EA134"/>
          <cell r="EB134"/>
          <cell r="EC134"/>
          <cell r="ED134">
            <v>0</v>
          </cell>
          <cell r="EE134"/>
          <cell r="EF134"/>
          <cell r="EG134">
            <v>0</v>
          </cell>
          <cell r="EH134">
            <v>4347.8</v>
          </cell>
          <cell r="EI134"/>
          <cell r="EJ134"/>
          <cell r="EK134"/>
          <cell r="EL134"/>
          <cell r="EM134"/>
          <cell r="EN134"/>
          <cell r="EO134"/>
          <cell r="EP134"/>
          <cell r="EQ134"/>
          <cell r="ER134"/>
          <cell r="ES134"/>
          <cell r="ET134"/>
          <cell r="EU134">
            <v>1000</v>
          </cell>
          <cell r="EV134"/>
          <cell r="EW134"/>
          <cell r="EX134"/>
          <cell r="EY134"/>
          <cell r="EZ134"/>
          <cell r="FA134"/>
          <cell r="FB134"/>
          <cell r="FC134"/>
          <cell r="FD134"/>
          <cell r="FE134"/>
          <cell r="FF134"/>
          <cell r="FG134"/>
          <cell r="FH134"/>
          <cell r="FI134">
            <v>1000</v>
          </cell>
          <cell r="FJ134"/>
          <cell r="FK134">
            <v>32982.339999999997</v>
          </cell>
        </row>
        <row r="135">
          <cell r="A135" t="str">
            <v>Other Professional Fees</v>
          </cell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  <cell r="T135"/>
          <cell r="U135"/>
          <cell r="V135"/>
          <cell r="W135"/>
          <cell r="X135"/>
          <cell r="Y135"/>
          <cell r="Z135"/>
          <cell r="AA135"/>
          <cell r="AB135"/>
          <cell r="AC135"/>
          <cell r="AD135"/>
          <cell r="AE135"/>
          <cell r="AF135"/>
          <cell r="AG135"/>
          <cell r="AH135"/>
          <cell r="AI135"/>
          <cell r="AJ135"/>
          <cell r="AK135"/>
          <cell r="AL135">
            <v>150</v>
          </cell>
          <cell r="AM135"/>
          <cell r="AN135"/>
          <cell r="AO135"/>
          <cell r="AP135"/>
          <cell r="AQ135"/>
          <cell r="AR135"/>
          <cell r="AS135"/>
          <cell r="AT135"/>
          <cell r="AU135"/>
          <cell r="AV135"/>
          <cell r="AW135"/>
          <cell r="AX135"/>
          <cell r="AY135"/>
          <cell r="AZ135"/>
          <cell r="BA135"/>
          <cell r="BB135"/>
          <cell r="BC135"/>
          <cell r="BD135"/>
          <cell r="BE135">
            <v>150</v>
          </cell>
          <cell r="BF135">
            <v>52680.25</v>
          </cell>
          <cell r="BG135"/>
          <cell r="BH135"/>
          <cell r="BI135">
            <v>0</v>
          </cell>
          <cell r="BJ135"/>
          <cell r="BK135"/>
          <cell r="BL135">
            <v>0</v>
          </cell>
          <cell r="BM135"/>
          <cell r="BN135"/>
          <cell r="BO135"/>
          <cell r="BP135"/>
          <cell r="BQ135"/>
          <cell r="BR135">
            <v>150</v>
          </cell>
          <cell r="BS135"/>
          <cell r="BT135"/>
          <cell r="BU135"/>
          <cell r="BV135"/>
          <cell r="BW135"/>
          <cell r="BX135"/>
          <cell r="BY135"/>
          <cell r="BZ135"/>
          <cell r="CA135"/>
          <cell r="CB135"/>
          <cell r="CC135"/>
          <cell r="CD135"/>
          <cell r="CE135"/>
          <cell r="CF135">
            <v>150</v>
          </cell>
          <cell r="CG135"/>
          <cell r="CH135"/>
          <cell r="CI135"/>
          <cell r="CJ135"/>
          <cell r="CK135"/>
          <cell r="CL135"/>
          <cell r="CM135"/>
          <cell r="CN135"/>
          <cell r="CO135"/>
          <cell r="CP135"/>
          <cell r="CQ135"/>
          <cell r="CR135">
            <v>150</v>
          </cell>
          <cell r="CS135"/>
          <cell r="CT135"/>
          <cell r="CU135"/>
          <cell r="CV135"/>
          <cell r="CW135"/>
          <cell r="CX135"/>
          <cell r="CY135"/>
          <cell r="CZ135"/>
          <cell r="DA135"/>
          <cell r="DB135"/>
          <cell r="DC135"/>
          <cell r="DD135"/>
          <cell r="DE135"/>
          <cell r="DF135"/>
          <cell r="DG135"/>
          <cell r="DH135"/>
          <cell r="DI135"/>
          <cell r="DJ135"/>
          <cell r="DK135"/>
          <cell r="DL135"/>
          <cell r="DM135"/>
          <cell r="DN135"/>
          <cell r="DO135"/>
          <cell r="DP135"/>
          <cell r="DQ135"/>
          <cell r="DR135"/>
          <cell r="DS135"/>
          <cell r="DT135"/>
          <cell r="DU135"/>
          <cell r="DV135">
            <v>0</v>
          </cell>
          <cell r="DW135"/>
          <cell r="DX135"/>
          <cell r="DY135"/>
          <cell r="DZ135"/>
          <cell r="EA135"/>
          <cell r="EB135"/>
          <cell r="EC135"/>
          <cell r="ED135">
            <v>0</v>
          </cell>
          <cell r="EE135"/>
          <cell r="EF135"/>
          <cell r="EG135">
            <v>0</v>
          </cell>
          <cell r="EH135">
            <v>150</v>
          </cell>
          <cell r="EI135"/>
          <cell r="EJ135"/>
          <cell r="EK135"/>
          <cell r="EL135"/>
          <cell r="EM135"/>
          <cell r="EN135"/>
          <cell r="EO135"/>
          <cell r="EP135"/>
          <cell r="EQ135"/>
          <cell r="ER135"/>
          <cell r="ES135"/>
          <cell r="ET135"/>
          <cell r="EU135"/>
          <cell r="EV135"/>
          <cell r="EW135"/>
          <cell r="EX135"/>
          <cell r="EY135"/>
          <cell r="EZ135"/>
          <cell r="FA135"/>
          <cell r="FB135"/>
          <cell r="FC135"/>
          <cell r="FD135"/>
          <cell r="FE135"/>
          <cell r="FF135"/>
          <cell r="FG135"/>
          <cell r="FH135"/>
          <cell r="FI135">
            <v>0</v>
          </cell>
          <cell r="FJ135"/>
          <cell r="FK135">
            <v>53130.25</v>
          </cell>
        </row>
        <row r="136">
          <cell r="A136" t="str">
            <v>Total Professional Fees</v>
          </cell>
          <cell r="B136">
            <v>0</v>
          </cell>
          <cell r="C136">
            <v>0</v>
          </cell>
          <cell r="D136">
            <v>0</v>
          </cell>
          <cell r="E136">
            <v>270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1628.23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600</v>
          </cell>
          <cell r="AI136">
            <v>0</v>
          </cell>
          <cell r="AJ136">
            <v>0</v>
          </cell>
          <cell r="AK136">
            <v>0</v>
          </cell>
          <cell r="AL136">
            <v>150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186</v>
          </cell>
          <cell r="BD136">
            <v>0</v>
          </cell>
          <cell r="BE136">
            <v>936</v>
          </cell>
          <cell r="BF136">
            <v>172280.54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150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150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300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387</v>
          </cell>
          <cell r="CN136">
            <v>0</v>
          </cell>
          <cell r="CO136">
            <v>0</v>
          </cell>
          <cell r="CP136">
            <v>0</v>
          </cell>
          <cell r="CQ136">
            <v>312</v>
          </cell>
          <cell r="CR136">
            <v>150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442</v>
          </cell>
          <cell r="CX136">
            <v>0</v>
          </cell>
          <cell r="CY136">
            <v>0</v>
          </cell>
          <cell r="CZ136">
            <v>150</v>
          </cell>
          <cell r="DA136">
            <v>0</v>
          </cell>
          <cell r="DB136">
            <v>0</v>
          </cell>
          <cell r="DC136">
            <v>549.79999999999995</v>
          </cell>
          <cell r="DD136">
            <v>707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469</v>
          </cell>
          <cell r="DK136">
            <v>442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889</v>
          </cell>
          <cell r="DV136">
            <v>889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4497.8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T136">
            <v>0</v>
          </cell>
          <cell r="EU136">
            <v>1000</v>
          </cell>
          <cell r="EV136">
            <v>0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0</v>
          </cell>
          <cell r="FH136">
            <v>0</v>
          </cell>
          <cell r="FI136">
            <v>1000</v>
          </cell>
          <cell r="FJ136">
            <v>0</v>
          </cell>
          <cell r="FK136">
            <v>180912.57</v>
          </cell>
        </row>
        <row r="137">
          <cell r="A137" t="str">
            <v>Rent</v>
          </cell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  <cell r="S137"/>
          <cell r="T137"/>
          <cell r="U137"/>
          <cell r="V137"/>
          <cell r="W137"/>
          <cell r="X137"/>
          <cell r="Y137"/>
          <cell r="Z137"/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AT137"/>
          <cell r="AU137"/>
          <cell r="AV137"/>
          <cell r="AW137"/>
          <cell r="AX137"/>
          <cell r="AY137"/>
          <cell r="AZ137"/>
          <cell r="BA137"/>
          <cell r="BB137"/>
          <cell r="BC137"/>
          <cell r="BD137"/>
          <cell r="BE137">
            <v>0</v>
          </cell>
          <cell r="BF137">
            <v>32894.49</v>
          </cell>
          <cell r="BG137"/>
          <cell r="BH137"/>
          <cell r="BI137">
            <v>0</v>
          </cell>
          <cell r="BJ137"/>
          <cell r="BK137"/>
          <cell r="BL137">
            <v>0</v>
          </cell>
          <cell r="BM137"/>
          <cell r="BN137"/>
          <cell r="BO137"/>
          <cell r="BP137"/>
          <cell r="BQ137"/>
          <cell r="BR137"/>
          <cell r="BS137"/>
          <cell r="BT137"/>
          <cell r="BU137"/>
          <cell r="BV137"/>
          <cell r="BW137"/>
          <cell r="BX137"/>
          <cell r="BY137"/>
          <cell r="BZ137"/>
          <cell r="CA137"/>
          <cell r="CB137"/>
          <cell r="CC137"/>
          <cell r="CD137"/>
          <cell r="CE137"/>
          <cell r="CF137">
            <v>0</v>
          </cell>
          <cell r="CG137"/>
          <cell r="CH137"/>
          <cell r="CI137"/>
          <cell r="CJ137"/>
          <cell r="CK137"/>
          <cell r="CL137"/>
          <cell r="CM137"/>
          <cell r="CN137"/>
          <cell r="CO137"/>
          <cell r="CP137"/>
          <cell r="CQ137"/>
          <cell r="CR137"/>
          <cell r="CS137"/>
          <cell r="CT137"/>
          <cell r="CU137"/>
          <cell r="CV137"/>
          <cell r="CW137"/>
          <cell r="CX137"/>
          <cell r="CY137"/>
          <cell r="CZ137"/>
          <cell r="DA137"/>
          <cell r="DB137"/>
          <cell r="DC137"/>
          <cell r="DD137"/>
          <cell r="DE137"/>
          <cell r="DF137"/>
          <cell r="DG137"/>
          <cell r="DH137"/>
          <cell r="DI137"/>
          <cell r="DJ137"/>
          <cell r="DK137"/>
          <cell r="DL137"/>
          <cell r="DM137"/>
          <cell r="DN137"/>
          <cell r="DO137"/>
          <cell r="DP137"/>
          <cell r="DQ137"/>
          <cell r="DR137"/>
          <cell r="DS137"/>
          <cell r="DT137"/>
          <cell r="DU137"/>
          <cell r="DV137">
            <v>0</v>
          </cell>
          <cell r="DW137"/>
          <cell r="DX137"/>
          <cell r="DY137"/>
          <cell r="DZ137"/>
          <cell r="EA137"/>
          <cell r="EB137"/>
          <cell r="EC137"/>
          <cell r="ED137">
            <v>0</v>
          </cell>
          <cell r="EE137"/>
          <cell r="EF137"/>
          <cell r="EG137">
            <v>0</v>
          </cell>
          <cell r="EH137">
            <v>0</v>
          </cell>
          <cell r="EI137"/>
          <cell r="EJ137"/>
          <cell r="EK137"/>
          <cell r="EL137"/>
          <cell r="EM137"/>
          <cell r="EN137"/>
          <cell r="EO137"/>
          <cell r="EP137"/>
          <cell r="EQ137"/>
          <cell r="ER137"/>
          <cell r="ES137"/>
          <cell r="ET137"/>
          <cell r="EU137"/>
          <cell r="EV137"/>
          <cell r="EW137"/>
          <cell r="EX137"/>
          <cell r="EY137"/>
          <cell r="EZ137"/>
          <cell r="FA137"/>
          <cell r="FB137"/>
          <cell r="FC137"/>
          <cell r="FD137"/>
          <cell r="FE137"/>
          <cell r="FF137"/>
          <cell r="FG137"/>
          <cell r="FH137"/>
          <cell r="FI137">
            <v>0</v>
          </cell>
          <cell r="FJ137"/>
          <cell r="FK137">
            <v>32894.49</v>
          </cell>
        </row>
        <row r="138">
          <cell r="A138" t="str">
            <v>Technology and Software</v>
          </cell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  <cell r="S138"/>
          <cell r="T138"/>
          <cell r="U138"/>
          <cell r="V138"/>
          <cell r="W138"/>
          <cell r="X138"/>
          <cell r="Y138"/>
          <cell r="Z138"/>
          <cell r="AA138"/>
          <cell r="AB138"/>
          <cell r="AC138"/>
          <cell r="AD138"/>
          <cell r="AE138"/>
          <cell r="AF138"/>
          <cell r="AG138"/>
          <cell r="AH138"/>
          <cell r="AI138"/>
          <cell r="AJ138"/>
          <cell r="AK138"/>
          <cell r="AL138"/>
          <cell r="AM138"/>
          <cell r="AN138"/>
          <cell r="AO138"/>
          <cell r="AP138"/>
          <cell r="AQ138"/>
          <cell r="AR138"/>
          <cell r="AS138"/>
          <cell r="AT138"/>
          <cell r="AU138"/>
          <cell r="AV138"/>
          <cell r="AW138"/>
          <cell r="AX138"/>
          <cell r="AY138"/>
          <cell r="AZ138"/>
          <cell r="BA138"/>
          <cell r="BB138"/>
          <cell r="BC138"/>
          <cell r="BD138"/>
          <cell r="BE138">
            <v>0</v>
          </cell>
          <cell r="BF138">
            <v>20</v>
          </cell>
          <cell r="BG138"/>
          <cell r="BH138"/>
          <cell r="BI138">
            <v>0</v>
          </cell>
          <cell r="BJ138"/>
          <cell r="BK138"/>
          <cell r="BL138">
            <v>0</v>
          </cell>
          <cell r="BM138"/>
          <cell r="BN138"/>
          <cell r="BO138"/>
          <cell r="BP138"/>
          <cell r="BQ138"/>
          <cell r="BR138"/>
          <cell r="BS138"/>
          <cell r="BT138"/>
          <cell r="BU138"/>
          <cell r="BV138"/>
          <cell r="BW138"/>
          <cell r="BX138"/>
          <cell r="BY138"/>
          <cell r="BZ138"/>
          <cell r="CA138"/>
          <cell r="CB138"/>
          <cell r="CC138"/>
          <cell r="CD138"/>
          <cell r="CE138"/>
          <cell r="CF138">
            <v>0</v>
          </cell>
          <cell r="CG138"/>
          <cell r="CH138"/>
          <cell r="CI138"/>
          <cell r="CJ138"/>
          <cell r="CK138"/>
          <cell r="CL138"/>
          <cell r="CM138"/>
          <cell r="CN138"/>
          <cell r="CO138"/>
          <cell r="CP138"/>
          <cell r="CQ138"/>
          <cell r="CR138"/>
          <cell r="CS138"/>
          <cell r="CT138"/>
          <cell r="CU138"/>
          <cell r="CV138"/>
          <cell r="CW138"/>
          <cell r="CX138"/>
          <cell r="CY138"/>
          <cell r="CZ138"/>
          <cell r="DA138"/>
          <cell r="DB138"/>
          <cell r="DC138"/>
          <cell r="DD138"/>
          <cell r="DE138"/>
          <cell r="DF138"/>
          <cell r="DG138"/>
          <cell r="DH138"/>
          <cell r="DI138"/>
          <cell r="DJ138"/>
          <cell r="DK138"/>
          <cell r="DL138"/>
          <cell r="DM138"/>
          <cell r="DN138"/>
          <cell r="DO138"/>
          <cell r="DP138"/>
          <cell r="DQ138"/>
          <cell r="DR138"/>
          <cell r="DS138"/>
          <cell r="DT138"/>
          <cell r="DU138"/>
          <cell r="DV138">
            <v>0</v>
          </cell>
          <cell r="DW138"/>
          <cell r="DX138"/>
          <cell r="DY138"/>
          <cell r="DZ138"/>
          <cell r="EA138"/>
          <cell r="EB138"/>
          <cell r="EC138"/>
          <cell r="ED138">
            <v>0</v>
          </cell>
          <cell r="EE138"/>
          <cell r="EF138"/>
          <cell r="EG138">
            <v>0</v>
          </cell>
          <cell r="EH138">
            <v>0</v>
          </cell>
          <cell r="EI138"/>
          <cell r="EJ138"/>
          <cell r="EK138"/>
          <cell r="EL138"/>
          <cell r="EM138"/>
          <cell r="EN138"/>
          <cell r="EO138"/>
          <cell r="EP138"/>
          <cell r="EQ138"/>
          <cell r="ER138"/>
          <cell r="ES138"/>
          <cell r="ET138"/>
          <cell r="EU138"/>
          <cell r="EV138"/>
          <cell r="EW138"/>
          <cell r="EX138"/>
          <cell r="EY138"/>
          <cell r="EZ138"/>
          <cell r="FA138"/>
          <cell r="FB138"/>
          <cell r="FC138"/>
          <cell r="FD138"/>
          <cell r="FE138"/>
          <cell r="FF138"/>
          <cell r="FG138"/>
          <cell r="FH138"/>
          <cell r="FI138">
            <v>0</v>
          </cell>
          <cell r="FJ138"/>
          <cell r="FK138">
            <v>20</v>
          </cell>
        </row>
        <row r="139">
          <cell r="A139" t="str">
            <v>Adobe</v>
          </cell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  <cell r="AE139"/>
          <cell r="AF139"/>
          <cell r="AG139"/>
          <cell r="AH139"/>
          <cell r="AI139"/>
          <cell r="AJ139"/>
          <cell r="AK139"/>
          <cell r="AL139"/>
          <cell r="AM139"/>
          <cell r="AN139"/>
          <cell r="AO139"/>
          <cell r="AP139"/>
          <cell r="AQ139"/>
          <cell r="AR139"/>
          <cell r="AS139"/>
          <cell r="AT139"/>
          <cell r="AU139"/>
          <cell r="AV139"/>
          <cell r="AW139"/>
          <cell r="AX139"/>
          <cell r="AY139"/>
          <cell r="AZ139"/>
          <cell r="BA139"/>
          <cell r="BB139"/>
          <cell r="BC139"/>
          <cell r="BD139"/>
          <cell r="BE139">
            <v>0</v>
          </cell>
          <cell r="BF139">
            <v>825.75</v>
          </cell>
          <cell r="BG139"/>
          <cell r="BH139"/>
          <cell r="BI139">
            <v>0</v>
          </cell>
          <cell r="BJ139"/>
          <cell r="BK139"/>
          <cell r="BL139">
            <v>0</v>
          </cell>
          <cell r="BM139"/>
          <cell r="BN139"/>
          <cell r="BO139"/>
          <cell r="BP139"/>
          <cell r="BQ139"/>
          <cell r="BR139"/>
          <cell r="BS139"/>
          <cell r="BT139"/>
          <cell r="BU139"/>
          <cell r="BV139"/>
          <cell r="BW139"/>
          <cell r="BX139"/>
          <cell r="BY139"/>
          <cell r="BZ139"/>
          <cell r="CA139"/>
          <cell r="CB139"/>
          <cell r="CC139"/>
          <cell r="CD139"/>
          <cell r="CE139"/>
          <cell r="CF139">
            <v>0</v>
          </cell>
          <cell r="CG139"/>
          <cell r="CH139"/>
          <cell r="CI139"/>
          <cell r="CJ139"/>
          <cell r="CK139"/>
          <cell r="CL139"/>
          <cell r="CM139"/>
          <cell r="CN139"/>
          <cell r="CO139"/>
          <cell r="CP139"/>
          <cell r="CQ139"/>
          <cell r="CR139"/>
          <cell r="CS139"/>
          <cell r="CT139"/>
          <cell r="CU139"/>
          <cell r="CV139"/>
          <cell r="CW139"/>
          <cell r="CX139"/>
          <cell r="CY139"/>
          <cell r="CZ139"/>
          <cell r="DA139"/>
          <cell r="DB139"/>
          <cell r="DC139"/>
          <cell r="DD139"/>
          <cell r="DE139"/>
          <cell r="DF139"/>
          <cell r="DG139"/>
          <cell r="DH139"/>
          <cell r="DI139"/>
          <cell r="DJ139"/>
          <cell r="DK139"/>
          <cell r="DL139"/>
          <cell r="DM139"/>
          <cell r="DN139"/>
          <cell r="DO139"/>
          <cell r="DP139"/>
          <cell r="DQ139"/>
          <cell r="DR139"/>
          <cell r="DS139"/>
          <cell r="DT139"/>
          <cell r="DU139"/>
          <cell r="DV139">
            <v>0</v>
          </cell>
          <cell r="DW139"/>
          <cell r="DX139"/>
          <cell r="DY139"/>
          <cell r="DZ139"/>
          <cell r="EA139"/>
          <cell r="EB139"/>
          <cell r="EC139"/>
          <cell r="ED139">
            <v>0</v>
          </cell>
          <cell r="EE139"/>
          <cell r="EF139"/>
          <cell r="EG139">
            <v>0</v>
          </cell>
          <cell r="EH139">
            <v>0</v>
          </cell>
          <cell r="EI139"/>
          <cell r="EJ139"/>
          <cell r="EK139"/>
          <cell r="EL139"/>
          <cell r="EM139"/>
          <cell r="EN139"/>
          <cell r="EO139"/>
          <cell r="EP139"/>
          <cell r="EQ139"/>
          <cell r="ER139"/>
          <cell r="ES139"/>
          <cell r="ET139"/>
          <cell r="EU139"/>
          <cell r="EV139"/>
          <cell r="EW139"/>
          <cell r="EX139"/>
          <cell r="EY139"/>
          <cell r="EZ139"/>
          <cell r="FA139"/>
          <cell r="FB139"/>
          <cell r="FC139"/>
          <cell r="FD139"/>
          <cell r="FE139"/>
          <cell r="FF139"/>
          <cell r="FG139"/>
          <cell r="FH139"/>
          <cell r="FI139">
            <v>0</v>
          </cell>
          <cell r="FJ139"/>
          <cell r="FK139">
            <v>825.75</v>
          </cell>
        </row>
        <row r="140">
          <cell r="A140" t="str">
            <v>Bill.com</v>
          </cell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  <cell r="AE140"/>
          <cell r="AF140"/>
          <cell r="AG140"/>
          <cell r="AH140"/>
          <cell r="AI140"/>
          <cell r="AJ140"/>
          <cell r="AK140"/>
          <cell r="AL140"/>
          <cell r="AM140"/>
          <cell r="AN140"/>
          <cell r="AO140"/>
          <cell r="AP140"/>
          <cell r="AQ140"/>
          <cell r="AR140"/>
          <cell r="AS140"/>
          <cell r="AT140"/>
          <cell r="AU140"/>
          <cell r="AV140"/>
          <cell r="AW140"/>
          <cell r="AX140"/>
          <cell r="AY140"/>
          <cell r="AZ140"/>
          <cell r="BA140"/>
          <cell r="BB140"/>
          <cell r="BC140"/>
          <cell r="BD140"/>
          <cell r="BE140">
            <v>0</v>
          </cell>
          <cell r="BF140">
            <v>742.88</v>
          </cell>
          <cell r="BG140"/>
          <cell r="BH140"/>
          <cell r="BI140">
            <v>0</v>
          </cell>
          <cell r="BJ140"/>
          <cell r="BK140"/>
          <cell r="BL140">
            <v>0</v>
          </cell>
          <cell r="BM140"/>
          <cell r="BN140"/>
          <cell r="BO140"/>
          <cell r="BP140"/>
          <cell r="BQ140"/>
          <cell r="BR140"/>
          <cell r="BS140"/>
          <cell r="BT140"/>
          <cell r="BU140"/>
          <cell r="BV140"/>
          <cell r="BW140"/>
          <cell r="BX140"/>
          <cell r="BY140"/>
          <cell r="BZ140"/>
          <cell r="CA140"/>
          <cell r="CB140"/>
          <cell r="CC140"/>
          <cell r="CD140"/>
          <cell r="CE140"/>
          <cell r="CF140">
            <v>0</v>
          </cell>
          <cell r="CG140"/>
          <cell r="CH140"/>
          <cell r="CI140"/>
          <cell r="CJ140"/>
          <cell r="CK140"/>
          <cell r="CL140"/>
          <cell r="CM140"/>
          <cell r="CN140"/>
          <cell r="CO140"/>
          <cell r="CP140"/>
          <cell r="CQ140"/>
          <cell r="CR140"/>
          <cell r="CS140"/>
          <cell r="CT140"/>
          <cell r="CU140"/>
          <cell r="CV140"/>
          <cell r="CW140"/>
          <cell r="CX140"/>
          <cell r="CY140"/>
          <cell r="CZ140"/>
          <cell r="DA140"/>
          <cell r="DB140"/>
          <cell r="DC140"/>
          <cell r="DD140"/>
          <cell r="DE140"/>
          <cell r="DF140"/>
          <cell r="DG140"/>
          <cell r="DH140"/>
          <cell r="DI140"/>
          <cell r="DJ140"/>
          <cell r="DK140"/>
          <cell r="DL140"/>
          <cell r="DM140"/>
          <cell r="DN140"/>
          <cell r="DO140"/>
          <cell r="DP140"/>
          <cell r="DQ140"/>
          <cell r="DR140"/>
          <cell r="DS140"/>
          <cell r="DT140"/>
          <cell r="DU140"/>
          <cell r="DV140">
            <v>0</v>
          </cell>
          <cell r="DW140"/>
          <cell r="DX140"/>
          <cell r="DY140"/>
          <cell r="DZ140"/>
          <cell r="EA140"/>
          <cell r="EB140"/>
          <cell r="EC140"/>
          <cell r="ED140">
            <v>0</v>
          </cell>
          <cell r="EE140"/>
          <cell r="EF140"/>
          <cell r="EG140">
            <v>0</v>
          </cell>
          <cell r="EH140">
            <v>0</v>
          </cell>
          <cell r="EI140"/>
          <cell r="EJ140"/>
          <cell r="EK140"/>
          <cell r="EL140"/>
          <cell r="EM140"/>
          <cell r="EN140"/>
          <cell r="EO140"/>
          <cell r="EP140"/>
          <cell r="EQ140"/>
          <cell r="ER140"/>
          <cell r="ES140"/>
          <cell r="ET140"/>
          <cell r="EU140"/>
          <cell r="EV140"/>
          <cell r="EW140"/>
          <cell r="EX140"/>
          <cell r="EY140"/>
          <cell r="EZ140"/>
          <cell r="FA140"/>
          <cell r="FB140"/>
          <cell r="FC140"/>
          <cell r="FD140"/>
          <cell r="FE140"/>
          <cell r="FF140"/>
          <cell r="FG140"/>
          <cell r="FH140"/>
          <cell r="FI140">
            <v>0</v>
          </cell>
          <cell r="FJ140"/>
          <cell r="FK140">
            <v>742.88</v>
          </cell>
        </row>
        <row r="141">
          <cell r="A141" t="str">
            <v>Docusign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  <cell r="Z141"/>
          <cell r="AA141"/>
          <cell r="AB141"/>
          <cell r="AC141"/>
          <cell r="AD141"/>
          <cell r="AE141"/>
          <cell r="AF141"/>
          <cell r="AG141"/>
          <cell r="AH141"/>
          <cell r="AI141"/>
          <cell r="AJ141"/>
          <cell r="AK141"/>
          <cell r="AL141"/>
          <cell r="AM141"/>
          <cell r="AN141"/>
          <cell r="AO141"/>
          <cell r="AP141"/>
          <cell r="AQ141"/>
          <cell r="AR141"/>
          <cell r="AS141"/>
          <cell r="AT141"/>
          <cell r="AU141"/>
          <cell r="AV141"/>
          <cell r="AW141"/>
          <cell r="AX141"/>
          <cell r="AY141"/>
          <cell r="AZ141"/>
          <cell r="BA141"/>
          <cell r="BB141"/>
          <cell r="BC141"/>
          <cell r="BD141"/>
          <cell r="BE141">
            <v>0</v>
          </cell>
          <cell r="BF141">
            <v>1463.86</v>
          </cell>
          <cell r="BG141"/>
          <cell r="BH141"/>
          <cell r="BI141">
            <v>0</v>
          </cell>
          <cell r="BJ141"/>
          <cell r="BK141"/>
          <cell r="BL141">
            <v>0</v>
          </cell>
          <cell r="BM141"/>
          <cell r="BN141"/>
          <cell r="BO141"/>
          <cell r="BP141"/>
          <cell r="BQ141"/>
          <cell r="BR141"/>
          <cell r="BS141"/>
          <cell r="BT141"/>
          <cell r="BU141"/>
          <cell r="BV141"/>
          <cell r="BW141"/>
          <cell r="BX141"/>
          <cell r="BY141"/>
          <cell r="BZ141"/>
          <cell r="CA141"/>
          <cell r="CB141"/>
          <cell r="CC141"/>
          <cell r="CD141"/>
          <cell r="CE141"/>
          <cell r="CF141">
            <v>0</v>
          </cell>
          <cell r="CG141"/>
          <cell r="CH141"/>
          <cell r="CI141"/>
          <cell r="CJ141"/>
          <cell r="CK141"/>
          <cell r="CL141"/>
          <cell r="CM141"/>
          <cell r="CN141"/>
          <cell r="CO141"/>
          <cell r="CP141"/>
          <cell r="CQ141"/>
          <cell r="CR141"/>
          <cell r="CS141"/>
          <cell r="CT141"/>
          <cell r="CU141"/>
          <cell r="CV141"/>
          <cell r="CW141"/>
          <cell r="CX141"/>
          <cell r="CY141"/>
          <cell r="CZ141"/>
          <cell r="DA141"/>
          <cell r="DB141"/>
          <cell r="DC141"/>
          <cell r="DD141"/>
          <cell r="DE141"/>
          <cell r="DF141"/>
          <cell r="DG141"/>
          <cell r="DH141"/>
          <cell r="DI141"/>
          <cell r="DJ141"/>
          <cell r="DK141"/>
          <cell r="DL141"/>
          <cell r="DM141"/>
          <cell r="DN141"/>
          <cell r="DO141"/>
          <cell r="DP141"/>
          <cell r="DQ141"/>
          <cell r="DR141"/>
          <cell r="DS141"/>
          <cell r="DT141"/>
          <cell r="DU141"/>
          <cell r="DV141">
            <v>0</v>
          </cell>
          <cell r="DW141"/>
          <cell r="DX141"/>
          <cell r="DY141"/>
          <cell r="DZ141"/>
          <cell r="EA141"/>
          <cell r="EB141"/>
          <cell r="EC141"/>
          <cell r="ED141">
            <v>0</v>
          </cell>
          <cell r="EE141"/>
          <cell r="EF141"/>
          <cell r="EG141">
            <v>0</v>
          </cell>
          <cell r="EH141">
            <v>0</v>
          </cell>
          <cell r="EI141"/>
          <cell r="EJ141"/>
          <cell r="EK141"/>
          <cell r="EL141"/>
          <cell r="EM141"/>
          <cell r="EN141"/>
          <cell r="EO141"/>
          <cell r="EP141"/>
          <cell r="EQ141"/>
          <cell r="ER141"/>
          <cell r="ES141"/>
          <cell r="ET141"/>
          <cell r="EU141"/>
          <cell r="EV141"/>
          <cell r="EW141"/>
          <cell r="EX141"/>
          <cell r="EY141"/>
          <cell r="EZ141"/>
          <cell r="FA141"/>
          <cell r="FB141"/>
          <cell r="FC141"/>
          <cell r="FD141"/>
          <cell r="FE141"/>
          <cell r="FF141"/>
          <cell r="FG141"/>
          <cell r="FH141"/>
          <cell r="FI141">
            <v>0</v>
          </cell>
          <cell r="FJ141"/>
          <cell r="FK141">
            <v>1463.86</v>
          </cell>
        </row>
        <row r="142">
          <cell r="A142" t="str">
            <v>Dropbox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  <cell r="Z142"/>
          <cell r="AA142"/>
          <cell r="AB142"/>
          <cell r="AC142"/>
          <cell r="AD142"/>
          <cell r="AE142"/>
          <cell r="AF142"/>
          <cell r="AG142"/>
          <cell r="AH142"/>
          <cell r="AI142"/>
          <cell r="AJ142"/>
          <cell r="AK142"/>
          <cell r="AL142"/>
          <cell r="AM142"/>
          <cell r="AN142"/>
          <cell r="AO142"/>
          <cell r="AP142"/>
          <cell r="AQ142"/>
          <cell r="AR142"/>
          <cell r="AS142"/>
          <cell r="AT142"/>
          <cell r="AU142"/>
          <cell r="AV142"/>
          <cell r="AW142"/>
          <cell r="AX142"/>
          <cell r="AY142"/>
          <cell r="AZ142"/>
          <cell r="BA142"/>
          <cell r="BB142"/>
          <cell r="BC142"/>
          <cell r="BD142"/>
          <cell r="BE142">
            <v>0</v>
          </cell>
          <cell r="BF142">
            <v>115.02</v>
          </cell>
          <cell r="BG142"/>
          <cell r="BH142"/>
          <cell r="BI142">
            <v>0</v>
          </cell>
          <cell r="BJ142"/>
          <cell r="BK142"/>
          <cell r="BL142">
            <v>0</v>
          </cell>
          <cell r="BM142"/>
          <cell r="BN142"/>
          <cell r="BO142"/>
          <cell r="BP142"/>
          <cell r="BQ142"/>
          <cell r="BR142"/>
          <cell r="BS142"/>
          <cell r="BT142"/>
          <cell r="BU142"/>
          <cell r="BV142"/>
          <cell r="BW142"/>
          <cell r="BX142"/>
          <cell r="BY142"/>
          <cell r="BZ142"/>
          <cell r="CA142"/>
          <cell r="CB142"/>
          <cell r="CC142"/>
          <cell r="CD142"/>
          <cell r="CE142"/>
          <cell r="CF142">
            <v>0</v>
          </cell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>
            <v>0</v>
          </cell>
          <cell r="DW142"/>
          <cell r="DX142"/>
          <cell r="DY142"/>
          <cell r="DZ142"/>
          <cell r="EA142"/>
          <cell r="EB142"/>
          <cell r="EC142"/>
          <cell r="ED142">
            <v>0</v>
          </cell>
          <cell r="EE142"/>
          <cell r="EF142"/>
          <cell r="EG142">
            <v>0</v>
          </cell>
          <cell r="EH142">
            <v>0</v>
          </cell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  <cell r="EW142"/>
          <cell r="EX142"/>
          <cell r="EY142"/>
          <cell r="EZ142"/>
          <cell r="FA142"/>
          <cell r="FB142"/>
          <cell r="FC142"/>
          <cell r="FD142"/>
          <cell r="FE142"/>
          <cell r="FF142"/>
          <cell r="FG142"/>
          <cell r="FH142"/>
          <cell r="FI142">
            <v>0</v>
          </cell>
          <cell r="FJ142"/>
          <cell r="FK142">
            <v>115.02</v>
          </cell>
        </row>
        <row r="143">
          <cell r="A143" t="str">
            <v>GSuite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  <cell r="AE143"/>
          <cell r="AF143"/>
          <cell r="AG143"/>
          <cell r="AH143"/>
          <cell r="AI143"/>
          <cell r="AJ143"/>
          <cell r="AK143"/>
          <cell r="AL143"/>
          <cell r="AM143"/>
          <cell r="AN143"/>
          <cell r="AO143"/>
          <cell r="AP143"/>
          <cell r="AQ143"/>
          <cell r="AR143"/>
          <cell r="AS143"/>
          <cell r="AT143"/>
          <cell r="AU143"/>
          <cell r="AV143"/>
          <cell r="AW143"/>
          <cell r="AX143"/>
          <cell r="AY143"/>
          <cell r="AZ143"/>
          <cell r="BA143"/>
          <cell r="BB143"/>
          <cell r="BC143"/>
          <cell r="BD143"/>
          <cell r="BE143">
            <v>0</v>
          </cell>
          <cell r="BF143">
            <v>3535.34</v>
          </cell>
          <cell r="BG143"/>
          <cell r="BH143"/>
          <cell r="BI143">
            <v>0</v>
          </cell>
          <cell r="BJ143"/>
          <cell r="BK143"/>
          <cell r="BL143">
            <v>0</v>
          </cell>
          <cell r="BM143"/>
          <cell r="BN143"/>
          <cell r="BO143"/>
          <cell r="BP143"/>
          <cell r="BQ143"/>
          <cell r="BR143"/>
          <cell r="BS143"/>
          <cell r="BT143"/>
          <cell r="BU143"/>
          <cell r="BV143"/>
          <cell r="BW143"/>
          <cell r="BX143"/>
          <cell r="BY143"/>
          <cell r="BZ143"/>
          <cell r="CA143"/>
          <cell r="CB143"/>
          <cell r="CC143"/>
          <cell r="CD143"/>
          <cell r="CE143"/>
          <cell r="CF143">
            <v>0</v>
          </cell>
          <cell r="CG143"/>
          <cell r="CH143"/>
          <cell r="CI143"/>
          <cell r="CJ143"/>
          <cell r="CK143"/>
          <cell r="CL143"/>
          <cell r="CM143"/>
          <cell r="CN143"/>
          <cell r="CO143"/>
          <cell r="CP143"/>
          <cell r="CQ143"/>
          <cell r="CR143"/>
          <cell r="CS143"/>
          <cell r="CT143"/>
          <cell r="CU143"/>
          <cell r="CV143"/>
          <cell r="CW143"/>
          <cell r="CX143"/>
          <cell r="CY143"/>
          <cell r="CZ143"/>
          <cell r="DA143"/>
          <cell r="DB143"/>
          <cell r="DC143"/>
          <cell r="DD143"/>
          <cell r="DE143"/>
          <cell r="DF143"/>
          <cell r="DG143"/>
          <cell r="DH143"/>
          <cell r="DI143"/>
          <cell r="DJ143"/>
          <cell r="DK143"/>
          <cell r="DL143"/>
          <cell r="DM143"/>
          <cell r="DN143"/>
          <cell r="DO143"/>
          <cell r="DP143"/>
          <cell r="DQ143"/>
          <cell r="DR143"/>
          <cell r="DS143"/>
          <cell r="DT143"/>
          <cell r="DU143"/>
          <cell r="DV143">
            <v>0</v>
          </cell>
          <cell r="DW143"/>
          <cell r="DX143"/>
          <cell r="DY143"/>
          <cell r="DZ143"/>
          <cell r="EA143"/>
          <cell r="EB143"/>
          <cell r="EC143"/>
          <cell r="ED143">
            <v>0</v>
          </cell>
          <cell r="EE143"/>
          <cell r="EF143"/>
          <cell r="EG143">
            <v>0</v>
          </cell>
          <cell r="EH143">
            <v>0</v>
          </cell>
          <cell r="EI143"/>
          <cell r="EJ143"/>
          <cell r="EK143"/>
          <cell r="EL143"/>
          <cell r="EM143"/>
          <cell r="EN143"/>
          <cell r="EO143"/>
          <cell r="EP143"/>
          <cell r="EQ143"/>
          <cell r="ER143"/>
          <cell r="ES143"/>
          <cell r="ET143"/>
          <cell r="EU143"/>
          <cell r="EV143"/>
          <cell r="EW143"/>
          <cell r="EX143"/>
          <cell r="EY143"/>
          <cell r="EZ143"/>
          <cell r="FA143"/>
          <cell r="FB143"/>
          <cell r="FC143"/>
          <cell r="FD143"/>
          <cell r="FE143"/>
          <cell r="FF143"/>
          <cell r="FG143"/>
          <cell r="FH143"/>
          <cell r="FI143">
            <v>0</v>
          </cell>
          <cell r="FJ143"/>
          <cell r="FK143">
            <v>3535.34</v>
          </cell>
        </row>
        <row r="144">
          <cell r="A144" t="str">
            <v>Misc Software</v>
          </cell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  <cell r="S144"/>
          <cell r="T144"/>
          <cell r="U144"/>
          <cell r="V144"/>
          <cell r="W144"/>
          <cell r="X144"/>
          <cell r="Y144"/>
          <cell r="Z144"/>
          <cell r="AA144"/>
          <cell r="AB144"/>
          <cell r="AC144"/>
          <cell r="AD144"/>
          <cell r="AE144"/>
          <cell r="AF144"/>
          <cell r="AG144"/>
          <cell r="AH144"/>
          <cell r="AI144"/>
          <cell r="AJ144"/>
          <cell r="AK144"/>
          <cell r="AL144"/>
          <cell r="AM144"/>
          <cell r="AN144"/>
          <cell r="AO144"/>
          <cell r="AP144"/>
          <cell r="AQ144"/>
          <cell r="AR144"/>
          <cell r="AS144"/>
          <cell r="AT144"/>
          <cell r="AU144"/>
          <cell r="AV144"/>
          <cell r="AW144"/>
          <cell r="AX144"/>
          <cell r="AY144"/>
          <cell r="AZ144"/>
          <cell r="BA144"/>
          <cell r="BB144"/>
          <cell r="BC144"/>
          <cell r="BD144"/>
          <cell r="BE144">
            <v>0</v>
          </cell>
          <cell r="BF144">
            <v>2067.25</v>
          </cell>
          <cell r="BG144"/>
          <cell r="BH144"/>
          <cell r="BI144">
            <v>0</v>
          </cell>
          <cell r="BJ144"/>
          <cell r="BK144"/>
          <cell r="BL144">
            <v>0</v>
          </cell>
          <cell r="BM144"/>
          <cell r="BN144"/>
          <cell r="BO144"/>
          <cell r="BP144"/>
          <cell r="BQ144"/>
          <cell r="BR144"/>
          <cell r="BS144"/>
          <cell r="BT144"/>
          <cell r="BU144"/>
          <cell r="BV144"/>
          <cell r="BW144"/>
          <cell r="BX144"/>
          <cell r="BY144"/>
          <cell r="BZ144"/>
          <cell r="CA144"/>
          <cell r="CB144"/>
          <cell r="CC144"/>
          <cell r="CD144"/>
          <cell r="CE144"/>
          <cell r="CF144">
            <v>0</v>
          </cell>
          <cell r="CG144"/>
          <cell r="CH144"/>
          <cell r="CI144"/>
          <cell r="CJ144"/>
          <cell r="CK144"/>
          <cell r="CL144"/>
          <cell r="CM144"/>
          <cell r="CN144"/>
          <cell r="CO144"/>
          <cell r="CP144"/>
          <cell r="CQ144"/>
          <cell r="CR144"/>
          <cell r="CS144"/>
          <cell r="CT144"/>
          <cell r="CU144"/>
          <cell r="CV144"/>
          <cell r="CW144"/>
          <cell r="CX144"/>
          <cell r="CY144"/>
          <cell r="CZ144"/>
          <cell r="DA144"/>
          <cell r="DB144"/>
          <cell r="DC144"/>
          <cell r="DD144"/>
          <cell r="DE144"/>
          <cell r="DF144"/>
          <cell r="DG144"/>
          <cell r="DH144"/>
          <cell r="DI144"/>
          <cell r="DJ144"/>
          <cell r="DK144"/>
          <cell r="DL144"/>
          <cell r="DM144"/>
          <cell r="DN144"/>
          <cell r="DO144"/>
          <cell r="DP144"/>
          <cell r="DQ144"/>
          <cell r="DR144"/>
          <cell r="DS144"/>
          <cell r="DT144"/>
          <cell r="DU144"/>
          <cell r="DV144">
            <v>0</v>
          </cell>
          <cell r="DW144"/>
          <cell r="DX144"/>
          <cell r="DY144"/>
          <cell r="DZ144"/>
          <cell r="EA144"/>
          <cell r="EB144"/>
          <cell r="EC144"/>
          <cell r="ED144">
            <v>0</v>
          </cell>
          <cell r="EE144"/>
          <cell r="EF144"/>
          <cell r="EG144">
            <v>0</v>
          </cell>
          <cell r="EH144">
            <v>0</v>
          </cell>
          <cell r="EI144"/>
          <cell r="EJ144"/>
          <cell r="EK144"/>
          <cell r="EL144"/>
          <cell r="EM144"/>
          <cell r="EN144"/>
          <cell r="EO144"/>
          <cell r="EP144"/>
          <cell r="EQ144"/>
          <cell r="ER144"/>
          <cell r="ES144"/>
          <cell r="ET144"/>
          <cell r="EU144"/>
          <cell r="EV144"/>
          <cell r="EW144"/>
          <cell r="EX144"/>
          <cell r="EY144"/>
          <cell r="EZ144"/>
          <cell r="FA144"/>
          <cell r="FB144"/>
          <cell r="FC144"/>
          <cell r="FD144"/>
          <cell r="FE144"/>
          <cell r="FF144"/>
          <cell r="FG144"/>
          <cell r="FH144"/>
          <cell r="FI144">
            <v>0</v>
          </cell>
          <cell r="FJ144"/>
          <cell r="FK144">
            <v>2067.25</v>
          </cell>
        </row>
        <row r="145">
          <cell r="A145" t="str">
            <v>Smrtphone</v>
          </cell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  <cell r="S145"/>
          <cell r="T145"/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  <cell r="AE145"/>
          <cell r="AF145"/>
          <cell r="AG145"/>
          <cell r="AH145"/>
          <cell r="AI145"/>
          <cell r="AJ145"/>
          <cell r="AK145"/>
          <cell r="AL145"/>
          <cell r="AM145"/>
          <cell r="AN145"/>
          <cell r="AO145"/>
          <cell r="AP145"/>
          <cell r="AQ145"/>
          <cell r="AR145"/>
          <cell r="AS145"/>
          <cell r="AT145"/>
          <cell r="AU145"/>
          <cell r="AV145"/>
          <cell r="AW145"/>
          <cell r="AX145"/>
          <cell r="AY145"/>
          <cell r="AZ145"/>
          <cell r="BA145"/>
          <cell r="BB145"/>
          <cell r="BC145"/>
          <cell r="BD145"/>
          <cell r="BE145">
            <v>0</v>
          </cell>
          <cell r="BF145">
            <v>2763.31</v>
          </cell>
          <cell r="BG145"/>
          <cell r="BH145"/>
          <cell r="BI145">
            <v>0</v>
          </cell>
          <cell r="BJ145"/>
          <cell r="BK145"/>
          <cell r="BL145">
            <v>0</v>
          </cell>
          <cell r="BM145"/>
          <cell r="BN145"/>
          <cell r="BO145"/>
          <cell r="BP145"/>
          <cell r="BQ145"/>
          <cell r="BR145"/>
          <cell r="BS145"/>
          <cell r="BT145"/>
          <cell r="BU145"/>
          <cell r="BV145"/>
          <cell r="BW145"/>
          <cell r="BX145"/>
          <cell r="BY145"/>
          <cell r="BZ145"/>
          <cell r="CA145"/>
          <cell r="CB145"/>
          <cell r="CC145"/>
          <cell r="CD145"/>
          <cell r="CE145"/>
          <cell r="CF145">
            <v>0</v>
          </cell>
          <cell r="CG145"/>
          <cell r="CH145"/>
          <cell r="CI145"/>
          <cell r="CJ145"/>
          <cell r="CK145"/>
          <cell r="CL145"/>
          <cell r="CM145"/>
          <cell r="CN145"/>
          <cell r="CO145"/>
          <cell r="CP145"/>
          <cell r="CQ145"/>
          <cell r="CR145"/>
          <cell r="CS145"/>
          <cell r="CT145"/>
          <cell r="CU145"/>
          <cell r="CV145"/>
          <cell r="CW145"/>
          <cell r="CX145"/>
          <cell r="CY145"/>
          <cell r="CZ145"/>
          <cell r="DA145"/>
          <cell r="DB145"/>
          <cell r="DC145"/>
          <cell r="DD145"/>
          <cell r="DE145"/>
          <cell r="DF145"/>
          <cell r="DG145"/>
          <cell r="DH145"/>
          <cell r="DI145"/>
          <cell r="DJ145"/>
          <cell r="DK145"/>
          <cell r="DL145"/>
          <cell r="DM145"/>
          <cell r="DN145"/>
          <cell r="DO145"/>
          <cell r="DP145"/>
          <cell r="DQ145"/>
          <cell r="DR145"/>
          <cell r="DS145"/>
          <cell r="DT145"/>
          <cell r="DU145"/>
          <cell r="DV145">
            <v>0</v>
          </cell>
          <cell r="DW145"/>
          <cell r="DX145"/>
          <cell r="DY145"/>
          <cell r="DZ145"/>
          <cell r="EA145"/>
          <cell r="EB145"/>
          <cell r="EC145"/>
          <cell r="ED145">
            <v>0</v>
          </cell>
          <cell r="EE145"/>
          <cell r="EF145"/>
          <cell r="EG145">
            <v>0</v>
          </cell>
          <cell r="EH145">
            <v>0</v>
          </cell>
          <cell r="EI145"/>
          <cell r="EJ145"/>
          <cell r="EK145"/>
          <cell r="EL145"/>
          <cell r="EM145"/>
          <cell r="EN145"/>
          <cell r="EO145"/>
          <cell r="EP145"/>
          <cell r="EQ145"/>
          <cell r="ER145"/>
          <cell r="ES145"/>
          <cell r="ET145"/>
          <cell r="EU145"/>
          <cell r="EV145"/>
          <cell r="EW145"/>
          <cell r="EX145"/>
          <cell r="EY145"/>
          <cell r="EZ145"/>
          <cell r="FA145"/>
          <cell r="FB145"/>
          <cell r="FC145"/>
          <cell r="FD145"/>
          <cell r="FE145"/>
          <cell r="FF145"/>
          <cell r="FG145"/>
          <cell r="FH145"/>
          <cell r="FI145">
            <v>0</v>
          </cell>
          <cell r="FJ145"/>
          <cell r="FK145">
            <v>2763.31</v>
          </cell>
        </row>
        <row r="146">
          <cell r="A146" t="str">
            <v>Zoom</v>
          </cell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  <cell r="S146"/>
          <cell r="T146"/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  <cell r="AE146"/>
          <cell r="AF146"/>
          <cell r="AG146"/>
          <cell r="AH146"/>
          <cell r="AI146"/>
          <cell r="AJ146"/>
          <cell r="AK146"/>
          <cell r="AL146"/>
          <cell r="AM146"/>
          <cell r="AN146"/>
          <cell r="AO146"/>
          <cell r="AP146"/>
          <cell r="AQ146"/>
          <cell r="AR146"/>
          <cell r="AS146"/>
          <cell r="AT146"/>
          <cell r="AU146"/>
          <cell r="AV146"/>
          <cell r="AW146"/>
          <cell r="AX146"/>
          <cell r="AY146"/>
          <cell r="AZ146"/>
          <cell r="BA146"/>
          <cell r="BB146"/>
          <cell r="BC146"/>
          <cell r="BD146"/>
          <cell r="BE146">
            <v>0</v>
          </cell>
          <cell r="BF146">
            <v>430.49</v>
          </cell>
          <cell r="BG146"/>
          <cell r="BH146"/>
          <cell r="BI146">
            <v>0</v>
          </cell>
          <cell r="BJ146"/>
          <cell r="BK146"/>
          <cell r="BL146">
            <v>0</v>
          </cell>
          <cell r="BM146"/>
          <cell r="BN146"/>
          <cell r="BO146"/>
          <cell r="BP146"/>
          <cell r="BQ146"/>
          <cell r="BR146"/>
          <cell r="BS146"/>
          <cell r="BT146"/>
          <cell r="BU146"/>
          <cell r="BV146"/>
          <cell r="BW146"/>
          <cell r="BX146"/>
          <cell r="BY146"/>
          <cell r="BZ146"/>
          <cell r="CA146"/>
          <cell r="CB146"/>
          <cell r="CC146"/>
          <cell r="CD146"/>
          <cell r="CE146"/>
          <cell r="CF146">
            <v>0</v>
          </cell>
          <cell r="CG146"/>
          <cell r="CH146"/>
          <cell r="CI146"/>
          <cell r="CJ146"/>
          <cell r="CK146"/>
          <cell r="CL146"/>
          <cell r="CM146"/>
          <cell r="CN146"/>
          <cell r="CO146"/>
          <cell r="CP146"/>
          <cell r="CQ146"/>
          <cell r="CR146"/>
          <cell r="CS146"/>
          <cell r="CT146"/>
          <cell r="CU146"/>
          <cell r="CV146"/>
          <cell r="CW146"/>
          <cell r="CX146"/>
          <cell r="CY146"/>
          <cell r="CZ146"/>
          <cell r="DA146"/>
          <cell r="DB146"/>
          <cell r="DC146"/>
          <cell r="DD146"/>
          <cell r="DE146"/>
          <cell r="DF146"/>
          <cell r="DG146"/>
          <cell r="DH146"/>
          <cell r="DI146"/>
          <cell r="DJ146"/>
          <cell r="DK146"/>
          <cell r="DL146"/>
          <cell r="DM146"/>
          <cell r="DN146"/>
          <cell r="DO146"/>
          <cell r="DP146"/>
          <cell r="DQ146"/>
          <cell r="DR146"/>
          <cell r="DS146"/>
          <cell r="DT146"/>
          <cell r="DU146"/>
          <cell r="DV146">
            <v>0</v>
          </cell>
          <cell r="DW146"/>
          <cell r="DX146"/>
          <cell r="DY146"/>
          <cell r="DZ146"/>
          <cell r="EA146"/>
          <cell r="EB146"/>
          <cell r="EC146"/>
          <cell r="ED146">
            <v>0</v>
          </cell>
          <cell r="EE146"/>
          <cell r="EF146"/>
          <cell r="EG146">
            <v>0</v>
          </cell>
          <cell r="EH146">
            <v>0</v>
          </cell>
          <cell r="EI146"/>
          <cell r="EJ146"/>
          <cell r="EK146"/>
          <cell r="EL146"/>
          <cell r="EM146"/>
          <cell r="EN146"/>
          <cell r="EO146"/>
          <cell r="EP146"/>
          <cell r="EQ146"/>
          <cell r="ER146"/>
          <cell r="ES146"/>
          <cell r="ET146"/>
          <cell r="EU146"/>
          <cell r="EV146"/>
          <cell r="EW146"/>
          <cell r="EX146"/>
          <cell r="EY146"/>
          <cell r="EZ146"/>
          <cell r="FA146"/>
          <cell r="FB146"/>
          <cell r="FC146"/>
          <cell r="FD146"/>
          <cell r="FE146"/>
          <cell r="FF146"/>
          <cell r="FG146"/>
          <cell r="FH146"/>
          <cell r="FI146">
            <v>0</v>
          </cell>
          <cell r="FJ146"/>
          <cell r="FK146">
            <v>430.49</v>
          </cell>
        </row>
        <row r="147">
          <cell r="A147" t="str">
            <v>Total Technology and Software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11963.9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0</v>
          </cell>
          <cell r="EF147">
            <v>0</v>
          </cell>
          <cell r="EG147">
            <v>0</v>
          </cell>
          <cell r="EH147">
            <v>0</v>
          </cell>
          <cell r="EI147">
            <v>0</v>
          </cell>
          <cell r="EJ147">
            <v>0</v>
          </cell>
          <cell r="EK147">
            <v>0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0</v>
          </cell>
          <cell r="ET147">
            <v>0</v>
          </cell>
          <cell r="EU147">
            <v>0</v>
          </cell>
          <cell r="EV147">
            <v>0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0</v>
          </cell>
          <cell r="FH147">
            <v>0</v>
          </cell>
          <cell r="FI147">
            <v>0</v>
          </cell>
          <cell r="FJ147">
            <v>0</v>
          </cell>
          <cell r="FK147">
            <v>11963.9</v>
          </cell>
        </row>
        <row r="148">
          <cell r="A148" t="str">
            <v>Utilities</v>
          </cell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  <cell r="T148"/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  <cell r="AE148"/>
          <cell r="AF148"/>
          <cell r="AG148"/>
          <cell r="AH148"/>
          <cell r="AI148"/>
          <cell r="AJ148"/>
          <cell r="AK148"/>
          <cell r="AL148"/>
          <cell r="AM148"/>
          <cell r="AN148"/>
          <cell r="AO148"/>
          <cell r="AP148"/>
          <cell r="AQ148"/>
          <cell r="AR148"/>
          <cell r="AS148"/>
          <cell r="AT148"/>
          <cell r="AU148"/>
          <cell r="AV148"/>
          <cell r="AW148"/>
          <cell r="AX148"/>
          <cell r="AY148"/>
          <cell r="AZ148"/>
          <cell r="BA148"/>
          <cell r="BB148"/>
          <cell r="BC148"/>
          <cell r="BD148"/>
          <cell r="BE148">
            <v>0</v>
          </cell>
          <cell r="BF148">
            <v>135</v>
          </cell>
          <cell r="BG148"/>
          <cell r="BH148"/>
          <cell r="BI148">
            <v>0</v>
          </cell>
          <cell r="BJ148"/>
          <cell r="BK148"/>
          <cell r="BL148">
            <v>0</v>
          </cell>
          <cell r="BM148"/>
          <cell r="BN148"/>
          <cell r="BO148"/>
          <cell r="BP148"/>
          <cell r="BQ148"/>
          <cell r="BR148"/>
          <cell r="BS148"/>
          <cell r="BT148"/>
          <cell r="BU148"/>
          <cell r="BV148"/>
          <cell r="BW148"/>
          <cell r="BX148"/>
          <cell r="BY148"/>
          <cell r="BZ148"/>
          <cell r="CA148"/>
          <cell r="CB148"/>
          <cell r="CC148"/>
          <cell r="CD148"/>
          <cell r="CE148"/>
          <cell r="CF148">
            <v>0</v>
          </cell>
          <cell r="CG148"/>
          <cell r="CH148"/>
          <cell r="CI148"/>
          <cell r="CJ148"/>
          <cell r="CK148"/>
          <cell r="CL148"/>
          <cell r="CM148"/>
          <cell r="CN148"/>
          <cell r="CO148"/>
          <cell r="CP148"/>
          <cell r="CQ148"/>
          <cell r="CR148"/>
          <cell r="CS148"/>
          <cell r="CT148"/>
          <cell r="CU148"/>
          <cell r="CV148"/>
          <cell r="CW148"/>
          <cell r="CX148"/>
          <cell r="CY148"/>
          <cell r="CZ148"/>
          <cell r="DA148"/>
          <cell r="DB148"/>
          <cell r="DC148"/>
          <cell r="DD148"/>
          <cell r="DE148"/>
          <cell r="DF148"/>
          <cell r="DG148"/>
          <cell r="DH148"/>
          <cell r="DI148"/>
          <cell r="DJ148"/>
          <cell r="DK148"/>
          <cell r="DL148"/>
          <cell r="DM148"/>
          <cell r="DN148"/>
          <cell r="DO148"/>
          <cell r="DP148"/>
          <cell r="DQ148"/>
          <cell r="DR148"/>
          <cell r="DS148"/>
          <cell r="DT148"/>
          <cell r="DU148"/>
          <cell r="DV148">
            <v>0</v>
          </cell>
          <cell r="DW148"/>
          <cell r="DX148"/>
          <cell r="DY148"/>
          <cell r="DZ148"/>
          <cell r="EA148"/>
          <cell r="EB148"/>
          <cell r="EC148"/>
          <cell r="ED148">
            <v>0</v>
          </cell>
          <cell r="EE148"/>
          <cell r="EF148"/>
          <cell r="EG148">
            <v>0</v>
          </cell>
          <cell r="EH148">
            <v>0</v>
          </cell>
          <cell r="EI148"/>
          <cell r="EJ148"/>
          <cell r="EK148"/>
          <cell r="EL148"/>
          <cell r="EM148"/>
          <cell r="EN148"/>
          <cell r="EO148"/>
          <cell r="EP148"/>
          <cell r="EQ148"/>
          <cell r="ER148"/>
          <cell r="ES148"/>
          <cell r="ET148"/>
          <cell r="EU148"/>
          <cell r="EV148"/>
          <cell r="EW148"/>
          <cell r="EX148"/>
          <cell r="EY148"/>
          <cell r="EZ148"/>
          <cell r="FA148"/>
          <cell r="FB148"/>
          <cell r="FC148"/>
          <cell r="FD148"/>
          <cell r="FE148"/>
          <cell r="FF148"/>
          <cell r="FG148"/>
          <cell r="FH148"/>
          <cell r="FI148">
            <v>0</v>
          </cell>
          <cell r="FJ148"/>
          <cell r="FK148">
            <v>135</v>
          </cell>
        </row>
        <row r="149">
          <cell r="A149" t="str">
            <v>Phone</v>
          </cell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  <cell r="S149"/>
          <cell r="T149"/>
          <cell r="U149"/>
          <cell r="V149"/>
          <cell r="W149"/>
          <cell r="X149"/>
          <cell r="Y149"/>
          <cell r="Z149"/>
          <cell r="AA149"/>
          <cell r="AB149"/>
          <cell r="AC149"/>
          <cell r="AD149"/>
          <cell r="AE149"/>
          <cell r="AF149"/>
          <cell r="AG149"/>
          <cell r="AH149"/>
          <cell r="AI149"/>
          <cell r="AJ149"/>
          <cell r="AK149"/>
          <cell r="AL149"/>
          <cell r="AM149"/>
          <cell r="AN149"/>
          <cell r="AO149"/>
          <cell r="AP149"/>
          <cell r="AQ149"/>
          <cell r="AR149"/>
          <cell r="AS149"/>
          <cell r="AT149"/>
          <cell r="AU149"/>
          <cell r="AV149"/>
          <cell r="AW149"/>
          <cell r="AX149"/>
          <cell r="AY149"/>
          <cell r="AZ149"/>
          <cell r="BA149"/>
          <cell r="BB149"/>
          <cell r="BC149"/>
          <cell r="BD149"/>
          <cell r="BE149">
            <v>0</v>
          </cell>
          <cell r="BF149">
            <v>1807.01</v>
          </cell>
          <cell r="BG149"/>
          <cell r="BH149"/>
          <cell r="BI149">
            <v>0</v>
          </cell>
          <cell r="BJ149"/>
          <cell r="BK149"/>
          <cell r="BL149">
            <v>0</v>
          </cell>
          <cell r="BM149"/>
          <cell r="BN149"/>
          <cell r="BO149"/>
          <cell r="BP149"/>
          <cell r="BQ149"/>
          <cell r="BR149"/>
          <cell r="BS149"/>
          <cell r="BT149"/>
          <cell r="BU149"/>
          <cell r="BV149"/>
          <cell r="BW149"/>
          <cell r="BX149"/>
          <cell r="BY149"/>
          <cell r="BZ149"/>
          <cell r="CA149"/>
          <cell r="CB149"/>
          <cell r="CC149"/>
          <cell r="CD149"/>
          <cell r="CE149"/>
          <cell r="CF149">
            <v>0</v>
          </cell>
          <cell r="CG149"/>
          <cell r="CH149"/>
          <cell r="CI149"/>
          <cell r="CJ149"/>
          <cell r="CK149"/>
          <cell r="CL149"/>
          <cell r="CM149"/>
          <cell r="CN149"/>
          <cell r="CO149"/>
          <cell r="CP149"/>
          <cell r="CQ149"/>
          <cell r="CR149"/>
          <cell r="CS149"/>
          <cell r="CT149"/>
          <cell r="CU149"/>
          <cell r="CV149"/>
          <cell r="CW149"/>
          <cell r="CX149"/>
          <cell r="CY149"/>
          <cell r="CZ149"/>
          <cell r="DA149"/>
          <cell r="DB149"/>
          <cell r="DC149"/>
          <cell r="DD149"/>
          <cell r="DE149"/>
          <cell r="DF149"/>
          <cell r="DG149"/>
          <cell r="DH149"/>
          <cell r="DI149"/>
          <cell r="DJ149"/>
          <cell r="DK149"/>
          <cell r="DL149"/>
          <cell r="DM149"/>
          <cell r="DN149"/>
          <cell r="DO149"/>
          <cell r="DP149"/>
          <cell r="DQ149"/>
          <cell r="DR149"/>
          <cell r="DS149"/>
          <cell r="DT149"/>
          <cell r="DU149"/>
          <cell r="DV149">
            <v>0</v>
          </cell>
          <cell r="DW149"/>
          <cell r="DX149"/>
          <cell r="DY149"/>
          <cell r="DZ149"/>
          <cell r="EA149"/>
          <cell r="EB149"/>
          <cell r="EC149"/>
          <cell r="ED149">
            <v>0</v>
          </cell>
          <cell r="EE149"/>
          <cell r="EF149"/>
          <cell r="EG149">
            <v>0</v>
          </cell>
          <cell r="EH149">
            <v>0</v>
          </cell>
          <cell r="EI149"/>
          <cell r="EJ149"/>
          <cell r="EK149"/>
          <cell r="EL149"/>
          <cell r="EM149"/>
          <cell r="EN149"/>
          <cell r="EO149"/>
          <cell r="EP149"/>
          <cell r="EQ149"/>
          <cell r="ER149"/>
          <cell r="ES149"/>
          <cell r="ET149"/>
          <cell r="EU149"/>
          <cell r="EV149"/>
          <cell r="EW149"/>
          <cell r="EX149"/>
          <cell r="EY149"/>
          <cell r="EZ149"/>
          <cell r="FA149"/>
          <cell r="FB149"/>
          <cell r="FC149"/>
          <cell r="FD149"/>
          <cell r="FE149"/>
          <cell r="FF149"/>
          <cell r="FG149"/>
          <cell r="FH149"/>
          <cell r="FI149">
            <v>0</v>
          </cell>
          <cell r="FJ149">
            <v>65.56</v>
          </cell>
          <cell r="FK149">
            <v>1872.57</v>
          </cell>
        </row>
        <row r="150">
          <cell r="A150" t="str">
            <v>Total Utilities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1942.01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  <cell r="EG150">
            <v>0</v>
          </cell>
          <cell r="EH150">
            <v>0</v>
          </cell>
          <cell r="EI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65.56</v>
          </cell>
          <cell r="FK150">
            <v>2007.57</v>
          </cell>
        </row>
        <row r="151">
          <cell r="A151" t="str">
            <v>Total Operating Expenses</v>
          </cell>
          <cell r="B151">
            <v>0</v>
          </cell>
          <cell r="C151">
            <v>0</v>
          </cell>
          <cell r="D151">
            <v>0</v>
          </cell>
          <cell r="E151">
            <v>270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1628.23</v>
          </cell>
          <cell r="P151">
            <v>3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1503.65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600</v>
          </cell>
          <cell r="AI151">
            <v>0</v>
          </cell>
          <cell r="AJ151">
            <v>0</v>
          </cell>
          <cell r="AK151">
            <v>0</v>
          </cell>
          <cell r="AL151">
            <v>150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1.5</v>
          </cell>
          <cell r="AX151">
            <v>0</v>
          </cell>
          <cell r="AY151">
            <v>0</v>
          </cell>
          <cell r="AZ151">
            <v>-2.4700000000000002</v>
          </cell>
          <cell r="BA151">
            <v>0</v>
          </cell>
          <cell r="BB151">
            <v>0</v>
          </cell>
          <cell r="BC151">
            <v>186</v>
          </cell>
          <cell r="BD151">
            <v>0</v>
          </cell>
          <cell r="BE151">
            <v>2438.6799999999998</v>
          </cell>
          <cell r="BF151">
            <v>580257.46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-1006.86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150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-856.86</v>
          </cell>
          <cell r="CG151">
            <v>0</v>
          </cell>
          <cell r="CH151">
            <v>0</v>
          </cell>
          <cell r="CI151">
            <v>0</v>
          </cell>
          <cell r="CJ151">
            <v>3</v>
          </cell>
          <cell r="CK151">
            <v>0</v>
          </cell>
          <cell r="CL151">
            <v>0</v>
          </cell>
          <cell r="CM151">
            <v>387</v>
          </cell>
          <cell r="CN151">
            <v>307</v>
          </cell>
          <cell r="CO151">
            <v>0</v>
          </cell>
          <cell r="CP151">
            <v>78.08</v>
          </cell>
          <cell r="CQ151">
            <v>569</v>
          </cell>
          <cell r="CR151">
            <v>150</v>
          </cell>
          <cell r="CS151">
            <v>0</v>
          </cell>
          <cell r="CT151">
            <v>0</v>
          </cell>
          <cell r="CU151">
            <v>1.5</v>
          </cell>
          <cell r="CV151">
            <v>0</v>
          </cell>
          <cell r="CW151">
            <v>442</v>
          </cell>
          <cell r="CX151">
            <v>0</v>
          </cell>
          <cell r="CY151">
            <v>0</v>
          </cell>
          <cell r="CZ151">
            <v>150</v>
          </cell>
          <cell r="DA151">
            <v>0</v>
          </cell>
          <cell r="DB151">
            <v>0</v>
          </cell>
          <cell r="DC151">
            <v>549.79999999999995</v>
          </cell>
          <cell r="DD151">
            <v>707</v>
          </cell>
          <cell r="DE151">
            <v>3.95</v>
          </cell>
          <cell r="DF151">
            <v>0</v>
          </cell>
          <cell r="DG151">
            <v>0</v>
          </cell>
          <cell r="DH151">
            <v>3.05</v>
          </cell>
          <cell r="DI151">
            <v>322</v>
          </cell>
          <cell r="DJ151">
            <v>469</v>
          </cell>
          <cell r="DK151">
            <v>996</v>
          </cell>
          <cell r="DL151">
            <v>0</v>
          </cell>
          <cell r="DM151">
            <v>0</v>
          </cell>
          <cell r="DN151">
            <v>0</v>
          </cell>
          <cell r="DO151">
            <v>30</v>
          </cell>
          <cell r="DP151">
            <v>30</v>
          </cell>
          <cell r="DQ151">
            <v>30</v>
          </cell>
          <cell r="DR151">
            <v>30</v>
          </cell>
          <cell r="DS151">
            <v>30</v>
          </cell>
          <cell r="DT151">
            <v>30</v>
          </cell>
          <cell r="DU151">
            <v>919</v>
          </cell>
          <cell r="DV151">
            <v>1099</v>
          </cell>
          <cell r="DW151">
            <v>0</v>
          </cell>
          <cell r="DX151">
            <v>30</v>
          </cell>
          <cell r="DY151">
            <v>30</v>
          </cell>
          <cell r="DZ151">
            <v>31.5</v>
          </cell>
          <cell r="EA151">
            <v>181.5</v>
          </cell>
          <cell r="EB151">
            <v>30</v>
          </cell>
          <cell r="EC151">
            <v>30</v>
          </cell>
          <cell r="ED151">
            <v>333</v>
          </cell>
          <cell r="EE151">
            <v>0</v>
          </cell>
          <cell r="EF151">
            <v>0</v>
          </cell>
          <cell r="EG151">
            <v>0</v>
          </cell>
          <cell r="EH151">
            <v>6570.38</v>
          </cell>
          <cell r="EI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8.0500000000000007</v>
          </cell>
          <cell r="ES151">
            <v>0</v>
          </cell>
          <cell r="ET151">
            <v>0</v>
          </cell>
          <cell r="EU151">
            <v>1000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  <cell r="FA151">
            <v>0</v>
          </cell>
          <cell r="FB151">
            <v>0</v>
          </cell>
          <cell r="FC151">
            <v>0</v>
          </cell>
          <cell r="FD151">
            <v>0</v>
          </cell>
          <cell r="FE151">
            <v>0</v>
          </cell>
          <cell r="FF151">
            <v>0</v>
          </cell>
          <cell r="FG151">
            <v>0</v>
          </cell>
          <cell r="FH151">
            <v>0</v>
          </cell>
          <cell r="FI151">
            <v>1008.05</v>
          </cell>
          <cell r="FJ151">
            <v>5942.93</v>
          </cell>
          <cell r="FK151">
            <v>597261.87</v>
          </cell>
        </row>
        <row r="152">
          <cell r="A152" t="str">
            <v>Payroll Expenses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  <cell r="AE152"/>
          <cell r="AF152"/>
          <cell r="AG152"/>
          <cell r="AH152"/>
          <cell r="AI152"/>
          <cell r="AJ152"/>
          <cell r="AK152"/>
          <cell r="AL152"/>
          <cell r="AM152"/>
          <cell r="AN152"/>
          <cell r="AO152"/>
          <cell r="AP152"/>
          <cell r="AQ152"/>
          <cell r="AR152"/>
          <cell r="AS152"/>
          <cell r="AT152"/>
          <cell r="AU152"/>
          <cell r="AV152"/>
          <cell r="AW152"/>
          <cell r="AX152"/>
          <cell r="AY152"/>
          <cell r="AZ152"/>
          <cell r="BA152"/>
          <cell r="BB152"/>
          <cell r="BC152"/>
          <cell r="BD152"/>
          <cell r="BE152">
            <v>0</v>
          </cell>
          <cell r="BF152">
            <v>85</v>
          </cell>
          <cell r="BG152"/>
          <cell r="BH152"/>
          <cell r="BI152">
            <v>0</v>
          </cell>
          <cell r="BJ152"/>
          <cell r="BK152"/>
          <cell r="BL152">
            <v>0</v>
          </cell>
          <cell r="BM152"/>
          <cell r="BN152"/>
          <cell r="BO152"/>
          <cell r="BP152"/>
          <cell r="BQ152"/>
          <cell r="BR152"/>
          <cell r="BS152"/>
          <cell r="BT152"/>
          <cell r="BU152"/>
          <cell r="BV152"/>
          <cell r="BW152"/>
          <cell r="BX152"/>
          <cell r="BY152"/>
          <cell r="BZ152"/>
          <cell r="CA152"/>
          <cell r="CB152"/>
          <cell r="CC152"/>
          <cell r="CD152"/>
          <cell r="CE152"/>
          <cell r="CF152">
            <v>0</v>
          </cell>
          <cell r="CG152"/>
          <cell r="CH152"/>
          <cell r="CI152"/>
          <cell r="CJ152"/>
          <cell r="CK152"/>
          <cell r="CL152"/>
          <cell r="CM152"/>
          <cell r="CN152"/>
          <cell r="CO152"/>
          <cell r="CP152"/>
          <cell r="CQ152"/>
          <cell r="CR152"/>
          <cell r="CS152"/>
          <cell r="CT152"/>
          <cell r="CU152"/>
          <cell r="CV152"/>
          <cell r="CW152"/>
          <cell r="CX152"/>
          <cell r="CY152"/>
          <cell r="CZ152"/>
          <cell r="DA152"/>
          <cell r="DB152"/>
          <cell r="DC152"/>
          <cell r="DD152"/>
          <cell r="DE152"/>
          <cell r="DF152"/>
          <cell r="DG152"/>
          <cell r="DH152"/>
          <cell r="DI152"/>
          <cell r="DJ152"/>
          <cell r="DK152"/>
          <cell r="DL152"/>
          <cell r="DM152"/>
          <cell r="DN152"/>
          <cell r="DO152"/>
          <cell r="DP152"/>
          <cell r="DQ152"/>
          <cell r="DR152"/>
          <cell r="DS152"/>
          <cell r="DT152"/>
          <cell r="DU152"/>
          <cell r="DV152">
            <v>0</v>
          </cell>
          <cell r="DW152"/>
          <cell r="DX152"/>
          <cell r="DY152"/>
          <cell r="DZ152"/>
          <cell r="EA152"/>
          <cell r="EB152"/>
          <cell r="EC152"/>
          <cell r="ED152">
            <v>0</v>
          </cell>
          <cell r="EE152"/>
          <cell r="EF152"/>
          <cell r="EG152">
            <v>0</v>
          </cell>
          <cell r="EH152">
            <v>0</v>
          </cell>
          <cell r="EI152"/>
          <cell r="EJ152"/>
          <cell r="EK152"/>
          <cell r="EL152"/>
          <cell r="EM152"/>
          <cell r="EN152"/>
          <cell r="EO152"/>
          <cell r="EP152"/>
          <cell r="EQ152"/>
          <cell r="ER152"/>
          <cell r="ES152"/>
          <cell r="ET152"/>
          <cell r="EU152"/>
          <cell r="EV152"/>
          <cell r="EW152"/>
          <cell r="EX152"/>
          <cell r="EY152"/>
          <cell r="EZ152"/>
          <cell r="FA152"/>
          <cell r="FB152"/>
          <cell r="FC152"/>
          <cell r="FD152"/>
          <cell r="FE152"/>
          <cell r="FF152"/>
          <cell r="FG152"/>
          <cell r="FH152"/>
          <cell r="FI152">
            <v>0</v>
          </cell>
          <cell r="FJ152"/>
          <cell r="FK152">
            <v>85</v>
          </cell>
        </row>
        <row r="153">
          <cell r="A153" t="str">
            <v>Payroll - Bonuses</v>
          </cell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  <cell r="T153"/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  <cell r="AE153"/>
          <cell r="AF153"/>
          <cell r="AG153"/>
          <cell r="AH153"/>
          <cell r="AI153"/>
          <cell r="AJ153"/>
          <cell r="AK153"/>
          <cell r="AL153"/>
          <cell r="AM153"/>
          <cell r="AN153"/>
          <cell r="AO153"/>
          <cell r="AP153"/>
          <cell r="AQ153"/>
          <cell r="AR153"/>
          <cell r="AS153"/>
          <cell r="AT153"/>
          <cell r="AU153"/>
          <cell r="AV153"/>
          <cell r="AW153"/>
          <cell r="AX153"/>
          <cell r="AY153"/>
          <cell r="AZ153"/>
          <cell r="BA153"/>
          <cell r="BB153"/>
          <cell r="BC153"/>
          <cell r="BD153"/>
          <cell r="BE153">
            <v>0</v>
          </cell>
          <cell r="BF153">
            <v>37584.86</v>
          </cell>
          <cell r="BG153"/>
          <cell r="BH153"/>
          <cell r="BI153">
            <v>0</v>
          </cell>
          <cell r="BJ153"/>
          <cell r="BK153"/>
          <cell r="BL153">
            <v>0</v>
          </cell>
          <cell r="BM153"/>
          <cell r="BN153"/>
          <cell r="BO153"/>
          <cell r="BP153"/>
          <cell r="BQ153"/>
          <cell r="BR153"/>
          <cell r="BS153"/>
          <cell r="BT153"/>
          <cell r="BU153"/>
          <cell r="BV153"/>
          <cell r="BW153"/>
          <cell r="BX153"/>
          <cell r="BY153"/>
          <cell r="BZ153"/>
          <cell r="CA153"/>
          <cell r="CB153"/>
          <cell r="CC153"/>
          <cell r="CD153"/>
          <cell r="CE153"/>
          <cell r="CF153">
            <v>0</v>
          </cell>
          <cell r="CG153"/>
          <cell r="CH153"/>
          <cell r="CI153"/>
          <cell r="CJ153"/>
          <cell r="CK153"/>
          <cell r="CL153"/>
          <cell r="CM153"/>
          <cell r="CN153"/>
          <cell r="CO153"/>
          <cell r="CP153"/>
          <cell r="CQ153"/>
          <cell r="CR153"/>
          <cell r="CS153"/>
          <cell r="CT153"/>
          <cell r="CU153"/>
          <cell r="CV153"/>
          <cell r="CW153"/>
          <cell r="CX153"/>
          <cell r="CY153"/>
          <cell r="CZ153"/>
          <cell r="DA153"/>
          <cell r="DB153"/>
          <cell r="DC153"/>
          <cell r="DD153"/>
          <cell r="DE153"/>
          <cell r="DF153"/>
          <cell r="DG153"/>
          <cell r="DH153"/>
          <cell r="DI153"/>
          <cell r="DJ153"/>
          <cell r="DK153"/>
          <cell r="DL153"/>
          <cell r="DM153"/>
          <cell r="DN153"/>
          <cell r="DO153"/>
          <cell r="DP153"/>
          <cell r="DQ153"/>
          <cell r="DR153"/>
          <cell r="DS153"/>
          <cell r="DT153"/>
          <cell r="DU153"/>
          <cell r="DV153">
            <v>0</v>
          </cell>
          <cell r="DW153"/>
          <cell r="DX153"/>
          <cell r="DY153"/>
          <cell r="DZ153"/>
          <cell r="EA153"/>
          <cell r="EB153"/>
          <cell r="EC153"/>
          <cell r="ED153">
            <v>0</v>
          </cell>
          <cell r="EE153"/>
          <cell r="EF153"/>
          <cell r="EG153">
            <v>0</v>
          </cell>
          <cell r="EH153">
            <v>0</v>
          </cell>
          <cell r="EI153"/>
          <cell r="EJ153"/>
          <cell r="EK153"/>
          <cell r="EL153"/>
          <cell r="EM153"/>
          <cell r="EN153"/>
          <cell r="EO153"/>
          <cell r="EP153"/>
          <cell r="EQ153"/>
          <cell r="ER153"/>
          <cell r="ES153"/>
          <cell r="ET153"/>
          <cell r="EU153"/>
          <cell r="EV153"/>
          <cell r="EW153"/>
          <cell r="EX153"/>
          <cell r="EY153"/>
          <cell r="EZ153"/>
          <cell r="FA153"/>
          <cell r="FB153"/>
          <cell r="FC153"/>
          <cell r="FD153"/>
          <cell r="FE153"/>
          <cell r="FF153"/>
          <cell r="FG153"/>
          <cell r="FH153"/>
          <cell r="FI153">
            <v>0</v>
          </cell>
          <cell r="FJ153"/>
          <cell r="FK153">
            <v>37584.86</v>
          </cell>
        </row>
        <row r="154">
          <cell r="A154" t="str">
            <v>Payroll Fees</v>
          </cell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  <cell r="AE154"/>
          <cell r="AF154"/>
          <cell r="AG154"/>
          <cell r="AH154"/>
          <cell r="AI154"/>
          <cell r="AJ154"/>
          <cell r="AK154"/>
          <cell r="AL154"/>
          <cell r="AM154"/>
          <cell r="AN154"/>
          <cell r="AO154"/>
          <cell r="AP154"/>
          <cell r="AQ154"/>
          <cell r="AR154"/>
          <cell r="AS154"/>
          <cell r="AT154"/>
          <cell r="AU154"/>
          <cell r="AV154"/>
          <cell r="AW154"/>
          <cell r="AX154"/>
          <cell r="AY154"/>
          <cell r="AZ154"/>
          <cell r="BA154"/>
          <cell r="BB154"/>
          <cell r="BC154"/>
          <cell r="BD154"/>
          <cell r="BE154">
            <v>0</v>
          </cell>
          <cell r="BF154">
            <v>1273</v>
          </cell>
          <cell r="BG154"/>
          <cell r="BH154"/>
          <cell r="BI154">
            <v>0</v>
          </cell>
          <cell r="BJ154"/>
          <cell r="BK154"/>
          <cell r="BL154">
            <v>0</v>
          </cell>
          <cell r="BM154"/>
          <cell r="BN154"/>
          <cell r="BO154"/>
          <cell r="BP154"/>
          <cell r="BQ154"/>
          <cell r="BR154"/>
          <cell r="BS154"/>
          <cell r="BT154"/>
          <cell r="BU154"/>
          <cell r="BV154"/>
          <cell r="BW154"/>
          <cell r="BX154"/>
          <cell r="BY154"/>
          <cell r="BZ154"/>
          <cell r="CA154"/>
          <cell r="CB154"/>
          <cell r="CC154"/>
          <cell r="CD154"/>
          <cell r="CE154"/>
          <cell r="CF154">
            <v>0</v>
          </cell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>
            <v>0</v>
          </cell>
          <cell r="DW154"/>
          <cell r="DX154"/>
          <cell r="DY154"/>
          <cell r="DZ154"/>
          <cell r="EA154"/>
          <cell r="EB154"/>
          <cell r="EC154"/>
          <cell r="ED154">
            <v>0</v>
          </cell>
          <cell r="EE154"/>
          <cell r="EF154"/>
          <cell r="EG154">
            <v>0</v>
          </cell>
          <cell r="EH154">
            <v>0</v>
          </cell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  <cell r="EW154"/>
          <cell r="EX154"/>
          <cell r="EY154"/>
          <cell r="EZ154"/>
          <cell r="FA154"/>
          <cell r="FB154"/>
          <cell r="FC154"/>
          <cell r="FD154"/>
          <cell r="FE154"/>
          <cell r="FF154"/>
          <cell r="FG154"/>
          <cell r="FH154"/>
          <cell r="FI154">
            <v>0</v>
          </cell>
          <cell r="FJ154">
            <v>58</v>
          </cell>
          <cell r="FK154">
            <v>1331</v>
          </cell>
        </row>
        <row r="155">
          <cell r="A155" t="str">
            <v>Payroll Taxes</v>
          </cell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  <cell r="T155"/>
          <cell r="U155"/>
          <cell r="V155"/>
          <cell r="W155"/>
          <cell r="X155"/>
          <cell r="Y155"/>
          <cell r="Z155"/>
          <cell r="AA155"/>
          <cell r="AB155"/>
          <cell r="AC155"/>
          <cell r="AD155"/>
          <cell r="AE155"/>
          <cell r="AF155"/>
          <cell r="AG155"/>
          <cell r="AH155"/>
          <cell r="AI155"/>
          <cell r="AJ155"/>
          <cell r="AK155"/>
          <cell r="AL155"/>
          <cell r="AM155"/>
          <cell r="AN155"/>
          <cell r="AO155"/>
          <cell r="AP155"/>
          <cell r="AQ155"/>
          <cell r="AR155"/>
          <cell r="AS155"/>
          <cell r="AT155"/>
          <cell r="AU155"/>
          <cell r="AV155"/>
          <cell r="AW155"/>
          <cell r="AX155"/>
          <cell r="AY155"/>
          <cell r="AZ155"/>
          <cell r="BA155"/>
          <cell r="BB155"/>
          <cell r="BC155"/>
          <cell r="BD155"/>
          <cell r="BE155">
            <v>0</v>
          </cell>
          <cell r="BF155">
            <v>44291.15</v>
          </cell>
          <cell r="BG155"/>
          <cell r="BH155"/>
          <cell r="BI155">
            <v>0</v>
          </cell>
          <cell r="BJ155"/>
          <cell r="BK155"/>
          <cell r="BL155">
            <v>0</v>
          </cell>
          <cell r="BM155"/>
          <cell r="BN155"/>
          <cell r="BO155"/>
          <cell r="BP155"/>
          <cell r="BQ155"/>
          <cell r="BR155"/>
          <cell r="BS155"/>
          <cell r="BT155"/>
          <cell r="BU155"/>
          <cell r="BV155"/>
          <cell r="BW155"/>
          <cell r="BX155"/>
          <cell r="BY155"/>
          <cell r="BZ155"/>
          <cell r="CA155"/>
          <cell r="CB155"/>
          <cell r="CC155"/>
          <cell r="CD155"/>
          <cell r="CE155"/>
          <cell r="CF155">
            <v>0</v>
          </cell>
          <cell r="CG155"/>
          <cell r="CH155"/>
          <cell r="CI155"/>
          <cell r="CJ155"/>
          <cell r="CK155"/>
          <cell r="CL155"/>
          <cell r="CM155"/>
          <cell r="CN155"/>
          <cell r="CO155"/>
          <cell r="CP155"/>
          <cell r="CQ155"/>
          <cell r="CR155"/>
          <cell r="CS155"/>
          <cell r="CT155"/>
          <cell r="CU155"/>
          <cell r="CV155"/>
          <cell r="CW155"/>
          <cell r="CX155"/>
          <cell r="CY155"/>
          <cell r="CZ155"/>
          <cell r="DA155"/>
          <cell r="DB155"/>
          <cell r="DC155"/>
          <cell r="DD155"/>
          <cell r="DE155"/>
          <cell r="DF155"/>
          <cell r="DG155"/>
          <cell r="DH155"/>
          <cell r="DI155"/>
          <cell r="DJ155"/>
          <cell r="DK155"/>
          <cell r="DL155"/>
          <cell r="DM155"/>
          <cell r="DN155"/>
          <cell r="DO155"/>
          <cell r="DP155"/>
          <cell r="DQ155"/>
          <cell r="DR155"/>
          <cell r="DS155"/>
          <cell r="DT155"/>
          <cell r="DU155"/>
          <cell r="DV155">
            <v>0</v>
          </cell>
          <cell r="DW155"/>
          <cell r="DX155"/>
          <cell r="DY155"/>
          <cell r="DZ155"/>
          <cell r="EA155"/>
          <cell r="EB155"/>
          <cell r="EC155"/>
          <cell r="ED155">
            <v>0</v>
          </cell>
          <cell r="EE155"/>
          <cell r="EF155"/>
          <cell r="EG155">
            <v>0</v>
          </cell>
          <cell r="EH155">
            <v>0</v>
          </cell>
          <cell r="EI155"/>
          <cell r="EJ155"/>
          <cell r="EK155"/>
          <cell r="EL155"/>
          <cell r="EM155"/>
          <cell r="EN155"/>
          <cell r="EO155"/>
          <cell r="EP155"/>
          <cell r="EQ155"/>
          <cell r="ER155"/>
          <cell r="ES155"/>
          <cell r="ET155"/>
          <cell r="EU155"/>
          <cell r="EV155"/>
          <cell r="EW155"/>
          <cell r="EX155"/>
          <cell r="EY155"/>
          <cell r="EZ155"/>
          <cell r="FA155"/>
          <cell r="FB155"/>
          <cell r="FC155"/>
          <cell r="FD155"/>
          <cell r="FE155"/>
          <cell r="FF155"/>
          <cell r="FG155"/>
          <cell r="FH155"/>
          <cell r="FI155">
            <v>0</v>
          </cell>
          <cell r="FJ155">
            <v>2011.55</v>
          </cell>
          <cell r="FK155">
            <v>46302.7</v>
          </cell>
        </row>
        <row r="156">
          <cell r="A156" t="str">
            <v>Reimbursements</v>
          </cell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  <cell r="T156"/>
          <cell r="U156"/>
          <cell r="V156"/>
          <cell r="W156"/>
          <cell r="X156"/>
          <cell r="Y156"/>
          <cell r="Z156"/>
          <cell r="AA156"/>
          <cell r="AB156"/>
          <cell r="AC156"/>
          <cell r="AD156"/>
          <cell r="AE156"/>
          <cell r="AF156"/>
          <cell r="AG156"/>
          <cell r="AH156"/>
          <cell r="AI156"/>
          <cell r="AJ156"/>
          <cell r="AK156"/>
          <cell r="AL156"/>
          <cell r="AM156"/>
          <cell r="AN156"/>
          <cell r="AO156"/>
          <cell r="AP156"/>
          <cell r="AQ156"/>
          <cell r="AR156"/>
          <cell r="AS156"/>
          <cell r="AT156"/>
          <cell r="AU156"/>
          <cell r="AV156"/>
          <cell r="AW156"/>
          <cell r="AX156"/>
          <cell r="AY156"/>
          <cell r="AZ156"/>
          <cell r="BA156"/>
          <cell r="BB156"/>
          <cell r="BC156"/>
          <cell r="BD156"/>
          <cell r="BE156">
            <v>0</v>
          </cell>
          <cell r="BF156">
            <v>2928.62</v>
          </cell>
          <cell r="BG156"/>
          <cell r="BH156"/>
          <cell r="BI156">
            <v>0</v>
          </cell>
          <cell r="BJ156"/>
          <cell r="BK156"/>
          <cell r="BL156">
            <v>0</v>
          </cell>
          <cell r="BM156"/>
          <cell r="BN156"/>
          <cell r="BO156"/>
          <cell r="BP156"/>
          <cell r="BQ156"/>
          <cell r="BR156"/>
          <cell r="BS156"/>
          <cell r="BT156"/>
          <cell r="BU156"/>
          <cell r="BV156"/>
          <cell r="BW156"/>
          <cell r="BX156"/>
          <cell r="BY156"/>
          <cell r="BZ156"/>
          <cell r="CA156"/>
          <cell r="CB156"/>
          <cell r="CC156"/>
          <cell r="CD156"/>
          <cell r="CE156"/>
          <cell r="CF156">
            <v>0</v>
          </cell>
          <cell r="CG156"/>
          <cell r="CH156"/>
          <cell r="CI156"/>
          <cell r="CJ156"/>
          <cell r="CK156"/>
          <cell r="CL156"/>
          <cell r="CM156"/>
          <cell r="CN156"/>
          <cell r="CO156"/>
          <cell r="CP156"/>
          <cell r="CQ156"/>
          <cell r="CR156"/>
          <cell r="CS156"/>
          <cell r="CT156"/>
          <cell r="CU156"/>
          <cell r="CV156"/>
          <cell r="CW156"/>
          <cell r="CX156"/>
          <cell r="CY156"/>
          <cell r="CZ156"/>
          <cell r="DA156"/>
          <cell r="DB156"/>
          <cell r="DC156"/>
          <cell r="DD156"/>
          <cell r="DE156"/>
          <cell r="DF156"/>
          <cell r="DG156"/>
          <cell r="DH156"/>
          <cell r="DI156"/>
          <cell r="DJ156"/>
          <cell r="DK156"/>
          <cell r="DL156"/>
          <cell r="DM156"/>
          <cell r="DN156"/>
          <cell r="DO156"/>
          <cell r="DP156"/>
          <cell r="DQ156"/>
          <cell r="DR156"/>
          <cell r="DS156"/>
          <cell r="DT156"/>
          <cell r="DU156"/>
          <cell r="DV156">
            <v>0</v>
          </cell>
          <cell r="DW156"/>
          <cell r="DX156"/>
          <cell r="DY156"/>
          <cell r="DZ156"/>
          <cell r="EA156"/>
          <cell r="EB156"/>
          <cell r="EC156"/>
          <cell r="ED156">
            <v>0</v>
          </cell>
          <cell r="EE156"/>
          <cell r="EF156"/>
          <cell r="EG156">
            <v>0</v>
          </cell>
          <cell r="EH156">
            <v>0</v>
          </cell>
          <cell r="EI156"/>
          <cell r="EJ156"/>
          <cell r="EK156"/>
          <cell r="EL156"/>
          <cell r="EM156"/>
          <cell r="EN156"/>
          <cell r="EO156"/>
          <cell r="EP156"/>
          <cell r="EQ156"/>
          <cell r="ER156"/>
          <cell r="ES156"/>
          <cell r="ET156"/>
          <cell r="EU156"/>
          <cell r="EV156"/>
          <cell r="EW156"/>
          <cell r="EX156"/>
          <cell r="EY156"/>
          <cell r="EZ156"/>
          <cell r="FA156"/>
          <cell r="FB156"/>
          <cell r="FC156"/>
          <cell r="FD156"/>
          <cell r="FE156"/>
          <cell r="FF156"/>
          <cell r="FG156"/>
          <cell r="FH156"/>
          <cell r="FI156">
            <v>0</v>
          </cell>
          <cell r="FJ156"/>
          <cell r="FK156">
            <v>2928.62</v>
          </cell>
        </row>
        <row r="157">
          <cell r="A157" t="str">
            <v>Salaries &amp; Wages</v>
          </cell>
          <cell r="B157"/>
          <cell r="C157"/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  <cell r="S157"/>
          <cell r="T157"/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  <cell r="AE157"/>
          <cell r="AF157"/>
          <cell r="AG157"/>
          <cell r="AH157"/>
          <cell r="AI157"/>
          <cell r="AJ157"/>
          <cell r="AK157"/>
          <cell r="AL157"/>
          <cell r="AM157"/>
          <cell r="AN157"/>
          <cell r="AO157"/>
          <cell r="AP157"/>
          <cell r="AQ157"/>
          <cell r="AR157"/>
          <cell r="AS157"/>
          <cell r="AT157"/>
          <cell r="AU157"/>
          <cell r="AV157"/>
          <cell r="AW157"/>
          <cell r="AX157"/>
          <cell r="AY157"/>
          <cell r="AZ157"/>
          <cell r="BA157"/>
          <cell r="BB157"/>
          <cell r="BC157"/>
          <cell r="BD157"/>
          <cell r="BE157">
            <v>0</v>
          </cell>
          <cell r="BF157">
            <v>323458.8</v>
          </cell>
          <cell r="BG157"/>
          <cell r="BH157"/>
          <cell r="BI157">
            <v>0</v>
          </cell>
          <cell r="BJ157"/>
          <cell r="BK157"/>
          <cell r="BL157">
            <v>0</v>
          </cell>
          <cell r="BM157"/>
          <cell r="BN157"/>
          <cell r="BO157"/>
          <cell r="BP157"/>
          <cell r="BQ157"/>
          <cell r="BR157"/>
          <cell r="BS157"/>
          <cell r="BT157"/>
          <cell r="BU157"/>
          <cell r="BV157"/>
          <cell r="BW157"/>
          <cell r="BX157"/>
          <cell r="BY157"/>
          <cell r="BZ157"/>
          <cell r="CA157"/>
          <cell r="CB157"/>
          <cell r="CC157"/>
          <cell r="CD157"/>
          <cell r="CE157"/>
          <cell r="CF157">
            <v>0</v>
          </cell>
          <cell r="CG157"/>
          <cell r="CH157"/>
          <cell r="CI157"/>
          <cell r="CJ157"/>
          <cell r="CK157"/>
          <cell r="CL157"/>
          <cell r="CM157"/>
          <cell r="CN157"/>
          <cell r="CO157"/>
          <cell r="CP157"/>
          <cell r="CQ157"/>
          <cell r="CR157"/>
          <cell r="CS157"/>
          <cell r="CT157"/>
          <cell r="CU157"/>
          <cell r="CV157"/>
          <cell r="CW157"/>
          <cell r="CX157"/>
          <cell r="CY157"/>
          <cell r="CZ157"/>
          <cell r="DA157"/>
          <cell r="DB157"/>
          <cell r="DC157"/>
          <cell r="DD157"/>
          <cell r="DE157"/>
          <cell r="DF157"/>
          <cell r="DG157"/>
          <cell r="DH157"/>
          <cell r="DI157"/>
          <cell r="DJ157"/>
          <cell r="DK157"/>
          <cell r="DL157"/>
          <cell r="DM157"/>
          <cell r="DN157"/>
          <cell r="DO157"/>
          <cell r="DP157"/>
          <cell r="DQ157"/>
          <cell r="DR157"/>
          <cell r="DS157"/>
          <cell r="DT157"/>
          <cell r="DU157"/>
          <cell r="DV157">
            <v>0</v>
          </cell>
          <cell r="DW157"/>
          <cell r="DX157"/>
          <cell r="DY157"/>
          <cell r="DZ157"/>
          <cell r="EA157"/>
          <cell r="EB157"/>
          <cell r="EC157"/>
          <cell r="ED157">
            <v>0</v>
          </cell>
          <cell r="EE157"/>
          <cell r="EF157"/>
          <cell r="EG157">
            <v>0</v>
          </cell>
          <cell r="EH157">
            <v>0</v>
          </cell>
          <cell r="EI157"/>
          <cell r="EJ157"/>
          <cell r="EK157"/>
          <cell r="EL157"/>
          <cell r="EM157"/>
          <cell r="EN157"/>
          <cell r="EO157"/>
          <cell r="EP157"/>
          <cell r="EQ157"/>
          <cell r="ER157"/>
          <cell r="ES157"/>
          <cell r="ET157"/>
          <cell r="EU157"/>
          <cell r="EV157"/>
          <cell r="EW157"/>
          <cell r="EX157"/>
          <cell r="EY157"/>
          <cell r="EZ157"/>
          <cell r="FA157"/>
          <cell r="FB157"/>
          <cell r="FC157"/>
          <cell r="FD157"/>
          <cell r="FE157"/>
          <cell r="FF157"/>
          <cell r="FG157"/>
          <cell r="FH157"/>
          <cell r="FI157">
            <v>0</v>
          </cell>
          <cell r="FJ157">
            <v>21225.48</v>
          </cell>
          <cell r="FK157">
            <v>344684.28</v>
          </cell>
        </row>
        <row r="158">
          <cell r="A158" t="str">
            <v>Total Payroll Expenses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409621.43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0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T158">
            <v>0</v>
          </cell>
          <cell r="EU158">
            <v>0</v>
          </cell>
          <cell r="EV158">
            <v>0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0</v>
          </cell>
          <cell r="FH158">
            <v>0</v>
          </cell>
          <cell r="FI158">
            <v>0</v>
          </cell>
          <cell r="FJ158">
            <v>23295.03</v>
          </cell>
          <cell r="FK158">
            <v>432916.46</v>
          </cell>
        </row>
        <row r="159">
          <cell r="A159" t="str">
            <v>Pest Control</v>
          </cell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  <cell r="T159"/>
          <cell r="U159"/>
          <cell r="V159"/>
          <cell r="W159"/>
          <cell r="X159"/>
          <cell r="Y159"/>
          <cell r="Z159"/>
          <cell r="AA159"/>
          <cell r="AB159"/>
          <cell r="AC159"/>
          <cell r="AD159"/>
          <cell r="AE159"/>
          <cell r="AF159"/>
          <cell r="AG159"/>
          <cell r="AH159"/>
          <cell r="AI159"/>
          <cell r="AJ159"/>
          <cell r="AK159"/>
          <cell r="AL159"/>
          <cell r="AM159"/>
          <cell r="AN159"/>
          <cell r="AO159"/>
          <cell r="AP159"/>
          <cell r="AQ159"/>
          <cell r="AR159"/>
          <cell r="AS159"/>
          <cell r="AT159"/>
          <cell r="AU159"/>
          <cell r="AV159"/>
          <cell r="AW159"/>
          <cell r="AX159"/>
          <cell r="AY159"/>
          <cell r="AZ159"/>
          <cell r="BA159"/>
          <cell r="BB159"/>
          <cell r="BC159"/>
          <cell r="BD159"/>
          <cell r="BE159">
            <v>0</v>
          </cell>
          <cell r="BF159"/>
          <cell r="BG159"/>
          <cell r="BH159"/>
          <cell r="BI159">
            <v>0</v>
          </cell>
          <cell r="BJ159"/>
          <cell r="BK159"/>
          <cell r="BL159">
            <v>0</v>
          </cell>
          <cell r="BM159"/>
          <cell r="BN159"/>
          <cell r="BO159"/>
          <cell r="BP159"/>
          <cell r="BQ159"/>
          <cell r="BR159"/>
          <cell r="BS159"/>
          <cell r="BT159"/>
          <cell r="BU159"/>
          <cell r="BV159"/>
          <cell r="BW159"/>
          <cell r="BX159"/>
          <cell r="BY159"/>
          <cell r="BZ159"/>
          <cell r="CA159"/>
          <cell r="CB159"/>
          <cell r="CC159"/>
          <cell r="CD159"/>
          <cell r="CE159"/>
          <cell r="CF159">
            <v>0</v>
          </cell>
          <cell r="CG159"/>
          <cell r="CH159"/>
          <cell r="CI159"/>
          <cell r="CJ159"/>
          <cell r="CK159"/>
          <cell r="CL159"/>
          <cell r="CM159"/>
          <cell r="CN159"/>
          <cell r="CO159"/>
          <cell r="CP159"/>
          <cell r="CQ159"/>
          <cell r="CR159"/>
          <cell r="CS159"/>
          <cell r="CT159"/>
          <cell r="CU159"/>
          <cell r="CV159"/>
          <cell r="CW159"/>
          <cell r="CX159"/>
          <cell r="CY159"/>
          <cell r="CZ159"/>
          <cell r="DA159"/>
          <cell r="DB159"/>
          <cell r="DC159"/>
          <cell r="DD159"/>
          <cell r="DE159"/>
          <cell r="DF159"/>
          <cell r="DG159"/>
          <cell r="DH159"/>
          <cell r="DI159"/>
          <cell r="DJ159"/>
          <cell r="DK159"/>
          <cell r="DL159"/>
          <cell r="DM159"/>
          <cell r="DN159"/>
          <cell r="DO159"/>
          <cell r="DP159"/>
          <cell r="DQ159"/>
          <cell r="DR159"/>
          <cell r="DS159"/>
          <cell r="DT159">
            <v>426.5</v>
          </cell>
          <cell r="DU159"/>
          <cell r="DV159">
            <v>426.5</v>
          </cell>
          <cell r="DW159"/>
          <cell r="DX159"/>
          <cell r="DY159"/>
          <cell r="DZ159"/>
          <cell r="EA159"/>
          <cell r="EB159"/>
          <cell r="EC159"/>
          <cell r="ED159">
            <v>0</v>
          </cell>
          <cell r="EE159"/>
          <cell r="EF159"/>
          <cell r="EG159">
            <v>0</v>
          </cell>
          <cell r="EH159">
            <v>426.5</v>
          </cell>
          <cell r="EI159"/>
          <cell r="EJ159"/>
          <cell r="EK159"/>
          <cell r="EL159"/>
          <cell r="EM159"/>
          <cell r="EN159"/>
          <cell r="EO159"/>
          <cell r="EP159"/>
          <cell r="EQ159"/>
          <cell r="ER159"/>
          <cell r="ES159"/>
          <cell r="ET159"/>
          <cell r="EU159"/>
          <cell r="EV159"/>
          <cell r="EW159"/>
          <cell r="EX159"/>
          <cell r="EY159"/>
          <cell r="EZ159"/>
          <cell r="FA159"/>
          <cell r="FB159"/>
          <cell r="FC159"/>
          <cell r="FD159"/>
          <cell r="FE159"/>
          <cell r="FF159"/>
          <cell r="FG159"/>
          <cell r="FH159"/>
          <cell r="FI159">
            <v>0</v>
          </cell>
          <cell r="FJ159"/>
          <cell r="FK159">
            <v>426.5</v>
          </cell>
        </row>
        <row r="160">
          <cell r="A160" t="str">
            <v>Professional Development</v>
          </cell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  <cell r="T160"/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  <cell r="AE160"/>
          <cell r="AF160"/>
          <cell r="AG160"/>
          <cell r="AH160"/>
          <cell r="AI160"/>
          <cell r="AJ160"/>
          <cell r="AK160"/>
          <cell r="AL160"/>
          <cell r="AM160"/>
          <cell r="AN160"/>
          <cell r="AO160"/>
          <cell r="AP160"/>
          <cell r="AQ160"/>
          <cell r="AR160"/>
          <cell r="AS160"/>
          <cell r="AT160"/>
          <cell r="AU160"/>
          <cell r="AV160"/>
          <cell r="AW160"/>
          <cell r="AX160"/>
          <cell r="AY160"/>
          <cell r="AZ160"/>
          <cell r="BA160"/>
          <cell r="BB160"/>
          <cell r="BC160"/>
          <cell r="BD160"/>
          <cell r="BE160">
            <v>0</v>
          </cell>
          <cell r="BF160">
            <v>60488.6</v>
          </cell>
          <cell r="BG160"/>
          <cell r="BH160"/>
          <cell r="BI160">
            <v>0</v>
          </cell>
          <cell r="BJ160"/>
          <cell r="BK160"/>
          <cell r="BL160">
            <v>0</v>
          </cell>
          <cell r="BM160"/>
          <cell r="BN160"/>
          <cell r="BO160"/>
          <cell r="BP160"/>
          <cell r="BQ160"/>
          <cell r="BR160"/>
          <cell r="BS160"/>
          <cell r="BT160"/>
          <cell r="BU160"/>
          <cell r="BV160"/>
          <cell r="BW160"/>
          <cell r="BX160"/>
          <cell r="BY160"/>
          <cell r="BZ160"/>
          <cell r="CA160"/>
          <cell r="CB160"/>
          <cell r="CC160"/>
          <cell r="CD160"/>
          <cell r="CE160"/>
          <cell r="CF160">
            <v>0</v>
          </cell>
          <cell r="CG160"/>
          <cell r="CH160"/>
          <cell r="CI160"/>
          <cell r="CJ160"/>
          <cell r="CK160"/>
          <cell r="CL160"/>
          <cell r="CM160"/>
          <cell r="CN160"/>
          <cell r="CO160"/>
          <cell r="CP160"/>
          <cell r="CQ160"/>
          <cell r="CR160"/>
          <cell r="CS160"/>
          <cell r="CT160"/>
          <cell r="CU160"/>
          <cell r="CV160"/>
          <cell r="CW160"/>
          <cell r="CX160"/>
          <cell r="CY160"/>
          <cell r="CZ160"/>
          <cell r="DA160"/>
          <cell r="DB160"/>
          <cell r="DC160"/>
          <cell r="DD160"/>
          <cell r="DE160"/>
          <cell r="DF160"/>
          <cell r="DG160"/>
          <cell r="DH160"/>
          <cell r="DI160"/>
          <cell r="DJ160"/>
          <cell r="DK160"/>
          <cell r="DL160"/>
          <cell r="DM160"/>
          <cell r="DN160"/>
          <cell r="DO160"/>
          <cell r="DP160"/>
          <cell r="DQ160"/>
          <cell r="DR160"/>
          <cell r="DS160"/>
          <cell r="DT160"/>
          <cell r="DU160"/>
          <cell r="DV160">
            <v>0</v>
          </cell>
          <cell r="DW160"/>
          <cell r="DX160"/>
          <cell r="DY160"/>
          <cell r="DZ160"/>
          <cell r="EA160"/>
          <cell r="EB160"/>
          <cell r="EC160"/>
          <cell r="ED160">
            <v>0</v>
          </cell>
          <cell r="EE160"/>
          <cell r="EF160"/>
          <cell r="EG160">
            <v>0</v>
          </cell>
          <cell r="EH160">
            <v>0</v>
          </cell>
          <cell r="EI160"/>
          <cell r="EJ160"/>
          <cell r="EK160"/>
          <cell r="EL160"/>
          <cell r="EM160"/>
          <cell r="EN160"/>
          <cell r="EO160"/>
          <cell r="EP160"/>
          <cell r="EQ160"/>
          <cell r="ER160"/>
          <cell r="ES160"/>
          <cell r="ET160"/>
          <cell r="EU160"/>
          <cell r="EV160"/>
          <cell r="EW160"/>
          <cell r="EX160"/>
          <cell r="EY160"/>
          <cell r="EZ160"/>
          <cell r="FA160"/>
          <cell r="FB160"/>
          <cell r="FC160"/>
          <cell r="FD160"/>
          <cell r="FE160"/>
          <cell r="FF160"/>
          <cell r="FG160"/>
          <cell r="FH160"/>
          <cell r="FI160">
            <v>0</v>
          </cell>
          <cell r="FJ160"/>
          <cell r="FK160">
            <v>60488.6</v>
          </cell>
        </row>
        <row r="161">
          <cell r="A161" t="str">
            <v>Rental Expenses</v>
          </cell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  <cell r="S161"/>
          <cell r="T161"/>
          <cell r="U161"/>
          <cell r="V161"/>
          <cell r="W161"/>
          <cell r="X161"/>
          <cell r="Y161"/>
          <cell r="Z161"/>
          <cell r="AA161"/>
          <cell r="AB161"/>
          <cell r="AC161"/>
          <cell r="AD161"/>
          <cell r="AE161"/>
          <cell r="AF161"/>
          <cell r="AG161"/>
          <cell r="AH161"/>
          <cell r="AI161"/>
          <cell r="AJ161"/>
          <cell r="AK161"/>
          <cell r="AL161"/>
          <cell r="AM161"/>
          <cell r="AN161"/>
          <cell r="AO161"/>
          <cell r="AP161"/>
          <cell r="AQ161"/>
          <cell r="AR161"/>
          <cell r="AS161"/>
          <cell r="AT161"/>
          <cell r="AU161"/>
          <cell r="AV161"/>
          <cell r="AW161"/>
          <cell r="AX161"/>
          <cell r="AY161"/>
          <cell r="AZ161"/>
          <cell r="BA161"/>
          <cell r="BB161"/>
          <cell r="BC161"/>
          <cell r="BD161"/>
          <cell r="BE161">
            <v>0</v>
          </cell>
          <cell r="BF161">
            <v>675.96</v>
          </cell>
          <cell r="BG161"/>
          <cell r="BH161"/>
          <cell r="BI161">
            <v>0</v>
          </cell>
          <cell r="BJ161"/>
          <cell r="BK161"/>
          <cell r="BL161">
            <v>0</v>
          </cell>
          <cell r="BM161"/>
          <cell r="BN161"/>
          <cell r="BO161"/>
          <cell r="BP161"/>
          <cell r="BQ161"/>
          <cell r="BR161"/>
          <cell r="BS161"/>
          <cell r="BT161"/>
          <cell r="BU161"/>
          <cell r="BV161"/>
          <cell r="BW161"/>
          <cell r="BX161"/>
          <cell r="BY161"/>
          <cell r="BZ161"/>
          <cell r="CA161"/>
          <cell r="CB161"/>
          <cell r="CC161"/>
          <cell r="CD161"/>
          <cell r="CE161"/>
          <cell r="CF161">
            <v>0</v>
          </cell>
          <cell r="CG161"/>
          <cell r="CH161"/>
          <cell r="CI161">
            <v>115</v>
          </cell>
          <cell r="CJ161"/>
          <cell r="CK161"/>
          <cell r="CL161"/>
          <cell r="CM161"/>
          <cell r="CN161"/>
          <cell r="CO161"/>
          <cell r="CP161"/>
          <cell r="CQ161"/>
          <cell r="CR161"/>
          <cell r="CS161"/>
          <cell r="CT161"/>
          <cell r="CU161"/>
          <cell r="CV161"/>
          <cell r="CW161"/>
          <cell r="CX161"/>
          <cell r="CY161"/>
          <cell r="CZ161"/>
          <cell r="DA161"/>
          <cell r="DB161"/>
          <cell r="DC161"/>
          <cell r="DD161"/>
          <cell r="DE161"/>
          <cell r="DF161"/>
          <cell r="DG161"/>
          <cell r="DH161"/>
          <cell r="DI161"/>
          <cell r="DJ161"/>
          <cell r="DK161"/>
          <cell r="DL161"/>
          <cell r="DM161"/>
          <cell r="DN161"/>
          <cell r="DO161"/>
          <cell r="DP161"/>
          <cell r="DQ161"/>
          <cell r="DR161"/>
          <cell r="DS161"/>
          <cell r="DT161"/>
          <cell r="DU161"/>
          <cell r="DV161">
            <v>0</v>
          </cell>
          <cell r="DW161"/>
          <cell r="DX161"/>
          <cell r="DY161"/>
          <cell r="DZ161"/>
          <cell r="EA161"/>
          <cell r="EB161"/>
          <cell r="EC161"/>
          <cell r="ED161">
            <v>0</v>
          </cell>
          <cell r="EE161"/>
          <cell r="EF161"/>
          <cell r="EG161">
            <v>0</v>
          </cell>
          <cell r="EH161">
            <v>115</v>
          </cell>
          <cell r="EI161"/>
          <cell r="EJ161"/>
          <cell r="EK161"/>
          <cell r="EL161"/>
          <cell r="EM161"/>
          <cell r="EN161"/>
          <cell r="EO161"/>
          <cell r="EP161"/>
          <cell r="EQ161"/>
          <cell r="ER161"/>
          <cell r="ES161"/>
          <cell r="ET161"/>
          <cell r="EU161"/>
          <cell r="EV161"/>
          <cell r="EW161"/>
          <cell r="EX161"/>
          <cell r="EY161"/>
          <cell r="EZ161"/>
          <cell r="FA161"/>
          <cell r="FB161"/>
          <cell r="FC161"/>
          <cell r="FD161"/>
          <cell r="FE161"/>
          <cell r="FF161"/>
          <cell r="FG161"/>
          <cell r="FH161"/>
          <cell r="FI161">
            <v>0</v>
          </cell>
          <cell r="FJ161"/>
          <cell r="FK161">
            <v>790.96</v>
          </cell>
        </row>
        <row r="162">
          <cell r="A162" t="str">
            <v>Rental Operating Expenses</v>
          </cell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  <cell r="S162"/>
          <cell r="T162"/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  <cell r="AE162"/>
          <cell r="AF162"/>
          <cell r="AG162"/>
          <cell r="AH162"/>
          <cell r="AI162"/>
          <cell r="AJ162"/>
          <cell r="AK162"/>
          <cell r="AL162"/>
          <cell r="AM162"/>
          <cell r="AN162"/>
          <cell r="AO162"/>
          <cell r="AP162"/>
          <cell r="AQ162"/>
          <cell r="AR162"/>
          <cell r="AS162"/>
          <cell r="AT162"/>
          <cell r="AU162"/>
          <cell r="AV162"/>
          <cell r="AW162"/>
          <cell r="AX162"/>
          <cell r="AY162"/>
          <cell r="AZ162"/>
          <cell r="BA162"/>
          <cell r="BB162"/>
          <cell r="BC162"/>
          <cell r="BD162"/>
          <cell r="BE162">
            <v>0</v>
          </cell>
          <cell r="BF162"/>
          <cell r="BG162"/>
          <cell r="BH162"/>
          <cell r="BI162">
            <v>0</v>
          </cell>
          <cell r="BJ162"/>
          <cell r="BK162"/>
          <cell r="BL162">
            <v>0</v>
          </cell>
          <cell r="BM162"/>
          <cell r="BN162"/>
          <cell r="BO162"/>
          <cell r="BP162"/>
          <cell r="BQ162"/>
          <cell r="BR162"/>
          <cell r="BS162"/>
          <cell r="BT162"/>
          <cell r="BU162"/>
          <cell r="BV162"/>
          <cell r="BW162"/>
          <cell r="BX162"/>
          <cell r="BY162"/>
          <cell r="BZ162"/>
          <cell r="CA162"/>
          <cell r="CB162"/>
          <cell r="CC162"/>
          <cell r="CD162"/>
          <cell r="CE162"/>
          <cell r="CF162">
            <v>0</v>
          </cell>
          <cell r="CG162"/>
          <cell r="CH162"/>
          <cell r="CI162">
            <v>415</v>
          </cell>
          <cell r="CJ162"/>
          <cell r="CK162"/>
          <cell r="CL162">
            <v>530</v>
          </cell>
          <cell r="CM162"/>
          <cell r="CN162"/>
          <cell r="CO162">
            <v>115</v>
          </cell>
          <cell r="CP162"/>
          <cell r="CQ162"/>
          <cell r="CR162"/>
          <cell r="CS162"/>
          <cell r="CT162"/>
          <cell r="CU162"/>
          <cell r="CV162"/>
          <cell r="CW162"/>
          <cell r="CX162"/>
          <cell r="CY162"/>
          <cell r="CZ162"/>
          <cell r="DA162">
            <v>115</v>
          </cell>
          <cell r="DB162"/>
          <cell r="DC162">
            <v>115</v>
          </cell>
          <cell r="DD162">
            <v>190</v>
          </cell>
          <cell r="DE162">
            <v>115</v>
          </cell>
          <cell r="DF162">
            <v>530</v>
          </cell>
          <cell r="DG162">
            <v>530</v>
          </cell>
          <cell r="DH162"/>
          <cell r="DI162">
            <v>530</v>
          </cell>
          <cell r="DJ162">
            <v>415</v>
          </cell>
          <cell r="DK162">
            <v>115</v>
          </cell>
          <cell r="DL162"/>
          <cell r="DM162"/>
          <cell r="DN162"/>
          <cell r="DO162"/>
          <cell r="DP162"/>
          <cell r="DQ162"/>
          <cell r="DR162"/>
          <cell r="DS162"/>
          <cell r="DT162">
            <v>115</v>
          </cell>
          <cell r="DU162"/>
          <cell r="DV162">
            <v>115</v>
          </cell>
          <cell r="DW162"/>
          <cell r="DX162"/>
          <cell r="DY162"/>
          <cell r="DZ162"/>
          <cell r="EA162">
            <v>115</v>
          </cell>
          <cell r="EB162"/>
          <cell r="EC162">
            <v>115</v>
          </cell>
          <cell r="ED162">
            <v>230</v>
          </cell>
          <cell r="EE162"/>
          <cell r="EF162"/>
          <cell r="EG162">
            <v>0</v>
          </cell>
          <cell r="EH162">
            <v>4060</v>
          </cell>
          <cell r="EI162"/>
          <cell r="EJ162"/>
          <cell r="EK162"/>
          <cell r="EL162"/>
          <cell r="EM162"/>
          <cell r="EN162"/>
          <cell r="EO162"/>
          <cell r="EP162"/>
          <cell r="EQ162"/>
          <cell r="ER162"/>
          <cell r="ES162"/>
          <cell r="ET162"/>
          <cell r="EU162"/>
          <cell r="EV162"/>
          <cell r="EW162"/>
          <cell r="EX162"/>
          <cell r="EY162"/>
          <cell r="EZ162"/>
          <cell r="FA162"/>
          <cell r="FB162"/>
          <cell r="FC162"/>
          <cell r="FD162"/>
          <cell r="FE162"/>
          <cell r="FF162"/>
          <cell r="FG162"/>
          <cell r="FH162"/>
          <cell r="FI162">
            <v>0</v>
          </cell>
          <cell r="FJ162">
            <v>50</v>
          </cell>
          <cell r="FK162">
            <v>4110</v>
          </cell>
        </row>
        <row r="163">
          <cell r="A163" t="str">
            <v>Total Rental Expenses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675.96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530</v>
          </cell>
          <cell r="CJ163">
            <v>0</v>
          </cell>
          <cell r="CK163">
            <v>0</v>
          </cell>
          <cell r="CL163">
            <v>530</v>
          </cell>
          <cell r="CM163">
            <v>0</v>
          </cell>
          <cell r="CN163">
            <v>0</v>
          </cell>
          <cell r="CO163">
            <v>115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115</v>
          </cell>
          <cell r="DB163">
            <v>0</v>
          </cell>
          <cell r="DC163">
            <v>115</v>
          </cell>
          <cell r="DD163">
            <v>190</v>
          </cell>
          <cell r="DE163">
            <v>115</v>
          </cell>
          <cell r="DF163">
            <v>530</v>
          </cell>
          <cell r="DG163">
            <v>530</v>
          </cell>
          <cell r="DH163">
            <v>0</v>
          </cell>
          <cell r="DI163">
            <v>530</v>
          </cell>
          <cell r="DJ163">
            <v>415</v>
          </cell>
          <cell r="DK163">
            <v>115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115</v>
          </cell>
          <cell r="DU163">
            <v>0</v>
          </cell>
          <cell r="DV163">
            <v>115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115</v>
          </cell>
          <cell r="EB163">
            <v>0</v>
          </cell>
          <cell r="EC163">
            <v>115</v>
          </cell>
          <cell r="ED163">
            <v>230</v>
          </cell>
          <cell r="EE163">
            <v>0</v>
          </cell>
          <cell r="EF163">
            <v>0</v>
          </cell>
          <cell r="EG163">
            <v>0</v>
          </cell>
          <cell r="EH163">
            <v>4175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0</v>
          </cell>
          <cell r="FH163">
            <v>0</v>
          </cell>
          <cell r="FI163">
            <v>0</v>
          </cell>
          <cell r="FJ163">
            <v>50</v>
          </cell>
          <cell r="FK163">
            <v>4900.96</v>
          </cell>
        </row>
        <row r="164">
          <cell r="A164" t="str">
            <v>Rental Photography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  <cell r="Z164"/>
          <cell r="AA164"/>
          <cell r="AB164"/>
          <cell r="AC164"/>
          <cell r="AD164"/>
          <cell r="AE164"/>
          <cell r="AF164"/>
          <cell r="AG164"/>
          <cell r="AH164"/>
          <cell r="AI164"/>
          <cell r="AJ164"/>
          <cell r="AK164"/>
          <cell r="AL164"/>
          <cell r="AM164"/>
          <cell r="AN164"/>
          <cell r="AO164"/>
          <cell r="AP164"/>
          <cell r="AQ164"/>
          <cell r="AR164"/>
          <cell r="AS164"/>
          <cell r="AT164"/>
          <cell r="AU164"/>
          <cell r="AV164"/>
          <cell r="AW164"/>
          <cell r="AX164"/>
          <cell r="AY164"/>
          <cell r="AZ164"/>
          <cell r="BA164"/>
          <cell r="BB164"/>
          <cell r="BC164"/>
          <cell r="BD164"/>
          <cell r="BE164">
            <v>0</v>
          </cell>
          <cell r="BF164"/>
          <cell r="BG164"/>
          <cell r="BH164"/>
          <cell r="BI164">
            <v>0</v>
          </cell>
          <cell r="BJ164"/>
          <cell r="BK164"/>
          <cell r="BL164">
            <v>0</v>
          </cell>
          <cell r="BM164"/>
          <cell r="BN164"/>
          <cell r="BO164"/>
          <cell r="BP164"/>
          <cell r="BQ164"/>
          <cell r="BR164"/>
          <cell r="BS164"/>
          <cell r="BT164"/>
          <cell r="BU164"/>
          <cell r="BV164"/>
          <cell r="BW164"/>
          <cell r="BX164"/>
          <cell r="BY164"/>
          <cell r="BZ164"/>
          <cell r="CA164"/>
          <cell r="CB164"/>
          <cell r="CC164"/>
          <cell r="CD164"/>
          <cell r="CE164"/>
          <cell r="CF164">
            <v>0</v>
          </cell>
          <cell r="CG164"/>
          <cell r="CH164"/>
          <cell r="CI164"/>
          <cell r="CJ164"/>
          <cell r="CK164"/>
          <cell r="CL164"/>
          <cell r="CM164"/>
          <cell r="CN164"/>
          <cell r="CO164"/>
          <cell r="CP164"/>
          <cell r="CQ164"/>
          <cell r="CR164"/>
          <cell r="CS164"/>
          <cell r="CT164"/>
          <cell r="CU164"/>
          <cell r="CV164"/>
          <cell r="CW164"/>
          <cell r="CX164"/>
          <cell r="CY164"/>
          <cell r="CZ164"/>
          <cell r="DA164"/>
          <cell r="DB164"/>
          <cell r="DC164"/>
          <cell r="DD164"/>
          <cell r="DE164"/>
          <cell r="DF164"/>
          <cell r="DG164"/>
          <cell r="DH164"/>
          <cell r="DI164"/>
          <cell r="DJ164">
            <v>159.94</v>
          </cell>
          <cell r="DK164"/>
          <cell r="DL164"/>
          <cell r="DM164"/>
          <cell r="DN164"/>
          <cell r="DO164"/>
          <cell r="DP164"/>
          <cell r="DQ164">
            <v>159.94</v>
          </cell>
          <cell r="DR164"/>
          <cell r="DS164"/>
          <cell r="DT164"/>
          <cell r="DU164"/>
          <cell r="DV164">
            <v>159.94</v>
          </cell>
          <cell r="DW164"/>
          <cell r="DX164"/>
          <cell r="DY164"/>
          <cell r="DZ164"/>
          <cell r="EA164"/>
          <cell r="EB164"/>
          <cell r="EC164"/>
          <cell r="ED164">
            <v>0</v>
          </cell>
          <cell r="EE164"/>
          <cell r="EF164"/>
          <cell r="EG164">
            <v>0</v>
          </cell>
          <cell r="EH164">
            <v>319.88</v>
          </cell>
          <cell r="EI164"/>
          <cell r="EJ164"/>
          <cell r="EK164"/>
          <cell r="EL164"/>
          <cell r="EM164"/>
          <cell r="EN164"/>
          <cell r="EO164"/>
          <cell r="EP164"/>
          <cell r="EQ164"/>
          <cell r="ER164"/>
          <cell r="ES164"/>
          <cell r="ET164"/>
          <cell r="EU164"/>
          <cell r="EV164"/>
          <cell r="EW164"/>
          <cell r="EX164"/>
          <cell r="EY164"/>
          <cell r="EZ164"/>
          <cell r="FA164"/>
          <cell r="FB164"/>
          <cell r="FC164"/>
          <cell r="FD164"/>
          <cell r="FE164"/>
          <cell r="FF164"/>
          <cell r="FG164"/>
          <cell r="FH164"/>
          <cell r="FI164">
            <v>0</v>
          </cell>
          <cell r="FJ164"/>
          <cell r="FK164">
            <v>319.88</v>
          </cell>
        </row>
        <row r="165">
          <cell r="A165" t="str">
            <v>Unapplied Cash Bill Payment Expense</v>
          </cell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  <cell r="S165"/>
          <cell r="T165"/>
          <cell r="U165"/>
          <cell r="V165"/>
          <cell r="W165"/>
          <cell r="X165"/>
          <cell r="Y165"/>
          <cell r="Z165"/>
          <cell r="AA165"/>
          <cell r="AB165"/>
          <cell r="AC165"/>
          <cell r="AD165"/>
          <cell r="AE165"/>
          <cell r="AF165"/>
          <cell r="AG165">
            <v>-425</v>
          </cell>
          <cell r="AH165"/>
          <cell r="AI165"/>
          <cell r="AJ165">
            <v>-939.94</v>
          </cell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>
            <v>0</v>
          </cell>
          <cell r="AZ165"/>
          <cell r="BA165"/>
          <cell r="BB165"/>
          <cell r="BC165"/>
          <cell r="BD165">
            <v>109</v>
          </cell>
          <cell r="BE165">
            <v>-1255.94</v>
          </cell>
          <cell r="BF165"/>
          <cell r="BG165"/>
          <cell r="BH165"/>
          <cell r="BI165">
            <v>0</v>
          </cell>
          <cell r="BJ165"/>
          <cell r="BK165"/>
          <cell r="BL165">
            <v>0</v>
          </cell>
          <cell r="BM165"/>
          <cell r="BN165"/>
          <cell r="BO165"/>
          <cell r="BP165"/>
          <cell r="BQ165"/>
          <cell r="BR165"/>
          <cell r="BS165"/>
          <cell r="BT165"/>
          <cell r="BU165"/>
          <cell r="BV165"/>
          <cell r="BW165"/>
          <cell r="BX165"/>
          <cell r="BY165"/>
          <cell r="BZ165"/>
          <cell r="CA165"/>
          <cell r="CB165"/>
          <cell r="CC165"/>
          <cell r="CD165"/>
          <cell r="CE165"/>
          <cell r="CF165">
            <v>0</v>
          </cell>
          <cell r="CG165"/>
          <cell r="CH165"/>
          <cell r="CI165"/>
          <cell r="CJ165"/>
          <cell r="CK165"/>
          <cell r="CL165"/>
          <cell r="CM165"/>
          <cell r="CN165"/>
          <cell r="CO165"/>
          <cell r="CP165"/>
          <cell r="CQ165"/>
          <cell r="CR165"/>
          <cell r="CS165"/>
          <cell r="CT165"/>
          <cell r="CU165"/>
          <cell r="CV165"/>
          <cell r="CW165">
            <v>-25</v>
          </cell>
          <cell r="CX165"/>
          <cell r="CY165"/>
          <cell r="CZ165"/>
          <cell r="DA165"/>
          <cell r="DB165"/>
          <cell r="DC165"/>
          <cell r="DD165"/>
          <cell r="DE165"/>
          <cell r="DF165"/>
          <cell r="DG165"/>
          <cell r="DH165"/>
          <cell r="DI165"/>
          <cell r="DJ165"/>
          <cell r="DK165"/>
          <cell r="DL165"/>
          <cell r="DM165"/>
          <cell r="DN165"/>
          <cell r="DO165"/>
          <cell r="DP165"/>
          <cell r="DQ165"/>
          <cell r="DR165"/>
          <cell r="DS165"/>
          <cell r="DT165"/>
          <cell r="DU165"/>
          <cell r="DV165">
            <v>0</v>
          </cell>
          <cell r="DW165"/>
          <cell r="DX165"/>
          <cell r="DY165"/>
          <cell r="DZ165"/>
          <cell r="EA165"/>
          <cell r="EB165"/>
          <cell r="EC165"/>
          <cell r="ED165">
            <v>0</v>
          </cell>
          <cell r="EE165"/>
          <cell r="EF165"/>
          <cell r="EG165">
            <v>0</v>
          </cell>
          <cell r="EH165">
            <v>-25</v>
          </cell>
          <cell r="EI165"/>
          <cell r="EJ165"/>
          <cell r="EK165"/>
          <cell r="EL165"/>
          <cell r="EM165"/>
          <cell r="EN165"/>
          <cell r="EO165"/>
          <cell r="EP165"/>
          <cell r="EQ165"/>
          <cell r="ER165"/>
          <cell r="ES165"/>
          <cell r="ET165"/>
          <cell r="EU165"/>
          <cell r="EV165"/>
          <cell r="EW165"/>
          <cell r="EX165"/>
          <cell r="EY165"/>
          <cell r="EZ165"/>
          <cell r="FA165"/>
          <cell r="FB165"/>
          <cell r="FC165"/>
          <cell r="FD165"/>
          <cell r="FE165"/>
          <cell r="FF165"/>
          <cell r="FG165"/>
          <cell r="FH165"/>
          <cell r="FI165">
            <v>0</v>
          </cell>
          <cell r="FJ165">
            <v>1364.94</v>
          </cell>
          <cell r="FK165">
            <v>84</v>
          </cell>
        </row>
        <row r="166">
          <cell r="A166" t="str">
            <v>Uncategorized Expense</v>
          </cell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  <cell r="S166"/>
          <cell r="T166"/>
          <cell r="U166"/>
          <cell r="V166"/>
          <cell r="W166"/>
          <cell r="X166"/>
          <cell r="Y166"/>
          <cell r="Z166"/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AY166"/>
          <cell r="AZ166"/>
          <cell r="BA166"/>
          <cell r="BB166"/>
          <cell r="BC166"/>
          <cell r="BD166"/>
          <cell r="BE166">
            <v>0</v>
          </cell>
          <cell r="BF166">
            <v>375</v>
          </cell>
          <cell r="BG166"/>
          <cell r="BH166"/>
          <cell r="BI166">
            <v>0</v>
          </cell>
          <cell r="BJ166"/>
          <cell r="BK166"/>
          <cell r="BL166">
            <v>0</v>
          </cell>
          <cell r="BM166"/>
          <cell r="BN166"/>
          <cell r="BO166"/>
          <cell r="BP166"/>
          <cell r="BQ166"/>
          <cell r="BR166"/>
          <cell r="BS166"/>
          <cell r="BT166"/>
          <cell r="BU166"/>
          <cell r="BV166"/>
          <cell r="BW166"/>
          <cell r="BX166"/>
          <cell r="BY166"/>
          <cell r="BZ166"/>
          <cell r="CA166"/>
          <cell r="CB166"/>
          <cell r="CC166"/>
          <cell r="CD166"/>
          <cell r="CE166"/>
          <cell r="CF166">
            <v>0</v>
          </cell>
          <cell r="CG166"/>
          <cell r="CH166"/>
          <cell r="CI166"/>
          <cell r="CJ166"/>
          <cell r="CK166"/>
          <cell r="CL166"/>
          <cell r="CM166"/>
          <cell r="CN166"/>
          <cell r="CO166"/>
          <cell r="CP166"/>
          <cell r="CQ166"/>
          <cell r="CR166"/>
          <cell r="CS166"/>
          <cell r="CT166"/>
          <cell r="CU166"/>
          <cell r="CV166"/>
          <cell r="CW166"/>
          <cell r="CX166">
            <v>-1</v>
          </cell>
          <cell r="CY166"/>
          <cell r="CZ166"/>
          <cell r="DA166"/>
          <cell r="DB166"/>
          <cell r="DC166"/>
          <cell r="DD166"/>
          <cell r="DE166"/>
          <cell r="DF166"/>
          <cell r="DG166"/>
          <cell r="DH166"/>
          <cell r="DI166"/>
          <cell r="DJ166"/>
          <cell r="DK166"/>
          <cell r="DL166"/>
          <cell r="DM166"/>
          <cell r="DN166"/>
          <cell r="DO166"/>
          <cell r="DP166"/>
          <cell r="DQ166"/>
          <cell r="DR166"/>
          <cell r="DS166"/>
          <cell r="DT166"/>
          <cell r="DU166"/>
          <cell r="DV166">
            <v>0</v>
          </cell>
          <cell r="DW166"/>
          <cell r="DX166"/>
          <cell r="DY166"/>
          <cell r="DZ166"/>
          <cell r="EA166"/>
          <cell r="EB166"/>
          <cell r="EC166"/>
          <cell r="ED166">
            <v>0</v>
          </cell>
          <cell r="EE166"/>
          <cell r="EF166"/>
          <cell r="EG166">
            <v>0</v>
          </cell>
          <cell r="EH166">
            <v>-1</v>
          </cell>
          <cell r="EI166"/>
          <cell r="EJ166"/>
          <cell r="EK166"/>
          <cell r="EL166"/>
          <cell r="EM166"/>
          <cell r="EN166"/>
          <cell r="EO166"/>
          <cell r="EP166"/>
          <cell r="EQ166"/>
          <cell r="ER166"/>
          <cell r="ES166"/>
          <cell r="ET166"/>
          <cell r="EU166"/>
          <cell r="EV166"/>
          <cell r="EW166"/>
          <cell r="EX166"/>
          <cell r="EY166"/>
          <cell r="EZ166"/>
          <cell r="FA166"/>
          <cell r="FB166"/>
          <cell r="FC166"/>
          <cell r="FD166"/>
          <cell r="FE166"/>
          <cell r="FF166"/>
          <cell r="FG166"/>
          <cell r="FH166"/>
          <cell r="FI166">
            <v>0</v>
          </cell>
          <cell r="FJ166">
            <v>-138.84</v>
          </cell>
          <cell r="FK166">
            <v>235.16</v>
          </cell>
        </row>
        <row r="167">
          <cell r="A167" t="str">
            <v>Total Expenses</v>
          </cell>
          <cell r="B167">
            <v>0</v>
          </cell>
          <cell r="C167">
            <v>0</v>
          </cell>
          <cell r="D167">
            <v>0</v>
          </cell>
          <cell r="E167">
            <v>270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1628.23</v>
          </cell>
          <cell r="P167">
            <v>3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1503.65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-425</v>
          </cell>
          <cell r="AH167">
            <v>600</v>
          </cell>
          <cell r="AI167">
            <v>0</v>
          </cell>
          <cell r="AJ167">
            <v>-939.94</v>
          </cell>
          <cell r="AK167">
            <v>0</v>
          </cell>
          <cell r="AL167">
            <v>150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1.5</v>
          </cell>
          <cell r="AX167">
            <v>0</v>
          </cell>
          <cell r="AY167">
            <v>0</v>
          </cell>
          <cell r="AZ167">
            <v>-2.4700000000000002</v>
          </cell>
          <cell r="BA167">
            <v>0</v>
          </cell>
          <cell r="BB167">
            <v>0</v>
          </cell>
          <cell r="BC167">
            <v>186</v>
          </cell>
          <cell r="BD167">
            <v>109</v>
          </cell>
          <cell r="BE167">
            <v>1182.74</v>
          </cell>
          <cell r="BF167">
            <v>1420306.32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-1006.86</v>
          </cell>
          <cell r="BN167">
            <v>0</v>
          </cell>
          <cell r="BO167">
            <v>3570</v>
          </cell>
          <cell r="BP167">
            <v>0</v>
          </cell>
          <cell r="BQ167">
            <v>0</v>
          </cell>
          <cell r="BR167">
            <v>150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189.9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2903.04</v>
          </cell>
          <cell r="CG167">
            <v>0</v>
          </cell>
          <cell r="CH167">
            <v>0</v>
          </cell>
          <cell r="CI167">
            <v>530</v>
          </cell>
          <cell r="CJ167">
            <v>3</v>
          </cell>
          <cell r="CK167">
            <v>0</v>
          </cell>
          <cell r="CL167">
            <v>530</v>
          </cell>
          <cell r="CM167">
            <v>387</v>
          </cell>
          <cell r="CN167">
            <v>307</v>
          </cell>
          <cell r="CO167">
            <v>115</v>
          </cell>
          <cell r="CP167">
            <v>78.08</v>
          </cell>
          <cell r="CQ167">
            <v>569</v>
          </cell>
          <cell r="CR167">
            <v>150</v>
          </cell>
          <cell r="CS167">
            <v>0</v>
          </cell>
          <cell r="CT167">
            <v>0</v>
          </cell>
          <cell r="CU167">
            <v>1.5</v>
          </cell>
          <cell r="CV167">
            <v>0</v>
          </cell>
          <cell r="CW167">
            <v>417</v>
          </cell>
          <cell r="CX167">
            <v>-1</v>
          </cell>
          <cell r="CY167">
            <v>0</v>
          </cell>
          <cell r="CZ167">
            <v>150</v>
          </cell>
          <cell r="DA167">
            <v>115</v>
          </cell>
          <cell r="DB167">
            <v>0</v>
          </cell>
          <cell r="DC167">
            <v>664.8</v>
          </cell>
          <cell r="DD167">
            <v>6697</v>
          </cell>
          <cell r="DE167">
            <v>118.95</v>
          </cell>
          <cell r="DF167">
            <v>530</v>
          </cell>
          <cell r="DG167">
            <v>530</v>
          </cell>
          <cell r="DH167">
            <v>3.05</v>
          </cell>
          <cell r="DI167">
            <v>852</v>
          </cell>
          <cell r="DJ167">
            <v>1043.94</v>
          </cell>
          <cell r="DK167">
            <v>1111</v>
          </cell>
          <cell r="DL167">
            <v>0</v>
          </cell>
          <cell r="DM167">
            <v>0</v>
          </cell>
          <cell r="DN167">
            <v>0</v>
          </cell>
          <cell r="DO167">
            <v>30</v>
          </cell>
          <cell r="DP167">
            <v>30</v>
          </cell>
          <cell r="DQ167">
            <v>189.94</v>
          </cell>
          <cell r="DR167">
            <v>30</v>
          </cell>
          <cell r="DS167">
            <v>30</v>
          </cell>
          <cell r="DT167">
            <v>571.5</v>
          </cell>
          <cell r="DU167">
            <v>919</v>
          </cell>
          <cell r="DV167">
            <v>1800.44</v>
          </cell>
          <cell r="DW167">
            <v>0</v>
          </cell>
          <cell r="DX167">
            <v>30</v>
          </cell>
          <cell r="DY167">
            <v>30</v>
          </cell>
          <cell r="DZ167">
            <v>31.5</v>
          </cell>
          <cell r="EA167">
            <v>296.5</v>
          </cell>
          <cell r="EB167">
            <v>30</v>
          </cell>
          <cell r="EC167">
            <v>145</v>
          </cell>
          <cell r="ED167">
            <v>563</v>
          </cell>
          <cell r="EE167">
            <v>0</v>
          </cell>
          <cell r="EF167">
            <v>0</v>
          </cell>
          <cell r="EG167">
            <v>0</v>
          </cell>
          <cell r="EH167">
            <v>17265.759999999998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0</v>
          </cell>
          <cell r="ER167">
            <v>8.0500000000000007</v>
          </cell>
          <cell r="ES167">
            <v>0</v>
          </cell>
          <cell r="ET167">
            <v>0</v>
          </cell>
          <cell r="EU167">
            <v>1000</v>
          </cell>
          <cell r="EV167">
            <v>0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1008.05</v>
          </cell>
          <cell r="FJ167">
            <v>30929.45</v>
          </cell>
          <cell r="FK167">
            <v>1475496.59</v>
          </cell>
        </row>
        <row r="168">
          <cell r="A168" t="str">
            <v>Net Operating Income</v>
          </cell>
          <cell r="B168">
            <v>250</v>
          </cell>
          <cell r="C168">
            <v>-2000</v>
          </cell>
          <cell r="D168">
            <v>-395</v>
          </cell>
          <cell r="E168">
            <v>-270</v>
          </cell>
          <cell r="F168">
            <v>405.02</v>
          </cell>
          <cell r="G168">
            <v>865</v>
          </cell>
          <cell r="H168">
            <v>865</v>
          </cell>
          <cell r="I168">
            <v>21611</v>
          </cell>
          <cell r="J168">
            <v>11721</v>
          </cell>
          <cell r="K168">
            <v>11721</v>
          </cell>
          <cell r="L168">
            <v>-1962</v>
          </cell>
          <cell r="M168">
            <v>-125</v>
          </cell>
          <cell r="N168">
            <v>-550</v>
          </cell>
          <cell r="O168">
            <v>-1628.23</v>
          </cell>
          <cell r="P168">
            <v>-318</v>
          </cell>
          <cell r="Q168">
            <v>4454</v>
          </cell>
          <cell r="R168">
            <v>0</v>
          </cell>
          <cell r="S168">
            <v>-23407.22</v>
          </cell>
          <cell r="T168">
            <v>35593.620000000003</v>
          </cell>
          <cell r="U168">
            <v>25050.5</v>
          </cell>
          <cell r="V168">
            <v>28638.03</v>
          </cell>
          <cell r="W168">
            <v>47789.75</v>
          </cell>
          <cell r="X168">
            <v>26643.83</v>
          </cell>
          <cell r="Y168">
            <v>19498.490000000002</v>
          </cell>
          <cell r="Z168">
            <v>23203.17</v>
          </cell>
          <cell r="AA168">
            <v>58396.21</v>
          </cell>
          <cell r="AB168">
            <v>103015.03999999999</v>
          </cell>
          <cell r="AC168">
            <v>24406.46</v>
          </cell>
          <cell r="AD168">
            <v>12952.14</v>
          </cell>
          <cell r="AE168">
            <v>43123.43</v>
          </cell>
          <cell r="AF168">
            <v>51082.07</v>
          </cell>
          <cell r="AG168">
            <v>40657.620000000003</v>
          </cell>
          <cell r="AH168">
            <v>-15693.56</v>
          </cell>
          <cell r="AI168">
            <v>-63002.79</v>
          </cell>
          <cell r="AJ168">
            <v>24016.47</v>
          </cell>
          <cell r="AK168">
            <v>47080.31</v>
          </cell>
          <cell r="AL168">
            <v>-150</v>
          </cell>
          <cell r="AM168">
            <v>40161.06</v>
          </cell>
          <cell r="AN168">
            <v>0</v>
          </cell>
          <cell r="AO168">
            <v>78885.59</v>
          </cell>
          <cell r="AP168">
            <v>17601.66</v>
          </cell>
          <cell r="AQ168">
            <v>-2000</v>
          </cell>
          <cell r="AR168">
            <v>33774.370000000003</v>
          </cell>
          <cell r="AS168">
            <v>23411.32</v>
          </cell>
          <cell r="AT168">
            <v>24380.83</v>
          </cell>
          <cell r="AU168">
            <v>88931.59</v>
          </cell>
          <cell r="AV168">
            <v>18421.28</v>
          </cell>
          <cell r="AW168">
            <v>38577.910000000003</v>
          </cell>
          <cell r="AX168">
            <v>74969.08</v>
          </cell>
          <cell r="AY168">
            <v>-10351.34</v>
          </cell>
          <cell r="AZ168">
            <v>19952.54</v>
          </cell>
          <cell r="BA168">
            <v>48157.52</v>
          </cell>
          <cell r="BB168">
            <v>10145.34</v>
          </cell>
          <cell r="BC168">
            <v>-186</v>
          </cell>
          <cell r="BD168">
            <v>160.68</v>
          </cell>
          <cell r="BE168">
            <v>1013887</v>
          </cell>
          <cell r="BF168">
            <v>-1473867.45</v>
          </cell>
          <cell r="BG168">
            <v>0</v>
          </cell>
          <cell r="BH168">
            <v>-885</v>
          </cell>
          <cell r="BI168">
            <v>-885</v>
          </cell>
          <cell r="BJ168">
            <v>0</v>
          </cell>
          <cell r="BK168">
            <v>13673.36</v>
          </cell>
          <cell r="BL168">
            <v>13673.36</v>
          </cell>
          <cell r="BM168">
            <v>1062.04</v>
          </cell>
          <cell r="BN168">
            <v>-2077.54</v>
          </cell>
          <cell r="BO168">
            <v>-249</v>
          </cell>
          <cell r="BP168">
            <v>252.32</v>
          </cell>
          <cell r="BQ168">
            <v>887.01</v>
          </cell>
          <cell r="BR168">
            <v>-150</v>
          </cell>
          <cell r="BS168">
            <v>4000</v>
          </cell>
          <cell r="BT168">
            <v>-599.51</v>
          </cell>
          <cell r="BU168">
            <v>1350</v>
          </cell>
          <cell r="BV168">
            <v>497.48</v>
          </cell>
          <cell r="BW168">
            <v>195.8</v>
          </cell>
          <cell r="BX168">
            <v>-1000</v>
          </cell>
          <cell r="BY168">
            <v>-7889.9</v>
          </cell>
          <cell r="BZ168">
            <v>53</v>
          </cell>
          <cell r="CA168">
            <v>-159.94</v>
          </cell>
          <cell r="CB168">
            <v>153.44</v>
          </cell>
          <cell r="CC168">
            <v>98194.25</v>
          </cell>
          <cell r="CD168">
            <v>156</v>
          </cell>
          <cell r="CE168">
            <v>-52.62</v>
          </cell>
          <cell r="CF168">
            <v>94622.83</v>
          </cell>
          <cell r="CG168">
            <v>2145.4</v>
          </cell>
          <cell r="CH168">
            <v>727.44</v>
          </cell>
          <cell r="CI168">
            <v>18363.89</v>
          </cell>
          <cell r="CJ168">
            <v>3084.99</v>
          </cell>
          <cell r="CK168">
            <v>-346.21</v>
          </cell>
          <cell r="CL168">
            <v>24130.75</v>
          </cell>
          <cell r="CM168">
            <v>17534.32</v>
          </cell>
          <cell r="CN168">
            <v>-4454.1499999999996</v>
          </cell>
          <cell r="CO168">
            <v>4712.45</v>
          </cell>
          <cell r="CP168">
            <v>-307.83999999999997</v>
          </cell>
          <cell r="CQ168">
            <v>-36029.57</v>
          </cell>
          <cell r="CR168">
            <v>-535</v>
          </cell>
          <cell r="CS168">
            <v>24669.83</v>
          </cell>
          <cell r="CT168">
            <v>-342.27</v>
          </cell>
          <cell r="CU168">
            <v>-5817.96</v>
          </cell>
          <cell r="CV168">
            <v>1919.46</v>
          </cell>
          <cell r="CW168">
            <v>12592.6</v>
          </cell>
          <cell r="CX168">
            <v>19997.939999999999</v>
          </cell>
          <cell r="CY168">
            <v>839.2</v>
          </cell>
          <cell r="CZ168">
            <v>-692.09</v>
          </cell>
          <cell r="DA168">
            <v>413.73</v>
          </cell>
          <cell r="DB168">
            <v>6916.5</v>
          </cell>
          <cell r="DC168">
            <v>12205.95</v>
          </cell>
          <cell r="DD168">
            <v>57302.51</v>
          </cell>
          <cell r="DE168">
            <v>48786.92</v>
          </cell>
          <cell r="DF168">
            <v>9377.82</v>
          </cell>
          <cell r="DG168">
            <v>22660.41</v>
          </cell>
          <cell r="DH168">
            <v>1507.52</v>
          </cell>
          <cell r="DI168">
            <v>20974.7</v>
          </cell>
          <cell r="DJ168">
            <v>-5365.07</v>
          </cell>
          <cell r="DK168">
            <v>23818.98</v>
          </cell>
          <cell r="DL168">
            <v>793.68</v>
          </cell>
          <cell r="DM168">
            <v>3542.38</v>
          </cell>
          <cell r="DN168">
            <v>0</v>
          </cell>
          <cell r="DO168">
            <v>-14416.81</v>
          </cell>
          <cell r="DP168">
            <v>237.53</v>
          </cell>
          <cell r="DQ168">
            <v>-8908.52</v>
          </cell>
          <cell r="DR168">
            <v>658.71</v>
          </cell>
          <cell r="DS168">
            <v>-5744.18</v>
          </cell>
          <cell r="DT168">
            <v>7862.72</v>
          </cell>
          <cell r="DU168">
            <v>-3428.94</v>
          </cell>
          <cell r="DV168">
            <v>-23739.49</v>
          </cell>
          <cell r="DW168">
            <v>0</v>
          </cell>
          <cell r="DX168">
            <v>15763.58</v>
          </cell>
          <cell r="DY168">
            <v>-8666.84</v>
          </cell>
          <cell r="DZ168">
            <v>-14277.84</v>
          </cell>
          <cell r="EA168">
            <v>18528.490000000002</v>
          </cell>
          <cell r="EB168">
            <v>-8809.9599999999991</v>
          </cell>
          <cell r="EC168">
            <v>13297.16</v>
          </cell>
          <cell r="ED168">
            <v>15834.59</v>
          </cell>
          <cell r="EE168">
            <v>0</v>
          </cell>
          <cell r="EF168">
            <v>-387.66</v>
          </cell>
          <cell r="EG168">
            <v>-387.66</v>
          </cell>
          <cell r="EH168">
            <v>276836.65000000002</v>
          </cell>
          <cell r="EI168">
            <v>0</v>
          </cell>
          <cell r="EJ168">
            <v>30137</v>
          </cell>
          <cell r="EK168">
            <v>26760</v>
          </cell>
          <cell r="EL168">
            <v>18570.080000000002</v>
          </cell>
          <cell r="EM168">
            <v>20263.009999999998</v>
          </cell>
          <cell r="EN168">
            <v>21515.74</v>
          </cell>
          <cell r="EO168">
            <v>31781</v>
          </cell>
          <cell r="EP168">
            <v>15472.77</v>
          </cell>
          <cell r="EQ168">
            <v>32617</v>
          </cell>
          <cell r="ER168">
            <v>18835.84</v>
          </cell>
          <cell r="ES168">
            <v>42678</v>
          </cell>
          <cell r="ET168">
            <v>16154</v>
          </cell>
          <cell r="EU168">
            <v>5519.15</v>
          </cell>
          <cell r="EV168">
            <v>27716.81</v>
          </cell>
          <cell r="EW168">
            <v>23437.24</v>
          </cell>
          <cell r="EX168">
            <v>22465.53</v>
          </cell>
          <cell r="EY168">
            <v>23557</v>
          </cell>
          <cell r="EZ168">
            <v>23170</v>
          </cell>
          <cell r="FA168">
            <v>31499.23</v>
          </cell>
          <cell r="FB168">
            <v>26600</v>
          </cell>
          <cell r="FC168">
            <v>51367.9</v>
          </cell>
          <cell r="FD168">
            <v>23639.93</v>
          </cell>
          <cell r="FE168">
            <v>14332.94</v>
          </cell>
          <cell r="FF168">
            <v>10525.01</v>
          </cell>
          <cell r="FG168">
            <v>-3165.81</v>
          </cell>
          <cell r="FH168">
            <v>25689.32</v>
          </cell>
          <cell r="FI168">
            <v>581138.68999999994</v>
          </cell>
          <cell r="FJ168">
            <v>-65656.67</v>
          </cell>
          <cell r="FK168">
            <v>484393.2</v>
          </cell>
        </row>
        <row r="169">
          <cell r="A169" t="str">
            <v>Other Income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  <cell r="Z169"/>
          <cell r="AA169"/>
          <cell r="AB169"/>
          <cell r="AC169"/>
          <cell r="AD169"/>
          <cell r="AE169"/>
          <cell r="AF169"/>
          <cell r="AG169"/>
          <cell r="AH169"/>
          <cell r="AI169"/>
          <cell r="AJ169"/>
          <cell r="AK169"/>
          <cell r="AL169"/>
          <cell r="AM169"/>
          <cell r="AN169"/>
          <cell r="AO169"/>
          <cell r="AP169"/>
          <cell r="AQ169"/>
          <cell r="AR169"/>
          <cell r="AS169"/>
          <cell r="AT169"/>
          <cell r="AU169"/>
          <cell r="AV169"/>
          <cell r="AW169"/>
          <cell r="AX169"/>
          <cell r="AY169"/>
          <cell r="AZ169"/>
          <cell r="BA169"/>
          <cell r="BB169"/>
          <cell r="BC169"/>
          <cell r="BD169"/>
          <cell r="BE169"/>
          <cell r="BF169"/>
          <cell r="BG169"/>
          <cell r="BH169"/>
          <cell r="BI169"/>
          <cell r="BJ169"/>
          <cell r="BK169"/>
          <cell r="BL169"/>
          <cell r="BM169"/>
          <cell r="BN169"/>
          <cell r="BO169"/>
          <cell r="BP169"/>
          <cell r="BQ169"/>
          <cell r="BR169"/>
          <cell r="BS169"/>
          <cell r="BT169"/>
          <cell r="BU169"/>
          <cell r="BV169"/>
          <cell r="BW169"/>
          <cell r="BX169"/>
          <cell r="BY169"/>
          <cell r="BZ169"/>
          <cell r="CA169"/>
          <cell r="CB169"/>
          <cell r="CC169"/>
          <cell r="CD169"/>
          <cell r="CE169"/>
          <cell r="CF169"/>
          <cell r="CG169"/>
          <cell r="CH169"/>
          <cell r="CI169"/>
          <cell r="CJ169"/>
          <cell r="CK169"/>
          <cell r="CL169"/>
          <cell r="CM169"/>
          <cell r="CN169"/>
          <cell r="CO169"/>
          <cell r="CP169"/>
          <cell r="CQ169"/>
          <cell r="CR169"/>
          <cell r="CS169"/>
          <cell r="CT169"/>
          <cell r="CU169"/>
          <cell r="CV169"/>
          <cell r="CW169"/>
          <cell r="CX169"/>
          <cell r="CY169"/>
          <cell r="CZ169"/>
          <cell r="DA169"/>
          <cell r="DB169"/>
          <cell r="DC169"/>
          <cell r="DD169"/>
          <cell r="DE169"/>
          <cell r="DF169"/>
          <cell r="DG169"/>
          <cell r="DH169"/>
          <cell r="DI169"/>
          <cell r="DJ169"/>
          <cell r="DK169"/>
          <cell r="DL169"/>
          <cell r="DM169"/>
          <cell r="DN169"/>
          <cell r="DO169"/>
          <cell r="DP169"/>
          <cell r="DQ169"/>
          <cell r="DR169"/>
          <cell r="DS169"/>
          <cell r="DT169"/>
          <cell r="DU169"/>
          <cell r="DV169"/>
          <cell r="DW169"/>
          <cell r="DX169"/>
          <cell r="DY169"/>
          <cell r="DZ169"/>
          <cell r="EA169"/>
          <cell r="EB169"/>
          <cell r="EC169"/>
          <cell r="ED169"/>
          <cell r="EE169"/>
          <cell r="EF169"/>
          <cell r="EG169"/>
          <cell r="EH169"/>
          <cell r="EI169"/>
          <cell r="EJ169"/>
          <cell r="EK169"/>
          <cell r="EL169"/>
          <cell r="EM169"/>
          <cell r="EN169"/>
          <cell r="EO169"/>
          <cell r="EP169"/>
          <cell r="EQ169"/>
          <cell r="ER169"/>
          <cell r="ES169"/>
          <cell r="ET169"/>
          <cell r="EU169"/>
          <cell r="EV169"/>
          <cell r="EW169"/>
          <cell r="EX169"/>
          <cell r="EY169"/>
          <cell r="EZ169"/>
          <cell r="FA169"/>
          <cell r="FB169"/>
          <cell r="FC169"/>
          <cell r="FD169"/>
          <cell r="FE169"/>
          <cell r="FF169"/>
          <cell r="FG169"/>
          <cell r="FH169"/>
          <cell r="FI169"/>
          <cell r="FJ169"/>
          <cell r="FK169"/>
        </row>
        <row r="170">
          <cell r="A170" t="str">
            <v>Cash Incentive Bank</v>
          </cell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  <cell r="S170"/>
          <cell r="T170"/>
          <cell r="U170"/>
          <cell r="V170"/>
          <cell r="W170"/>
          <cell r="X170"/>
          <cell r="Y170"/>
          <cell r="Z170"/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/>
          <cell r="BA170"/>
          <cell r="BB170"/>
          <cell r="BC170"/>
          <cell r="BD170"/>
          <cell r="BE170">
            <v>0</v>
          </cell>
          <cell r="BF170">
            <v>300</v>
          </cell>
          <cell r="BG170"/>
          <cell r="BH170"/>
          <cell r="BI170">
            <v>0</v>
          </cell>
          <cell r="BJ170"/>
          <cell r="BK170"/>
          <cell r="BL170">
            <v>0</v>
          </cell>
          <cell r="BM170"/>
          <cell r="BN170"/>
          <cell r="BO170"/>
          <cell r="BP170"/>
          <cell r="BQ170"/>
          <cell r="BR170"/>
          <cell r="BS170"/>
          <cell r="BT170"/>
          <cell r="BU170"/>
          <cell r="BV170"/>
          <cell r="BW170"/>
          <cell r="BX170"/>
          <cell r="BY170"/>
          <cell r="BZ170"/>
          <cell r="CA170"/>
          <cell r="CB170"/>
          <cell r="CC170"/>
          <cell r="CD170"/>
          <cell r="CE170"/>
          <cell r="CF170">
            <v>0</v>
          </cell>
          <cell r="CG170"/>
          <cell r="CH170"/>
          <cell r="CI170"/>
          <cell r="CJ170"/>
          <cell r="CK170"/>
          <cell r="CL170"/>
          <cell r="CM170"/>
          <cell r="CN170"/>
          <cell r="CO170"/>
          <cell r="CP170"/>
          <cell r="CQ170"/>
          <cell r="CR170"/>
          <cell r="CS170"/>
          <cell r="CT170"/>
          <cell r="CU170"/>
          <cell r="CV170"/>
          <cell r="CW170"/>
          <cell r="CX170"/>
          <cell r="CY170"/>
          <cell r="CZ170"/>
          <cell r="DA170"/>
          <cell r="DB170"/>
          <cell r="DC170"/>
          <cell r="DD170"/>
          <cell r="DE170"/>
          <cell r="DF170"/>
          <cell r="DG170"/>
          <cell r="DH170"/>
          <cell r="DI170"/>
          <cell r="DJ170"/>
          <cell r="DK170"/>
          <cell r="DL170"/>
          <cell r="DM170"/>
          <cell r="DN170"/>
          <cell r="DO170"/>
          <cell r="DP170"/>
          <cell r="DQ170"/>
          <cell r="DR170"/>
          <cell r="DS170"/>
          <cell r="DT170"/>
          <cell r="DU170"/>
          <cell r="DV170">
            <v>0</v>
          </cell>
          <cell r="DW170"/>
          <cell r="DX170"/>
          <cell r="DY170"/>
          <cell r="DZ170"/>
          <cell r="EA170"/>
          <cell r="EB170"/>
          <cell r="EC170"/>
          <cell r="ED170">
            <v>0</v>
          </cell>
          <cell r="EE170"/>
          <cell r="EF170"/>
          <cell r="EG170">
            <v>0</v>
          </cell>
          <cell r="EH170">
            <v>0</v>
          </cell>
          <cell r="EI170"/>
          <cell r="EJ170"/>
          <cell r="EK170"/>
          <cell r="EL170"/>
          <cell r="EM170"/>
          <cell r="EN170"/>
          <cell r="EO170"/>
          <cell r="EP170"/>
          <cell r="EQ170"/>
          <cell r="ER170"/>
          <cell r="ES170"/>
          <cell r="ET170"/>
          <cell r="EU170"/>
          <cell r="EV170"/>
          <cell r="EW170"/>
          <cell r="EX170"/>
          <cell r="EY170"/>
          <cell r="EZ170"/>
          <cell r="FA170"/>
          <cell r="FB170"/>
          <cell r="FC170"/>
          <cell r="FD170"/>
          <cell r="FE170"/>
          <cell r="FF170"/>
          <cell r="FG170"/>
          <cell r="FH170"/>
          <cell r="FI170">
            <v>0</v>
          </cell>
          <cell r="FJ170"/>
          <cell r="FK170">
            <v>300</v>
          </cell>
        </row>
        <row r="171">
          <cell r="A171" t="str">
            <v>Interest Earned</v>
          </cell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/>
          <cell r="T171"/>
          <cell r="U171"/>
          <cell r="V171"/>
          <cell r="W171"/>
          <cell r="X171"/>
          <cell r="Y171"/>
          <cell r="Z171"/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/>
          <cell r="AZ171"/>
          <cell r="BA171"/>
          <cell r="BB171"/>
          <cell r="BC171"/>
          <cell r="BD171"/>
          <cell r="BE171">
            <v>0</v>
          </cell>
          <cell r="BF171">
            <v>2196.79</v>
          </cell>
          <cell r="BG171"/>
          <cell r="BH171"/>
          <cell r="BI171">
            <v>0</v>
          </cell>
          <cell r="BJ171"/>
          <cell r="BK171"/>
          <cell r="BL171">
            <v>0</v>
          </cell>
          <cell r="BM171"/>
          <cell r="BN171"/>
          <cell r="BO171"/>
          <cell r="BP171"/>
          <cell r="BQ171"/>
          <cell r="BR171"/>
          <cell r="BS171"/>
          <cell r="BT171"/>
          <cell r="BU171"/>
          <cell r="BV171"/>
          <cell r="BW171"/>
          <cell r="BX171"/>
          <cell r="BY171"/>
          <cell r="BZ171"/>
          <cell r="CA171"/>
          <cell r="CB171"/>
          <cell r="CC171"/>
          <cell r="CD171"/>
          <cell r="CE171"/>
          <cell r="CF171">
            <v>0</v>
          </cell>
          <cell r="CG171"/>
          <cell r="CH171"/>
          <cell r="CI171"/>
          <cell r="CJ171"/>
          <cell r="CK171"/>
          <cell r="CL171"/>
          <cell r="CM171"/>
          <cell r="CN171"/>
          <cell r="CO171"/>
          <cell r="CP171"/>
          <cell r="CQ171"/>
          <cell r="CR171"/>
          <cell r="CS171"/>
          <cell r="CT171"/>
          <cell r="CU171"/>
          <cell r="CV171"/>
          <cell r="CW171"/>
          <cell r="CX171"/>
          <cell r="CY171"/>
          <cell r="CZ171"/>
          <cell r="DA171"/>
          <cell r="DB171"/>
          <cell r="DC171"/>
          <cell r="DD171"/>
          <cell r="DE171"/>
          <cell r="DF171"/>
          <cell r="DG171"/>
          <cell r="DH171"/>
          <cell r="DI171"/>
          <cell r="DJ171"/>
          <cell r="DK171"/>
          <cell r="DL171"/>
          <cell r="DM171"/>
          <cell r="DN171"/>
          <cell r="DO171"/>
          <cell r="DP171"/>
          <cell r="DQ171"/>
          <cell r="DR171"/>
          <cell r="DS171"/>
          <cell r="DT171"/>
          <cell r="DU171"/>
          <cell r="DV171">
            <v>0</v>
          </cell>
          <cell r="DW171"/>
          <cell r="DX171"/>
          <cell r="DY171"/>
          <cell r="DZ171"/>
          <cell r="EA171"/>
          <cell r="EB171"/>
          <cell r="EC171"/>
          <cell r="ED171">
            <v>0</v>
          </cell>
          <cell r="EE171"/>
          <cell r="EF171"/>
          <cell r="EG171">
            <v>0</v>
          </cell>
          <cell r="EH171">
            <v>0</v>
          </cell>
          <cell r="EI171"/>
          <cell r="EJ171"/>
          <cell r="EK171"/>
          <cell r="EL171"/>
          <cell r="EM171"/>
          <cell r="EN171"/>
          <cell r="EO171"/>
          <cell r="EP171"/>
          <cell r="EQ171"/>
          <cell r="ER171"/>
          <cell r="ES171"/>
          <cell r="ET171"/>
          <cell r="EU171"/>
          <cell r="EV171"/>
          <cell r="EW171"/>
          <cell r="EX171"/>
          <cell r="EY171"/>
          <cell r="EZ171"/>
          <cell r="FA171"/>
          <cell r="FB171"/>
          <cell r="FC171"/>
          <cell r="FD171"/>
          <cell r="FE171"/>
          <cell r="FF171"/>
          <cell r="FG171"/>
          <cell r="FH171"/>
          <cell r="FI171">
            <v>0</v>
          </cell>
          <cell r="FJ171"/>
          <cell r="FK171">
            <v>2196.79</v>
          </cell>
        </row>
        <row r="172">
          <cell r="A172" t="str">
            <v>Other Income</v>
          </cell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  <cell r="T172"/>
          <cell r="U172"/>
          <cell r="V172"/>
          <cell r="W172"/>
          <cell r="X172"/>
          <cell r="Y172"/>
          <cell r="Z172"/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/>
          <cell r="AZ172"/>
          <cell r="BA172"/>
          <cell r="BB172"/>
          <cell r="BC172"/>
          <cell r="BD172"/>
          <cell r="BE172">
            <v>0</v>
          </cell>
          <cell r="BF172">
            <v>486</v>
          </cell>
          <cell r="BG172"/>
          <cell r="BH172"/>
          <cell r="BI172">
            <v>0</v>
          </cell>
          <cell r="BJ172"/>
          <cell r="BK172"/>
          <cell r="BL172">
            <v>0</v>
          </cell>
          <cell r="BM172"/>
          <cell r="BN172"/>
          <cell r="BO172"/>
          <cell r="BP172"/>
          <cell r="BQ172"/>
          <cell r="BR172"/>
          <cell r="BS172"/>
          <cell r="BT172"/>
          <cell r="BU172"/>
          <cell r="BV172"/>
          <cell r="BW172"/>
          <cell r="BX172"/>
          <cell r="BY172"/>
          <cell r="BZ172"/>
          <cell r="CA172"/>
          <cell r="CB172"/>
          <cell r="CC172"/>
          <cell r="CD172"/>
          <cell r="CE172"/>
          <cell r="CF172">
            <v>0</v>
          </cell>
          <cell r="CG172"/>
          <cell r="CH172"/>
          <cell r="CI172"/>
          <cell r="CJ172"/>
          <cell r="CK172"/>
          <cell r="CL172"/>
          <cell r="CM172"/>
          <cell r="CN172"/>
          <cell r="CO172"/>
          <cell r="CP172"/>
          <cell r="CQ172"/>
          <cell r="CR172"/>
          <cell r="CS172"/>
          <cell r="CT172"/>
          <cell r="CU172"/>
          <cell r="CV172"/>
          <cell r="CW172"/>
          <cell r="CX172"/>
          <cell r="CY172"/>
          <cell r="CZ172"/>
          <cell r="DA172"/>
          <cell r="DB172"/>
          <cell r="DC172"/>
          <cell r="DD172"/>
          <cell r="DE172"/>
          <cell r="DF172"/>
          <cell r="DG172"/>
          <cell r="DH172"/>
          <cell r="DI172"/>
          <cell r="DJ172"/>
          <cell r="DK172"/>
          <cell r="DL172"/>
          <cell r="DM172"/>
          <cell r="DN172"/>
          <cell r="DO172"/>
          <cell r="DP172"/>
          <cell r="DQ172"/>
          <cell r="DR172"/>
          <cell r="DS172"/>
          <cell r="DT172"/>
          <cell r="DU172"/>
          <cell r="DV172">
            <v>0</v>
          </cell>
          <cell r="DW172"/>
          <cell r="DX172"/>
          <cell r="DY172"/>
          <cell r="DZ172"/>
          <cell r="EA172"/>
          <cell r="EB172"/>
          <cell r="EC172"/>
          <cell r="ED172">
            <v>0</v>
          </cell>
          <cell r="EE172"/>
          <cell r="EF172"/>
          <cell r="EG172">
            <v>0</v>
          </cell>
          <cell r="EH172">
            <v>0</v>
          </cell>
          <cell r="EI172"/>
          <cell r="EJ172"/>
          <cell r="EK172"/>
          <cell r="EL172"/>
          <cell r="EM172"/>
          <cell r="EN172"/>
          <cell r="EO172"/>
          <cell r="EP172"/>
          <cell r="EQ172"/>
          <cell r="ER172"/>
          <cell r="ES172"/>
          <cell r="ET172"/>
          <cell r="EU172"/>
          <cell r="EV172"/>
          <cell r="EW172"/>
          <cell r="EX172"/>
          <cell r="EY172"/>
          <cell r="EZ172"/>
          <cell r="FA172"/>
          <cell r="FB172"/>
          <cell r="FC172"/>
          <cell r="FD172"/>
          <cell r="FE172"/>
          <cell r="FF172"/>
          <cell r="FG172"/>
          <cell r="FH172"/>
          <cell r="FI172">
            <v>0</v>
          </cell>
          <cell r="FJ172"/>
          <cell r="FK172">
            <v>486</v>
          </cell>
        </row>
        <row r="173">
          <cell r="A173" t="str">
            <v>Returned Deposits</v>
          </cell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  <cell r="T173"/>
          <cell r="U173"/>
          <cell r="V173"/>
          <cell r="W173"/>
          <cell r="X173"/>
          <cell r="Y173"/>
          <cell r="Z173"/>
          <cell r="AA173"/>
          <cell r="AB173"/>
          <cell r="AC173"/>
          <cell r="AD173"/>
          <cell r="AE173"/>
          <cell r="AF173"/>
          <cell r="AG173"/>
          <cell r="AH173"/>
          <cell r="AI173"/>
          <cell r="AJ173"/>
          <cell r="AK173"/>
          <cell r="AL173"/>
          <cell r="AM173"/>
          <cell r="AN173">
            <v>10000</v>
          </cell>
          <cell r="AO173"/>
          <cell r="AP173"/>
          <cell r="AQ173"/>
          <cell r="AR173"/>
          <cell r="AS173"/>
          <cell r="AT173"/>
          <cell r="AU173"/>
          <cell r="AV173"/>
          <cell r="AW173"/>
          <cell r="AX173"/>
          <cell r="AY173"/>
          <cell r="AZ173"/>
          <cell r="BA173"/>
          <cell r="BB173"/>
          <cell r="BC173"/>
          <cell r="BD173"/>
          <cell r="BE173">
            <v>10000</v>
          </cell>
          <cell r="BF173"/>
          <cell r="BG173"/>
          <cell r="BH173"/>
          <cell r="BI173">
            <v>0</v>
          </cell>
          <cell r="BJ173"/>
          <cell r="BK173"/>
          <cell r="BL173">
            <v>0</v>
          </cell>
          <cell r="BM173"/>
          <cell r="BN173"/>
          <cell r="BO173"/>
          <cell r="BP173"/>
          <cell r="BQ173"/>
          <cell r="BR173"/>
          <cell r="BS173"/>
          <cell r="BT173"/>
          <cell r="BU173"/>
          <cell r="BV173"/>
          <cell r="BW173"/>
          <cell r="BX173"/>
          <cell r="BY173"/>
          <cell r="BZ173"/>
          <cell r="CA173"/>
          <cell r="CB173"/>
          <cell r="CC173"/>
          <cell r="CD173"/>
          <cell r="CE173"/>
          <cell r="CF173">
            <v>0</v>
          </cell>
          <cell r="CG173"/>
          <cell r="CH173"/>
          <cell r="CI173"/>
          <cell r="CJ173"/>
          <cell r="CK173"/>
          <cell r="CL173"/>
          <cell r="CM173"/>
          <cell r="CN173"/>
          <cell r="CO173"/>
          <cell r="CP173"/>
          <cell r="CQ173"/>
          <cell r="CR173"/>
          <cell r="CS173"/>
          <cell r="CT173">
            <v>2700</v>
          </cell>
          <cell r="CU173"/>
          <cell r="CV173"/>
          <cell r="CW173"/>
          <cell r="CX173"/>
          <cell r="CY173"/>
          <cell r="CZ173"/>
          <cell r="DA173"/>
          <cell r="DB173"/>
          <cell r="DC173"/>
          <cell r="DD173"/>
          <cell r="DE173"/>
          <cell r="DF173"/>
          <cell r="DG173"/>
          <cell r="DH173"/>
          <cell r="DI173"/>
          <cell r="DJ173"/>
          <cell r="DK173"/>
          <cell r="DL173"/>
          <cell r="DM173"/>
          <cell r="DN173"/>
          <cell r="DO173"/>
          <cell r="DP173"/>
          <cell r="DQ173"/>
          <cell r="DR173"/>
          <cell r="DS173"/>
          <cell r="DT173"/>
          <cell r="DU173"/>
          <cell r="DV173">
            <v>0</v>
          </cell>
          <cell r="DW173"/>
          <cell r="DX173"/>
          <cell r="DY173"/>
          <cell r="DZ173"/>
          <cell r="EA173"/>
          <cell r="EB173"/>
          <cell r="EC173"/>
          <cell r="ED173">
            <v>0</v>
          </cell>
          <cell r="EE173"/>
          <cell r="EF173"/>
          <cell r="EG173">
            <v>0</v>
          </cell>
          <cell r="EH173">
            <v>2700</v>
          </cell>
          <cell r="EI173"/>
          <cell r="EJ173"/>
          <cell r="EK173"/>
          <cell r="EL173"/>
          <cell r="EM173"/>
          <cell r="EN173"/>
          <cell r="EO173"/>
          <cell r="EP173"/>
          <cell r="EQ173"/>
          <cell r="ER173"/>
          <cell r="ES173"/>
          <cell r="ET173"/>
          <cell r="EU173"/>
          <cell r="EV173"/>
          <cell r="EW173"/>
          <cell r="EX173"/>
          <cell r="EY173"/>
          <cell r="EZ173"/>
          <cell r="FA173"/>
          <cell r="FB173"/>
          <cell r="FC173"/>
          <cell r="FD173"/>
          <cell r="FE173"/>
          <cell r="FF173"/>
          <cell r="FG173"/>
          <cell r="FH173"/>
          <cell r="FI173">
            <v>0</v>
          </cell>
          <cell r="FJ173">
            <v>-2700</v>
          </cell>
          <cell r="FK173">
            <v>10000</v>
          </cell>
        </row>
        <row r="174">
          <cell r="A174" t="str">
            <v>Total Other Income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10000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10000</v>
          </cell>
          <cell r="BF174">
            <v>2982.79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2700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0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F174">
            <v>0</v>
          </cell>
          <cell r="EG174">
            <v>0</v>
          </cell>
          <cell r="EH174">
            <v>2700</v>
          </cell>
          <cell r="EI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0</v>
          </cell>
          <cell r="EN174">
            <v>0</v>
          </cell>
          <cell r="EO174">
            <v>0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T174">
            <v>0</v>
          </cell>
          <cell r="EU174">
            <v>0</v>
          </cell>
          <cell r="EV174">
            <v>0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  <cell r="FA174">
            <v>0</v>
          </cell>
          <cell r="FB174">
            <v>0</v>
          </cell>
          <cell r="FC174">
            <v>0</v>
          </cell>
          <cell r="FD174">
            <v>0</v>
          </cell>
          <cell r="FE174">
            <v>0</v>
          </cell>
          <cell r="FF174">
            <v>0</v>
          </cell>
          <cell r="FG174">
            <v>0</v>
          </cell>
          <cell r="FH174">
            <v>0</v>
          </cell>
          <cell r="FI174">
            <v>0</v>
          </cell>
          <cell r="FJ174">
            <v>-2700</v>
          </cell>
          <cell r="FK174">
            <v>12982.79</v>
          </cell>
        </row>
        <row r="175">
          <cell r="A175" t="str">
            <v>Other Expenses</v>
          </cell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  <cell r="T175"/>
          <cell r="U175"/>
          <cell r="V175"/>
          <cell r="W175"/>
          <cell r="X175"/>
          <cell r="Y175"/>
          <cell r="Z175"/>
          <cell r="AA175"/>
          <cell r="AB175"/>
          <cell r="AC175"/>
          <cell r="AD175"/>
          <cell r="AE175"/>
          <cell r="AF175"/>
          <cell r="AG175"/>
          <cell r="AH175"/>
          <cell r="AI175"/>
          <cell r="AJ175"/>
          <cell r="AK175"/>
          <cell r="AL175"/>
          <cell r="AM175"/>
          <cell r="AN175"/>
          <cell r="AO175"/>
          <cell r="AP175"/>
          <cell r="AQ175"/>
          <cell r="AR175"/>
          <cell r="AS175"/>
          <cell r="AT175"/>
          <cell r="AU175"/>
          <cell r="AV175"/>
          <cell r="AW175"/>
          <cell r="AX175"/>
          <cell r="AY175"/>
          <cell r="AZ175"/>
          <cell r="BA175"/>
          <cell r="BB175"/>
          <cell r="BC175"/>
          <cell r="BD175"/>
          <cell r="BE175"/>
          <cell r="BF175"/>
          <cell r="BG175"/>
          <cell r="BH175"/>
          <cell r="BI175"/>
          <cell r="BJ175"/>
          <cell r="BK175"/>
          <cell r="BL175"/>
          <cell r="BM175"/>
          <cell r="BN175"/>
          <cell r="BO175"/>
          <cell r="BP175"/>
          <cell r="BQ175"/>
          <cell r="BR175"/>
          <cell r="BS175"/>
          <cell r="BT175"/>
          <cell r="BU175"/>
          <cell r="BV175"/>
          <cell r="BW175"/>
          <cell r="BX175"/>
          <cell r="BY175"/>
          <cell r="BZ175"/>
          <cell r="CA175"/>
          <cell r="CB175"/>
          <cell r="CC175"/>
          <cell r="CD175"/>
          <cell r="CE175"/>
          <cell r="CF175"/>
          <cell r="CG175"/>
          <cell r="CH175"/>
          <cell r="CI175"/>
          <cell r="CJ175"/>
          <cell r="CK175"/>
          <cell r="CL175"/>
          <cell r="CM175"/>
          <cell r="CN175"/>
          <cell r="CO175"/>
          <cell r="CP175"/>
          <cell r="CQ175"/>
          <cell r="CR175"/>
          <cell r="CS175"/>
          <cell r="CT175"/>
          <cell r="CU175"/>
          <cell r="CV175"/>
          <cell r="CW175"/>
          <cell r="CX175"/>
          <cell r="CY175"/>
          <cell r="CZ175"/>
          <cell r="DA175"/>
          <cell r="DB175"/>
          <cell r="DC175"/>
          <cell r="DD175"/>
          <cell r="DE175"/>
          <cell r="DF175"/>
          <cell r="DG175"/>
          <cell r="DH175"/>
          <cell r="DI175"/>
          <cell r="DJ175"/>
          <cell r="DK175"/>
          <cell r="DL175"/>
          <cell r="DM175"/>
          <cell r="DN175"/>
          <cell r="DO175"/>
          <cell r="DP175"/>
          <cell r="DQ175"/>
          <cell r="DR175"/>
          <cell r="DS175"/>
          <cell r="DT175"/>
          <cell r="DU175"/>
          <cell r="DV175"/>
          <cell r="DW175"/>
          <cell r="DX175"/>
          <cell r="DY175"/>
          <cell r="DZ175"/>
          <cell r="EA175"/>
          <cell r="EB175"/>
          <cell r="EC175"/>
          <cell r="ED175"/>
          <cell r="EE175"/>
          <cell r="EF175"/>
          <cell r="EG175"/>
          <cell r="EH175"/>
          <cell r="EI175"/>
          <cell r="EJ175"/>
          <cell r="EK175"/>
          <cell r="EL175"/>
          <cell r="EM175"/>
          <cell r="EN175"/>
          <cell r="EO175"/>
          <cell r="EP175"/>
          <cell r="EQ175"/>
          <cell r="ER175"/>
          <cell r="ES175"/>
          <cell r="ET175"/>
          <cell r="EU175"/>
          <cell r="EV175"/>
          <cell r="EW175"/>
          <cell r="EX175"/>
          <cell r="EY175"/>
          <cell r="EZ175"/>
          <cell r="FA175"/>
          <cell r="FB175"/>
          <cell r="FC175"/>
          <cell r="FD175"/>
          <cell r="FE175"/>
          <cell r="FF175"/>
          <cell r="FG175"/>
          <cell r="FH175"/>
          <cell r="FI175"/>
          <cell r="FJ175"/>
          <cell r="FK175"/>
        </row>
        <row r="176">
          <cell r="A176" t="str">
            <v>Depreciation</v>
          </cell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  <cell r="T176"/>
          <cell r="U176"/>
          <cell r="V176"/>
          <cell r="W176"/>
          <cell r="X176"/>
          <cell r="Y176"/>
          <cell r="Z176"/>
          <cell r="AA176"/>
          <cell r="AB176"/>
          <cell r="AC176"/>
          <cell r="AD176"/>
          <cell r="AE176"/>
          <cell r="AF176"/>
          <cell r="AG176"/>
          <cell r="AH176"/>
          <cell r="AI176"/>
          <cell r="AJ176"/>
          <cell r="AK176"/>
          <cell r="AL176"/>
          <cell r="AM176"/>
          <cell r="AN176"/>
          <cell r="AO176"/>
          <cell r="AP176"/>
          <cell r="AQ176"/>
          <cell r="AR176"/>
          <cell r="AS176"/>
          <cell r="AT176"/>
          <cell r="AU176"/>
          <cell r="AV176"/>
          <cell r="AW176"/>
          <cell r="AX176"/>
          <cell r="AY176"/>
          <cell r="AZ176"/>
          <cell r="BA176"/>
          <cell r="BB176"/>
          <cell r="BC176"/>
          <cell r="BD176"/>
          <cell r="BE176">
            <v>0</v>
          </cell>
          <cell r="BF176">
            <v>178353.86</v>
          </cell>
          <cell r="BG176"/>
          <cell r="BH176"/>
          <cell r="BI176">
            <v>0</v>
          </cell>
          <cell r="BJ176"/>
          <cell r="BK176"/>
          <cell r="BL176">
            <v>0</v>
          </cell>
          <cell r="BM176"/>
          <cell r="BN176"/>
          <cell r="BO176"/>
          <cell r="BP176"/>
          <cell r="BQ176"/>
          <cell r="BR176"/>
          <cell r="BS176"/>
          <cell r="BT176"/>
          <cell r="BU176"/>
          <cell r="BV176"/>
          <cell r="BW176"/>
          <cell r="BX176"/>
          <cell r="BY176"/>
          <cell r="BZ176"/>
          <cell r="CA176"/>
          <cell r="CB176"/>
          <cell r="CC176"/>
          <cell r="CD176"/>
          <cell r="CE176"/>
          <cell r="CF176">
            <v>0</v>
          </cell>
          <cell r="CG176"/>
          <cell r="CH176"/>
          <cell r="CI176"/>
          <cell r="CJ176"/>
          <cell r="CK176"/>
          <cell r="CL176"/>
          <cell r="CM176"/>
          <cell r="CN176"/>
          <cell r="CO176"/>
          <cell r="CP176"/>
          <cell r="CQ176"/>
          <cell r="CR176"/>
          <cell r="CS176"/>
          <cell r="CT176"/>
          <cell r="CU176"/>
          <cell r="CV176"/>
          <cell r="CW176"/>
          <cell r="CX176"/>
          <cell r="CY176"/>
          <cell r="CZ176"/>
          <cell r="DA176"/>
          <cell r="DB176"/>
          <cell r="DC176"/>
          <cell r="DD176"/>
          <cell r="DE176"/>
          <cell r="DF176"/>
          <cell r="DG176"/>
          <cell r="DH176"/>
          <cell r="DI176"/>
          <cell r="DJ176"/>
          <cell r="DK176"/>
          <cell r="DL176"/>
          <cell r="DM176"/>
          <cell r="DN176"/>
          <cell r="DO176"/>
          <cell r="DP176"/>
          <cell r="DQ176"/>
          <cell r="DR176"/>
          <cell r="DS176"/>
          <cell r="DT176"/>
          <cell r="DU176"/>
          <cell r="DV176">
            <v>0</v>
          </cell>
          <cell r="DW176"/>
          <cell r="DX176"/>
          <cell r="DY176"/>
          <cell r="DZ176"/>
          <cell r="EA176"/>
          <cell r="EB176"/>
          <cell r="EC176"/>
          <cell r="ED176">
            <v>0</v>
          </cell>
          <cell r="EE176"/>
          <cell r="EF176"/>
          <cell r="EG176">
            <v>0</v>
          </cell>
          <cell r="EH176">
            <v>0</v>
          </cell>
          <cell r="EI176"/>
          <cell r="EJ176"/>
          <cell r="EK176"/>
          <cell r="EL176"/>
          <cell r="EM176"/>
          <cell r="EN176"/>
          <cell r="EO176"/>
          <cell r="EP176"/>
          <cell r="EQ176"/>
          <cell r="ER176"/>
          <cell r="ES176"/>
          <cell r="ET176"/>
          <cell r="EU176"/>
          <cell r="EV176"/>
          <cell r="EW176"/>
          <cell r="EX176"/>
          <cell r="EY176"/>
          <cell r="EZ176"/>
          <cell r="FA176"/>
          <cell r="FB176"/>
          <cell r="FC176"/>
          <cell r="FD176"/>
          <cell r="FE176"/>
          <cell r="FF176"/>
          <cell r="FG176"/>
          <cell r="FH176"/>
          <cell r="FI176">
            <v>0</v>
          </cell>
          <cell r="FJ176"/>
          <cell r="FK176">
            <v>178353.86</v>
          </cell>
        </row>
        <row r="177">
          <cell r="A177" t="str">
            <v>Taxes.</v>
          </cell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  <cell r="V177"/>
          <cell r="W177"/>
          <cell r="X177"/>
          <cell r="Y177"/>
          <cell r="Z177"/>
          <cell r="AA177"/>
          <cell r="AB177"/>
          <cell r="AC177"/>
          <cell r="AD177"/>
          <cell r="AE177"/>
          <cell r="AF177"/>
          <cell r="AG177"/>
          <cell r="AH177"/>
          <cell r="AI177"/>
          <cell r="AJ177"/>
          <cell r="AK177"/>
          <cell r="AL177"/>
          <cell r="AM177"/>
          <cell r="AN177"/>
          <cell r="AO177"/>
          <cell r="AP177"/>
          <cell r="AQ177"/>
          <cell r="AR177"/>
          <cell r="AS177"/>
          <cell r="AT177"/>
          <cell r="AU177"/>
          <cell r="AV177"/>
          <cell r="AW177"/>
          <cell r="AX177"/>
          <cell r="AY177"/>
          <cell r="AZ177"/>
          <cell r="BA177"/>
          <cell r="BB177"/>
          <cell r="BC177"/>
          <cell r="BD177"/>
          <cell r="BE177">
            <v>0</v>
          </cell>
          <cell r="BF177">
            <v>2389.67</v>
          </cell>
          <cell r="BG177"/>
          <cell r="BH177"/>
          <cell r="BI177">
            <v>0</v>
          </cell>
          <cell r="BJ177"/>
          <cell r="BK177"/>
          <cell r="BL177">
            <v>0</v>
          </cell>
          <cell r="BM177"/>
          <cell r="BN177"/>
          <cell r="BO177"/>
          <cell r="BP177"/>
          <cell r="BQ177"/>
          <cell r="BR177"/>
          <cell r="BS177"/>
          <cell r="BT177"/>
          <cell r="BU177"/>
          <cell r="BV177"/>
          <cell r="BW177"/>
          <cell r="BX177"/>
          <cell r="BY177"/>
          <cell r="BZ177"/>
          <cell r="CA177"/>
          <cell r="CB177"/>
          <cell r="CC177"/>
          <cell r="CD177"/>
          <cell r="CE177"/>
          <cell r="CF177">
            <v>0</v>
          </cell>
          <cell r="CG177"/>
          <cell r="CH177"/>
          <cell r="CI177"/>
          <cell r="CJ177"/>
          <cell r="CK177"/>
          <cell r="CL177"/>
          <cell r="CM177"/>
          <cell r="CN177"/>
          <cell r="CO177"/>
          <cell r="CP177"/>
          <cell r="CQ177"/>
          <cell r="CR177"/>
          <cell r="CS177"/>
          <cell r="CT177"/>
          <cell r="CU177"/>
          <cell r="CV177"/>
          <cell r="CW177"/>
          <cell r="CX177"/>
          <cell r="CY177"/>
          <cell r="CZ177"/>
          <cell r="DA177"/>
          <cell r="DB177"/>
          <cell r="DC177"/>
          <cell r="DD177"/>
          <cell r="DE177"/>
          <cell r="DF177"/>
          <cell r="DG177"/>
          <cell r="DH177"/>
          <cell r="DI177"/>
          <cell r="DJ177"/>
          <cell r="DK177"/>
          <cell r="DL177"/>
          <cell r="DM177"/>
          <cell r="DN177"/>
          <cell r="DO177"/>
          <cell r="DP177"/>
          <cell r="DQ177"/>
          <cell r="DR177"/>
          <cell r="DS177"/>
          <cell r="DT177"/>
          <cell r="DU177"/>
          <cell r="DV177">
            <v>0</v>
          </cell>
          <cell r="DW177"/>
          <cell r="DX177"/>
          <cell r="DY177"/>
          <cell r="DZ177"/>
          <cell r="EA177"/>
          <cell r="EB177"/>
          <cell r="EC177"/>
          <cell r="ED177">
            <v>0</v>
          </cell>
          <cell r="EE177"/>
          <cell r="EF177"/>
          <cell r="EG177">
            <v>0</v>
          </cell>
          <cell r="EH177">
            <v>0</v>
          </cell>
          <cell r="EI177"/>
          <cell r="EJ177"/>
          <cell r="EK177"/>
          <cell r="EL177"/>
          <cell r="EM177"/>
          <cell r="EN177"/>
          <cell r="EO177"/>
          <cell r="EP177"/>
          <cell r="EQ177"/>
          <cell r="ER177"/>
          <cell r="ES177"/>
          <cell r="ET177"/>
          <cell r="EU177"/>
          <cell r="EV177"/>
          <cell r="EW177"/>
          <cell r="EX177"/>
          <cell r="EY177"/>
          <cell r="EZ177"/>
          <cell r="FA177"/>
          <cell r="FB177"/>
          <cell r="FC177"/>
          <cell r="FD177"/>
          <cell r="FE177"/>
          <cell r="FF177"/>
          <cell r="FG177"/>
          <cell r="FH177"/>
          <cell r="FI177">
            <v>0</v>
          </cell>
          <cell r="FJ177"/>
          <cell r="FK177">
            <v>2389.67</v>
          </cell>
        </row>
        <row r="178">
          <cell r="A178" t="str">
            <v>Total Other Expenses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180743.53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0</v>
          </cell>
          <cell r="EV178">
            <v>0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0</v>
          </cell>
          <cell r="FK178">
            <v>180743.53</v>
          </cell>
        </row>
        <row r="179">
          <cell r="A179" t="str">
            <v>Net Other Income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10000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10000</v>
          </cell>
          <cell r="BF179">
            <v>-177760.74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2700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2700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-2700</v>
          </cell>
          <cell r="FK179">
            <v>-167760.74</v>
          </cell>
        </row>
        <row r="180">
          <cell r="A180" t="str">
            <v>Net Income</v>
          </cell>
          <cell r="B180">
            <v>250</v>
          </cell>
          <cell r="C180">
            <v>-2000</v>
          </cell>
          <cell r="D180">
            <v>-395</v>
          </cell>
          <cell r="E180">
            <v>-270</v>
          </cell>
          <cell r="F180">
            <v>405.02</v>
          </cell>
          <cell r="G180">
            <v>865</v>
          </cell>
          <cell r="H180">
            <v>865</v>
          </cell>
          <cell r="I180">
            <v>21611</v>
          </cell>
          <cell r="J180">
            <v>11721</v>
          </cell>
          <cell r="K180">
            <v>11721</v>
          </cell>
          <cell r="L180">
            <v>-1962</v>
          </cell>
          <cell r="M180">
            <v>-125</v>
          </cell>
          <cell r="N180">
            <v>-550</v>
          </cell>
          <cell r="O180">
            <v>-1628.23</v>
          </cell>
          <cell r="P180">
            <v>-318</v>
          </cell>
          <cell r="Q180">
            <v>4454</v>
          </cell>
          <cell r="R180">
            <v>0</v>
          </cell>
          <cell r="S180">
            <v>-23407.22</v>
          </cell>
          <cell r="T180">
            <v>35593.620000000003</v>
          </cell>
          <cell r="U180">
            <v>25050.5</v>
          </cell>
          <cell r="V180">
            <v>28638.03</v>
          </cell>
          <cell r="W180">
            <v>47789.75</v>
          </cell>
          <cell r="X180">
            <v>26643.83</v>
          </cell>
          <cell r="Y180">
            <v>19498.490000000002</v>
          </cell>
          <cell r="Z180">
            <v>23203.17</v>
          </cell>
          <cell r="AA180">
            <v>58396.21</v>
          </cell>
          <cell r="AB180">
            <v>103015.03999999999</v>
          </cell>
          <cell r="AC180">
            <v>24406.46</v>
          </cell>
          <cell r="AD180">
            <v>12952.14</v>
          </cell>
          <cell r="AE180">
            <v>43123.43</v>
          </cell>
          <cell r="AF180">
            <v>51082.07</v>
          </cell>
          <cell r="AG180">
            <v>40657.620000000003</v>
          </cell>
          <cell r="AH180">
            <v>-15693.56</v>
          </cell>
          <cell r="AI180">
            <v>-63002.79</v>
          </cell>
          <cell r="AJ180">
            <v>24016.47</v>
          </cell>
          <cell r="AK180">
            <v>47080.31</v>
          </cell>
          <cell r="AL180">
            <v>-150</v>
          </cell>
          <cell r="AM180">
            <v>40161.06</v>
          </cell>
          <cell r="AN180">
            <v>10000</v>
          </cell>
          <cell r="AO180">
            <v>78885.59</v>
          </cell>
          <cell r="AP180">
            <v>17601.66</v>
          </cell>
          <cell r="AQ180">
            <v>-2000</v>
          </cell>
          <cell r="AR180">
            <v>33774.370000000003</v>
          </cell>
          <cell r="AS180">
            <v>23411.32</v>
          </cell>
          <cell r="AT180">
            <v>24380.83</v>
          </cell>
          <cell r="AU180">
            <v>88931.59</v>
          </cell>
          <cell r="AV180">
            <v>18421.28</v>
          </cell>
          <cell r="AW180">
            <v>38577.910000000003</v>
          </cell>
          <cell r="AX180">
            <v>74969.08</v>
          </cell>
          <cell r="AY180">
            <v>-10351.34</v>
          </cell>
          <cell r="AZ180">
            <v>19952.54</v>
          </cell>
          <cell r="BA180">
            <v>48157.52</v>
          </cell>
          <cell r="BB180">
            <v>10145.34</v>
          </cell>
          <cell r="BC180">
            <v>-186</v>
          </cell>
          <cell r="BD180">
            <v>160.68</v>
          </cell>
          <cell r="BE180">
            <v>1023887</v>
          </cell>
          <cell r="BF180">
            <v>-1651628.19</v>
          </cell>
          <cell r="BG180">
            <v>0</v>
          </cell>
          <cell r="BH180">
            <v>-885</v>
          </cell>
          <cell r="BI180">
            <v>-885</v>
          </cell>
          <cell r="BJ180">
            <v>0</v>
          </cell>
          <cell r="BK180">
            <v>13673.36</v>
          </cell>
          <cell r="BL180">
            <v>13673.36</v>
          </cell>
          <cell r="BM180">
            <v>1062.04</v>
          </cell>
          <cell r="BN180">
            <v>-2077.54</v>
          </cell>
          <cell r="BO180">
            <v>-249</v>
          </cell>
          <cell r="BP180">
            <v>252.32</v>
          </cell>
          <cell r="BQ180">
            <v>887.01</v>
          </cell>
          <cell r="BR180">
            <v>-150</v>
          </cell>
          <cell r="BS180">
            <v>4000</v>
          </cell>
          <cell r="BT180">
            <v>-599.51</v>
          </cell>
          <cell r="BU180">
            <v>1350</v>
          </cell>
          <cell r="BV180">
            <v>497.48</v>
          </cell>
          <cell r="BW180">
            <v>195.8</v>
          </cell>
          <cell r="BX180">
            <v>-1000</v>
          </cell>
          <cell r="BY180">
            <v>-7889.9</v>
          </cell>
          <cell r="BZ180">
            <v>53</v>
          </cell>
          <cell r="CA180">
            <v>-159.94</v>
          </cell>
          <cell r="CB180">
            <v>153.44</v>
          </cell>
          <cell r="CC180">
            <v>98194.25</v>
          </cell>
          <cell r="CD180">
            <v>156</v>
          </cell>
          <cell r="CE180">
            <v>-52.62</v>
          </cell>
          <cell r="CF180">
            <v>94622.83</v>
          </cell>
          <cell r="CG180">
            <v>2145.4</v>
          </cell>
          <cell r="CH180">
            <v>727.44</v>
          </cell>
          <cell r="CI180">
            <v>18363.89</v>
          </cell>
          <cell r="CJ180">
            <v>3084.99</v>
          </cell>
          <cell r="CK180">
            <v>-346.21</v>
          </cell>
          <cell r="CL180">
            <v>24130.75</v>
          </cell>
          <cell r="CM180">
            <v>17534.32</v>
          </cell>
          <cell r="CN180">
            <v>-4454.1499999999996</v>
          </cell>
          <cell r="CO180">
            <v>4712.45</v>
          </cell>
          <cell r="CP180">
            <v>-307.83999999999997</v>
          </cell>
          <cell r="CQ180">
            <v>-36029.57</v>
          </cell>
          <cell r="CR180">
            <v>-535</v>
          </cell>
          <cell r="CS180">
            <v>24669.83</v>
          </cell>
          <cell r="CT180">
            <v>2357.73</v>
          </cell>
          <cell r="CU180">
            <v>-5817.96</v>
          </cell>
          <cell r="CV180">
            <v>1919.46</v>
          </cell>
          <cell r="CW180">
            <v>12592.6</v>
          </cell>
          <cell r="CX180">
            <v>19997.939999999999</v>
          </cell>
          <cell r="CY180">
            <v>839.2</v>
          </cell>
          <cell r="CZ180">
            <v>-692.09</v>
          </cell>
          <cell r="DA180">
            <v>413.73</v>
          </cell>
          <cell r="DB180">
            <v>6916.5</v>
          </cell>
          <cell r="DC180">
            <v>12205.95</v>
          </cell>
          <cell r="DD180">
            <v>57302.51</v>
          </cell>
          <cell r="DE180">
            <v>48786.92</v>
          </cell>
          <cell r="DF180">
            <v>9377.82</v>
          </cell>
          <cell r="DG180">
            <v>22660.41</v>
          </cell>
          <cell r="DH180">
            <v>1507.52</v>
          </cell>
          <cell r="DI180">
            <v>20974.7</v>
          </cell>
          <cell r="DJ180">
            <v>-5365.07</v>
          </cell>
          <cell r="DK180">
            <v>23818.98</v>
          </cell>
          <cell r="DL180">
            <v>793.68</v>
          </cell>
          <cell r="DM180">
            <v>3542.38</v>
          </cell>
          <cell r="DN180">
            <v>0</v>
          </cell>
          <cell r="DO180">
            <v>-14416.81</v>
          </cell>
          <cell r="DP180">
            <v>237.53</v>
          </cell>
          <cell r="DQ180">
            <v>-8908.52</v>
          </cell>
          <cell r="DR180">
            <v>658.71</v>
          </cell>
          <cell r="DS180">
            <v>-5744.18</v>
          </cell>
          <cell r="DT180">
            <v>7862.72</v>
          </cell>
          <cell r="DU180">
            <v>-3428.94</v>
          </cell>
          <cell r="DV180">
            <v>-23739.49</v>
          </cell>
          <cell r="DW180">
            <v>0</v>
          </cell>
          <cell r="DX180">
            <v>15763.58</v>
          </cell>
          <cell r="DY180">
            <v>-8666.84</v>
          </cell>
          <cell r="DZ180">
            <v>-14277.84</v>
          </cell>
          <cell r="EA180">
            <v>18528.490000000002</v>
          </cell>
          <cell r="EB180">
            <v>-8809.9599999999991</v>
          </cell>
          <cell r="EC180">
            <v>13297.16</v>
          </cell>
          <cell r="ED180">
            <v>15834.59</v>
          </cell>
          <cell r="EE180">
            <v>0</v>
          </cell>
          <cell r="EF180">
            <v>-387.66</v>
          </cell>
          <cell r="EG180">
            <v>-387.66</v>
          </cell>
          <cell r="EH180">
            <v>279536.65000000002</v>
          </cell>
          <cell r="EI180">
            <v>0</v>
          </cell>
          <cell r="EJ180">
            <v>30137</v>
          </cell>
          <cell r="EK180">
            <v>26760</v>
          </cell>
          <cell r="EL180">
            <v>18570.080000000002</v>
          </cell>
          <cell r="EM180">
            <v>20263.009999999998</v>
          </cell>
          <cell r="EN180">
            <v>21515.74</v>
          </cell>
          <cell r="EO180">
            <v>31781</v>
          </cell>
          <cell r="EP180">
            <v>15472.77</v>
          </cell>
          <cell r="EQ180">
            <v>32617</v>
          </cell>
          <cell r="ER180">
            <v>18835.84</v>
          </cell>
          <cell r="ES180">
            <v>42678</v>
          </cell>
          <cell r="ET180">
            <v>16154</v>
          </cell>
          <cell r="EU180">
            <v>5519.15</v>
          </cell>
          <cell r="EV180">
            <v>27716.81</v>
          </cell>
          <cell r="EW180">
            <v>23437.24</v>
          </cell>
          <cell r="EX180">
            <v>22465.53</v>
          </cell>
          <cell r="EY180">
            <v>23557</v>
          </cell>
          <cell r="EZ180">
            <v>23170</v>
          </cell>
          <cell r="FA180">
            <v>31499.23</v>
          </cell>
          <cell r="FB180">
            <v>26600</v>
          </cell>
          <cell r="FC180">
            <v>51367.9</v>
          </cell>
          <cell r="FD180">
            <v>23639.93</v>
          </cell>
          <cell r="FE180">
            <v>14332.94</v>
          </cell>
          <cell r="FF180">
            <v>10525.01</v>
          </cell>
          <cell r="FG180">
            <v>-3165.81</v>
          </cell>
          <cell r="FH180">
            <v>25689.32</v>
          </cell>
          <cell r="FI180">
            <v>581138.68999999994</v>
          </cell>
          <cell r="FJ180">
            <v>-68356.67</v>
          </cell>
          <cell r="FK180">
            <v>316632.46000000002</v>
          </cell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  <cell r="T181"/>
          <cell r="U181"/>
          <cell r="V181"/>
          <cell r="W181"/>
          <cell r="X181"/>
          <cell r="Y181"/>
          <cell r="Z181"/>
          <cell r="AA181"/>
          <cell r="AB181"/>
          <cell r="AC181"/>
          <cell r="AD181"/>
          <cell r="AE181"/>
          <cell r="AF181"/>
          <cell r="AG181"/>
          <cell r="AH181"/>
          <cell r="AI181"/>
          <cell r="AJ181"/>
          <cell r="AK181"/>
          <cell r="AL181"/>
          <cell r="AM181"/>
          <cell r="AN181"/>
          <cell r="AO181"/>
          <cell r="AP181"/>
          <cell r="AQ181"/>
          <cell r="AR181"/>
          <cell r="AS181"/>
          <cell r="AT181"/>
          <cell r="AU181"/>
          <cell r="AV181"/>
          <cell r="AW181"/>
          <cell r="AX181"/>
          <cell r="AY181"/>
          <cell r="AZ181"/>
          <cell r="BA181"/>
          <cell r="BB181"/>
          <cell r="BC181"/>
          <cell r="BD181"/>
          <cell r="BE181"/>
          <cell r="BF181"/>
          <cell r="BG181"/>
          <cell r="BH181"/>
          <cell r="BI181"/>
          <cell r="BJ181"/>
          <cell r="BK181"/>
          <cell r="BL181"/>
          <cell r="BM181"/>
          <cell r="BN181"/>
          <cell r="BO181"/>
          <cell r="BP181"/>
          <cell r="BQ181"/>
          <cell r="BR181"/>
          <cell r="BS181"/>
          <cell r="BT181"/>
          <cell r="BU181"/>
          <cell r="BV181"/>
          <cell r="BW181"/>
          <cell r="BX181"/>
          <cell r="BY181"/>
          <cell r="BZ181"/>
          <cell r="CA181"/>
          <cell r="CB181"/>
          <cell r="CC181"/>
          <cell r="CD181"/>
          <cell r="CE181"/>
          <cell r="CF181"/>
          <cell r="CG181"/>
          <cell r="CH181"/>
          <cell r="CI181"/>
          <cell r="CJ181"/>
          <cell r="CK181"/>
          <cell r="CL181"/>
          <cell r="CM181"/>
          <cell r="CN181"/>
          <cell r="CO181"/>
          <cell r="CP181"/>
          <cell r="CQ181"/>
          <cell r="CR181"/>
          <cell r="CS181"/>
          <cell r="CT181"/>
          <cell r="CU181"/>
          <cell r="CV181"/>
          <cell r="CW181"/>
          <cell r="CX181"/>
          <cell r="CY181"/>
          <cell r="CZ181"/>
          <cell r="DA181"/>
          <cell r="DB181"/>
          <cell r="DC181"/>
          <cell r="DD181"/>
          <cell r="DE181"/>
          <cell r="DF181"/>
          <cell r="DG181"/>
          <cell r="DH181"/>
          <cell r="DI181"/>
          <cell r="DJ181"/>
          <cell r="DK181"/>
          <cell r="DL181"/>
          <cell r="DM181"/>
          <cell r="DN181"/>
          <cell r="DO181"/>
          <cell r="DP181"/>
          <cell r="DQ181"/>
          <cell r="DR181"/>
          <cell r="DS181"/>
          <cell r="DT181"/>
          <cell r="DU181"/>
          <cell r="DV181"/>
          <cell r="DW181"/>
          <cell r="DX181"/>
          <cell r="DY181"/>
          <cell r="DZ181"/>
          <cell r="EA181"/>
          <cell r="EB181"/>
          <cell r="EC181"/>
          <cell r="ED181"/>
          <cell r="EE181"/>
          <cell r="EF181"/>
          <cell r="EG181"/>
          <cell r="EH181"/>
          <cell r="EI181"/>
          <cell r="EJ181"/>
          <cell r="EK181"/>
          <cell r="EL181"/>
          <cell r="EM181"/>
          <cell r="EN181"/>
          <cell r="EO181"/>
          <cell r="EP181"/>
          <cell r="EQ181"/>
          <cell r="ER181"/>
          <cell r="ES181"/>
          <cell r="ET181"/>
          <cell r="EU181"/>
          <cell r="EV181"/>
          <cell r="EW181"/>
          <cell r="EX181"/>
          <cell r="EY181"/>
          <cell r="EZ181"/>
          <cell r="FA181"/>
          <cell r="FB181"/>
          <cell r="FC181"/>
          <cell r="FD181"/>
          <cell r="FE181"/>
          <cell r="FF181"/>
          <cell r="FG181"/>
          <cell r="FH181"/>
          <cell r="FI181"/>
          <cell r="FJ181"/>
          <cell r="FK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/>
          <cell r="T182"/>
          <cell r="U182"/>
          <cell r="V182"/>
          <cell r="W182"/>
          <cell r="X182"/>
          <cell r="Y182"/>
          <cell r="Z182"/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/>
          <cell r="BA182"/>
          <cell r="BB182"/>
          <cell r="BC182"/>
          <cell r="BD182"/>
          <cell r="BE182"/>
          <cell r="BF182"/>
          <cell r="BG182"/>
          <cell r="BH182"/>
          <cell r="BI182"/>
          <cell r="BJ182"/>
          <cell r="BK182"/>
          <cell r="BL182"/>
          <cell r="BM182"/>
          <cell r="BN182"/>
          <cell r="BO182"/>
          <cell r="BP182"/>
          <cell r="BQ182"/>
          <cell r="BR182"/>
          <cell r="BS182"/>
          <cell r="BT182"/>
          <cell r="BU182"/>
          <cell r="BV182"/>
          <cell r="BW182"/>
          <cell r="BX182"/>
          <cell r="BY182"/>
          <cell r="BZ182"/>
          <cell r="CA182"/>
          <cell r="CB182"/>
          <cell r="CC182"/>
          <cell r="CD182"/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  <cell r="CP182"/>
          <cell r="CQ182"/>
          <cell r="CR182"/>
          <cell r="CS182"/>
          <cell r="CT182"/>
          <cell r="CU182"/>
          <cell r="CV182"/>
          <cell r="CW182"/>
          <cell r="CX182"/>
          <cell r="CY182"/>
          <cell r="CZ182"/>
          <cell r="DA182"/>
          <cell r="DB182"/>
          <cell r="DC182"/>
          <cell r="DD182"/>
          <cell r="DE182"/>
          <cell r="DF182"/>
          <cell r="DG182"/>
          <cell r="DH182"/>
          <cell r="DI182"/>
          <cell r="DJ182"/>
          <cell r="DK182"/>
          <cell r="DL182"/>
          <cell r="DM182"/>
          <cell r="DN182"/>
          <cell r="DO182"/>
          <cell r="DP182"/>
          <cell r="DQ182"/>
          <cell r="DR182"/>
          <cell r="DS182"/>
          <cell r="DT182"/>
          <cell r="DU182"/>
          <cell r="DV182"/>
          <cell r="DW182"/>
          <cell r="DX182"/>
          <cell r="DY182"/>
          <cell r="DZ182"/>
          <cell r="EA182"/>
          <cell r="EB182"/>
          <cell r="EC182"/>
          <cell r="ED182"/>
          <cell r="EE182"/>
          <cell r="EF182"/>
          <cell r="EG182"/>
          <cell r="EH182"/>
          <cell r="EI182"/>
          <cell r="EJ182"/>
          <cell r="EK182"/>
          <cell r="EL182"/>
          <cell r="EM182"/>
          <cell r="EN182"/>
          <cell r="EO182"/>
          <cell r="EP182"/>
          <cell r="EQ182"/>
          <cell r="ER182"/>
          <cell r="ES182"/>
          <cell r="ET182"/>
          <cell r="EU182"/>
          <cell r="EV182"/>
          <cell r="EW182"/>
          <cell r="EX182"/>
          <cell r="EY182"/>
          <cell r="EZ182"/>
          <cell r="FA182"/>
          <cell r="FB182"/>
          <cell r="FC182"/>
          <cell r="FD182"/>
          <cell r="FE182"/>
          <cell r="FF182"/>
          <cell r="FG182"/>
          <cell r="FH182"/>
          <cell r="FI182"/>
          <cell r="FJ182"/>
          <cell r="FK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  <cell r="T183"/>
          <cell r="U183"/>
          <cell r="V183"/>
          <cell r="W183"/>
          <cell r="X183"/>
          <cell r="Y183"/>
          <cell r="Z183"/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/>
          <cell r="AX183"/>
          <cell r="AY183"/>
          <cell r="AZ183"/>
          <cell r="BA183"/>
          <cell r="BB183"/>
          <cell r="BC183"/>
          <cell r="BD183"/>
          <cell r="BE183"/>
          <cell r="BF183"/>
          <cell r="BG183"/>
          <cell r="BH183"/>
          <cell r="BI183"/>
          <cell r="BJ183"/>
          <cell r="BK183"/>
          <cell r="BL183"/>
          <cell r="BM183"/>
          <cell r="BN183"/>
          <cell r="BO183"/>
          <cell r="BP183"/>
          <cell r="BQ183"/>
          <cell r="BR183"/>
          <cell r="BS183"/>
          <cell r="BT183"/>
          <cell r="BU183"/>
          <cell r="BV183"/>
          <cell r="BW183"/>
          <cell r="BX183"/>
          <cell r="BY183"/>
          <cell r="BZ183"/>
          <cell r="CA183"/>
          <cell r="CB183"/>
          <cell r="CC183"/>
          <cell r="CD183"/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  <cell r="CP183"/>
          <cell r="CQ183"/>
          <cell r="CR183"/>
          <cell r="CS183"/>
          <cell r="CT183"/>
          <cell r="CU183"/>
          <cell r="CV183"/>
          <cell r="CW183"/>
          <cell r="CX183"/>
          <cell r="CY183"/>
          <cell r="CZ183"/>
          <cell r="DA183"/>
          <cell r="DB183"/>
          <cell r="DC183"/>
          <cell r="DD183"/>
          <cell r="DE183"/>
          <cell r="DF183"/>
          <cell r="DG183"/>
          <cell r="DH183"/>
          <cell r="DI183"/>
          <cell r="DJ183"/>
          <cell r="DK183"/>
          <cell r="DL183"/>
          <cell r="DM183"/>
          <cell r="DN183"/>
          <cell r="DO183"/>
          <cell r="DP183"/>
          <cell r="DQ183"/>
          <cell r="DR183"/>
          <cell r="DS183"/>
          <cell r="DT183"/>
          <cell r="DU183"/>
          <cell r="DV183"/>
          <cell r="DW183"/>
          <cell r="DX183"/>
          <cell r="DY183"/>
          <cell r="DZ183"/>
          <cell r="EA183"/>
          <cell r="EB183"/>
          <cell r="EC183"/>
          <cell r="ED183"/>
          <cell r="EE183"/>
          <cell r="EF183"/>
          <cell r="EG183"/>
          <cell r="EH183"/>
          <cell r="EI183"/>
          <cell r="EJ183"/>
          <cell r="EK183"/>
          <cell r="EL183"/>
          <cell r="EM183"/>
          <cell r="EN183"/>
          <cell r="EO183"/>
          <cell r="EP183"/>
          <cell r="EQ183"/>
          <cell r="ER183"/>
          <cell r="ES183"/>
          <cell r="ET183"/>
          <cell r="EU183"/>
          <cell r="EV183"/>
          <cell r="EW183"/>
          <cell r="EX183"/>
          <cell r="EY183"/>
          <cell r="EZ183"/>
          <cell r="FA183"/>
          <cell r="FB183"/>
          <cell r="FC183"/>
          <cell r="FD183"/>
          <cell r="FE183"/>
          <cell r="FF183"/>
          <cell r="FG183"/>
          <cell r="FH183"/>
          <cell r="FI183"/>
          <cell r="FJ183"/>
          <cell r="FK183"/>
        </row>
        <row r="184">
          <cell r="A184" t="str">
            <v>Tuesday, Sep 10, 2024 09:37:35 AM GMT-7 - Cash Basis</v>
          </cell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/>
          <cell r="T184"/>
          <cell r="U184"/>
          <cell r="V184"/>
          <cell r="W184"/>
          <cell r="X184"/>
          <cell r="Y184"/>
          <cell r="Z184"/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/>
          <cell r="BG184"/>
          <cell r="BH184"/>
          <cell r="BI184"/>
          <cell r="BJ184"/>
          <cell r="BK184"/>
          <cell r="BL184"/>
          <cell r="BM184"/>
          <cell r="BN184"/>
          <cell r="BO184"/>
          <cell r="BP184"/>
          <cell r="BQ184"/>
          <cell r="BR184"/>
          <cell r="BS184"/>
          <cell r="BT184"/>
          <cell r="BU184"/>
          <cell r="BV184"/>
          <cell r="BW184"/>
          <cell r="BX184"/>
          <cell r="BY184"/>
          <cell r="BZ184"/>
          <cell r="CA184"/>
          <cell r="CB184"/>
          <cell r="CC184"/>
          <cell r="CD184"/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  <cell r="CP184"/>
          <cell r="CQ184"/>
          <cell r="CR184"/>
          <cell r="CS184"/>
          <cell r="CT184"/>
          <cell r="CU184"/>
          <cell r="CV184"/>
          <cell r="CW184"/>
          <cell r="CX184"/>
          <cell r="CY184"/>
          <cell r="CZ184"/>
          <cell r="DA184"/>
          <cell r="DB184"/>
          <cell r="DC184"/>
          <cell r="DD184"/>
          <cell r="DE184"/>
          <cell r="DF184"/>
          <cell r="DG184"/>
          <cell r="DH184"/>
          <cell r="DI184"/>
          <cell r="DJ184"/>
          <cell r="DK184"/>
          <cell r="DL184"/>
          <cell r="DM184"/>
          <cell r="DN184"/>
          <cell r="DO184"/>
          <cell r="DP184"/>
          <cell r="DQ184"/>
          <cell r="DR184"/>
          <cell r="DS184"/>
          <cell r="DT184"/>
          <cell r="DU184"/>
          <cell r="DV184"/>
          <cell r="DW184"/>
          <cell r="DX184"/>
          <cell r="DY184"/>
          <cell r="DZ184"/>
          <cell r="EA184"/>
          <cell r="EB184"/>
          <cell r="EC184"/>
          <cell r="ED184"/>
          <cell r="EE184"/>
          <cell r="EF184"/>
          <cell r="EG184"/>
          <cell r="EH184"/>
          <cell r="EI184"/>
          <cell r="EJ184"/>
          <cell r="EK184"/>
          <cell r="EL184"/>
          <cell r="EM184"/>
          <cell r="EN184"/>
          <cell r="EO184"/>
          <cell r="EP184"/>
          <cell r="EQ184"/>
          <cell r="ER184"/>
          <cell r="ES184"/>
          <cell r="ET184"/>
          <cell r="EU184"/>
          <cell r="EV184"/>
          <cell r="EW184"/>
          <cell r="EX184"/>
          <cell r="EY184"/>
          <cell r="EZ184"/>
          <cell r="FA184"/>
          <cell r="FB184"/>
          <cell r="FC184"/>
          <cell r="FD184"/>
          <cell r="FE184"/>
          <cell r="FF184"/>
          <cell r="FG184"/>
          <cell r="FH184"/>
          <cell r="FI184"/>
          <cell r="FJ184"/>
          <cell r="FK184"/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CCD6-C803-4320-ADB2-423E6E7399D4}">
  <sheetPr>
    <tabColor rgb="FFFFFF00"/>
    <outlinePr summaryBelow="0" summaryRight="0"/>
  </sheetPr>
  <dimension ref="A1:I45"/>
  <sheetViews>
    <sheetView workbookViewId="0">
      <pane ySplit="1" topLeftCell="A26" activePane="bottomLeft" state="frozen"/>
      <selection pane="bottomLeft" activeCell="B2" sqref="B2"/>
    </sheetView>
  </sheetViews>
  <sheetFormatPr defaultColWidth="12.6640625" defaultRowHeight="15" customHeight="1" x14ac:dyDescent="0.3"/>
  <cols>
    <col min="1" max="1" width="17.21875" style="1" customWidth="1"/>
    <col min="2" max="2" width="12.6640625" style="1"/>
    <col min="3" max="3" width="25.77734375" style="1" customWidth="1"/>
    <col min="4" max="4" width="12.6640625" style="1"/>
    <col min="5" max="5" width="17.44140625" style="1" customWidth="1"/>
    <col min="6" max="16384" width="12.6640625" style="1"/>
  </cols>
  <sheetData>
    <row r="1" spans="1:9" ht="15" customHeight="1" x14ac:dyDescent="0.3">
      <c r="A1" s="126" t="s">
        <v>1</v>
      </c>
      <c r="B1" s="127" t="s">
        <v>55</v>
      </c>
      <c r="C1" s="128" t="s">
        <v>203</v>
      </c>
      <c r="D1" s="127" t="s">
        <v>77</v>
      </c>
      <c r="E1" s="127" t="s">
        <v>204</v>
      </c>
      <c r="F1" s="127" t="s">
        <v>205</v>
      </c>
      <c r="G1" s="127" t="s">
        <v>206</v>
      </c>
      <c r="H1" s="127" t="s">
        <v>71</v>
      </c>
    </row>
    <row r="2" spans="1:9" ht="13.8" x14ac:dyDescent="0.3">
      <c r="A2" s="112" t="s">
        <v>94</v>
      </c>
      <c r="B2" s="129">
        <v>44778</v>
      </c>
      <c r="C2" s="130">
        <v>157000</v>
      </c>
      <c r="D2" s="131"/>
      <c r="E2" s="131"/>
      <c r="F2" s="131"/>
      <c r="G2" s="132" t="s">
        <v>82</v>
      </c>
      <c r="H2" s="131" t="s">
        <v>207</v>
      </c>
    </row>
    <row r="3" spans="1:9" ht="15" customHeight="1" x14ac:dyDescent="0.3">
      <c r="A3" s="47" t="s">
        <v>10</v>
      </c>
      <c r="B3" s="133">
        <v>45303</v>
      </c>
      <c r="C3" s="130">
        <v>90000</v>
      </c>
      <c r="D3" s="131" t="s">
        <v>208</v>
      </c>
      <c r="E3" s="131" t="s">
        <v>209</v>
      </c>
      <c r="F3" s="131" t="s">
        <v>210</v>
      </c>
      <c r="G3" s="132" t="s">
        <v>82</v>
      </c>
      <c r="H3" s="131" t="s">
        <v>207</v>
      </c>
    </row>
    <row r="4" spans="1:9" ht="13.8" x14ac:dyDescent="0.3">
      <c r="A4" s="61" t="s">
        <v>13</v>
      </c>
      <c r="B4" s="129">
        <v>45534</v>
      </c>
      <c r="C4" s="130">
        <v>65100</v>
      </c>
      <c r="D4" s="131" t="s">
        <v>115</v>
      </c>
      <c r="E4" s="131"/>
      <c r="F4" s="131" t="s">
        <v>106</v>
      </c>
      <c r="G4" s="132" t="s">
        <v>82</v>
      </c>
      <c r="H4" s="131" t="s">
        <v>207</v>
      </c>
    </row>
    <row r="5" spans="1:9" ht="13.8" x14ac:dyDescent="0.3">
      <c r="A5" s="112" t="s">
        <v>95</v>
      </c>
      <c r="B5" s="129">
        <v>44940</v>
      </c>
      <c r="C5" s="130">
        <v>19453.88</v>
      </c>
      <c r="D5" s="131"/>
      <c r="E5" s="131"/>
      <c r="F5" s="131"/>
      <c r="G5" s="132" t="s">
        <v>82</v>
      </c>
      <c r="H5" s="131" t="s">
        <v>207</v>
      </c>
    </row>
    <row r="6" spans="1:9" ht="13.8" x14ac:dyDescent="0.3">
      <c r="A6" s="112" t="s">
        <v>96</v>
      </c>
      <c r="B6" s="129">
        <v>44826</v>
      </c>
      <c r="C6" s="130">
        <v>175000</v>
      </c>
      <c r="D6" s="131"/>
      <c r="E6" s="131"/>
      <c r="F6" s="131"/>
      <c r="G6" s="132" t="s">
        <v>82</v>
      </c>
      <c r="H6" s="131" t="s">
        <v>207</v>
      </c>
    </row>
    <row r="7" spans="1:9" ht="15" customHeight="1" x14ac:dyDescent="0.3">
      <c r="A7" s="6" t="s">
        <v>14</v>
      </c>
      <c r="B7" s="133">
        <v>45499</v>
      </c>
      <c r="C7" s="130">
        <v>46000</v>
      </c>
      <c r="D7" s="131" t="s">
        <v>144</v>
      </c>
      <c r="E7" s="131" t="s">
        <v>209</v>
      </c>
      <c r="F7" s="131" t="s">
        <v>211</v>
      </c>
      <c r="G7" s="132" t="s">
        <v>82</v>
      </c>
      <c r="H7" s="131" t="s">
        <v>207</v>
      </c>
    </row>
    <row r="8" spans="1:9" ht="15" customHeight="1" x14ac:dyDescent="0.3">
      <c r="A8" s="47" t="s">
        <v>15</v>
      </c>
      <c r="B8" s="133">
        <v>45324</v>
      </c>
      <c r="C8" s="130">
        <v>100000</v>
      </c>
      <c r="D8" s="131" t="s">
        <v>212</v>
      </c>
      <c r="E8" s="131" t="s">
        <v>103</v>
      </c>
      <c r="F8" s="131" t="s">
        <v>106</v>
      </c>
      <c r="G8" s="132" t="s">
        <v>82</v>
      </c>
      <c r="H8" s="131" t="s">
        <v>207</v>
      </c>
      <c r="I8" s="61" t="s">
        <v>213</v>
      </c>
    </row>
    <row r="9" spans="1:9" ht="13.8" x14ac:dyDescent="0.3">
      <c r="A9" s="58" t="s">
        <v>16</v>
      </c>
      <c r="B9" s="133">
        <v>45461</v>
      </c>
      <c r="C9" s="130">
        <v>131000</v>
      </c>
      <c r="D9" s="131" t="s">
        <v>124</v>
      </c>
      <c r="E9" s="131" t="s">
        <v>132</v>
      </c>
      <c r="F9" s="131" t="s">
        <v>106</v>
      </c>
      <c r="G9" s="132" t="s">
        <v>82</v>
      </c>
      <c r="H9" s="131" t="s">
        <v>207</v>
      </c>
    </row>
    <row r="10" spans="1:9" ht="15" customHeight="1" x14ac:dyDescent="0.3">
      <c r="A10" s="6" t="s">
        <v>17</v>
      </c>
      <c r="B10" s="133">
        <v>45499</v>
      </c>
      <c r="C10" s="130">
        <v>46500</v>
      </c>
      <c r="D10" s="131" t="s">
        <v>108</v>
      </c>
      <c r="E10" s="131" t="s">
        <v>214</v>
      </c>
      <c r="F10" s="131" t="s">
        <v>106</v>
      </c>
      <c r="G10" s="132" t="s">
        <v>215</v>
      </c>
      <c r="H10" s="131" t="s">
        <v>207</v>
      </c>
    </row>
    <row r="11" spans="1:9" ht="13.8" x14ac:dyDescent="0.3">
      <c r="A11" s="61" t="s">
        <v>100</v>
      </c>
      <c r="B11" s="129">
        <v>44951</v>
      </c>
      <c r="C11" s="130">
        <v>225000</v>
      </c>
      <c r="D11" s="131"/>
      <c r="E11" s="131"/>
      <c r="F11" s="131"/>
      <c r="G11" s="132" t="s">
        <v>82</v>
      </c>
      <c r="H11" s="131" t="s">
        <v>207</v>
      </c>
    </row>
    <row r="12" spans="1:9" ht="13.8" x14ac:dyDescent="0.3">
      <c r="A12" s="58" t="s">
        <v>18</v>
      </c>
      <c r="B12" s="133">
        <v>45470</v>
      </c>
      <c r="C12" s="130">
        <v>90000</v>
      </c>
      <c r="D12" s="131" t="s">
        <v>108</v>
      </c>
      <c r="E12" s="131" t="s">
        <v>132</v>
      </c>
      <c r="F12" s="131" t="s">
        <v>216</v>
      </c>
      <c r="G12" s="132" t="s">
        <v>82</v>
      </c>
      <c r="H12" s="131" t="s">
        <v>207</v>
      </c>
    </row>
    <row r="13" spans="1:9" ht="13.8" x14ac:dyDescent="0.3">
      <c r="A13" s="61" t="s">
        <v>99</v>
      </c>
      <c r="B13" s="129">
        <v>44929</v>
      </c>
      <c r="C13" s="130">
        <v>155000</v>
      </c>
      <c r="D13" s="131"/>
      <c r="E13" s="131"/>
      <c r="F13" s="131"/>
      <c r="G13" s="132" t="s">
        <v>82</v>
      </c>
      <c r="H13" s="131" t="s">
        <v>207</v>
      </c>
    </row>
    <row r="14" spans="1:9" ht="13.8" x14ac:dyDescent="0.3">
      <c r="A14" s="61" t="s">
        <v>217</v>
      </c>
      <c r="B14" s="134">
        <v>45460</v>
      </c>
      <c r="C14" s="130">
        <v>30000</v>
      </c>
      <c r="D14" s="131" t="s">
        <v>108</v>
      </c>
      <c r="E14" s="131" t="s">
        <v>132</v>
      </c>
      <c r="F14" s="131" t="s">
        <v>113</v>
      </c>
      <c r="G14" s="131" t="s">
        <v>215</v>
      </c>
      <c r="H14" s="131" t="s">
        <v>207</v>
      </c>
    </row>
    <row r="15" spans="1:9" ht="15" customHeight="1" thickBot="1" x14ac:dyDescent="0.35">
      <c r="A15" s="6" t="s">
        <v>20</v>
      </c>
      <c r="B15" s="133">
        <v>45498</v>
      </c>
      <c r="C15" s="130">
        <v>130000</v>
      </c>
      <c r="D15" s="131" t="s">
        <v>144</v>
      </c>
      <c r="E15" s="131" t="s">
        <v>132</v>
      </c>
      <c r="F15" s="131" t="s">
        <v>218</v>
      </c>
      <c r="G15" s="132" t="s">
        <v>115</v>
      </c>
      <c r="H15" s="131" t="s">
        <v>207</v>
      </c>
      <c r="I15" s="61" t="s">
        <v>219</v>
      </c>
    </row>
    <row r="16" spans="1:9" ht="15" customHeight="1" x14ac:dyDescent="0.3">
      <c r="A16" s="135" t="s">
        <v>22</v>
      </c>
      <c r="B16" s="133">
        <v>45436</v>
      </c>
      <c r="C16" s="130">
        <v>80000</v>
      </c>
      <c r="D16" s="131" t="s">
        <v>112</v>
      </c>
      <c r="E16" s="131" t="s">
        <v>103</v>
      </c>
      <c r="F16" s="131" t="s">
        <v>110</v>
      </c>
      <c r="G16" s="132" t="s">
        <v>82</v>
      </c>
      <c r="H16" s="131" t="s">
        <v>207</v>
      </c>
    </row>
    <row r="17" spans="1:9" ht="15" customHeight="1" x14ac:dyDescent="0.3">
      <c r="A17" s="47" t="s">
        <v>23</v>
      </c>
      <c r="B17" s="133">
        <v>45443</v>
      </c>
      <c r="C17" s="130">
        <v>70000</v>
      </c>
      <c r="D17" s="131" t="s">
        <v>102</v>
      </c>
      <c r="E17" s="131" t="s">
        <v>209</v>
      </c>
      <c r="F17" s="131" t="s">
        <v>187</v>
      </c>
      <c r="G17" s="132" t="s">
        <v>82</v>
      </c>
      <c r="H17" s="131" t="s">
        <v>207</v>
      </c>
    </row>
    <row r="18" spans="1:9" ht="13.8" x14ac:dyDescent="0.3">
      <c r="A18" s="61" t="s">
        <v>24</v>
      </c>
      <c r="B18" s="129">
        <v>45524</v>
      </c>
      <c r="C18" s="130">
        <v>36360</v>
      </c>
      <c r="D18" s="131" t="s">
        <v>144</v>
      </c>
      <c r="E18" s="131"/>
      <c r="F18" s="131" t="s">
        <v>220</v>
      </c>
      <c r="G18" s="132" t="s">
        <v>82</v>
      </c>
      <c r="H18" s="131" t="s">
        <v>207</v>
      </c>
    </row>
    <row r="19" spans="1:9" ht="14.4" thickBot="1" x14ac:dyDescent="0.35">
      <c r="A19" s="61" t="s">
        <v>221</v>
      </c>
      <c r="B19" s="131"/>
      <c r="C19" s="130">
        <v>36360</v>
      </c>
      <c r="D19" s="131" t="s">
        <v>144</v>
      </c>
      <c r="E19" s="131" t="s">
        <v>132</v>
      </c>
      <c r="F19" s="131" t="s">
        <v>220</v>
      </c>
      <c r="G19" s="132" t="s">
        <v>115</v>
      </c>
      <c r="H19" s="131" t="s">
        <v>207</v>
      </c>
    </row>
    <row r="20" spans="1:9" ht="15" customHeight="1" thickBot="1" x14ac:dyDescent="0.35">
      <c r="A20" s="136" t="s">
        <v>25</v>
      </c>
      <c r="B20" s="133">
        <v>45442</v>
      </c>
      <c r="C20" s="130">
        <v>30000</v>
      </c>
      <c r="D20" s="131" t="s">
        <v>102</v>
      </c>
      <c r="E20" s="131" t="s">
        <v>222</v>
      </c>
      <c r="F20" s="131" t="s">
        <v>223</v>
      </c>
      <c r="G20" s="132" t="s">
        <v>82</v>
      </c>
      <c r="H20" s="131" t="s">
        <v>207</v>
      </c>
    </row>
    <row r="21" spans="1:9" ht="15" customHeight="1" thickBot="1" x14ac:dyDescent="0.35">
      <c r="A21" s="137" t="s">
        <v>26</v>
      </c>
      <c r="B21" s="133">
        <v>45476</v>
      </c>
      <c r="C21" s="130">
        <v>15000</v>
      </c>
      <c r="D21" s="131" t="s">
        <v>102</v>
      </c>
      <c r="E21" s="131" t="s">
        <v>155</v>
      </c>
      <c r="F21" s="131" t="s">
        <v>224</v>
      </c>
      <c r="G21" s="132" t="s">
        <v>82</v>
      </c>
      <c r="H21" s="131" t="s">
        <v>207</v>
      </c>
    </row>
    <row r="22" spans="1:9" ht="13.8" x14ac:dyDescent="0.3">
      <c r="A22" s="61" t="s">
        <v>93</v>
      </c>
      <c r="B22" s="129">
        <v>44564</v>
      </c>
      <c r="C22" s="130">
        <v>250000</v>
      </c>
      <c r="D22" s="131"/>
      <c r="E22" s="131"/>
      <c r="F22" s="131"/>
      <c r="G22" s="132" t="s">
        <v>82</v>
      </c>
      <c r="H22" s="131" t="s">
        <v>207</v>
      </c>
    </row>
    <row r="23" spans="1:9" ht="15" customHeight="1" x14ac:dyDescent="0.3">
      <c r="A23" s="47" t="s">
        <v>27</v>
      </c>
      <c r="B23" s="133">
        <v>45177</v>
      </c>
      <c r="C23" s="130">
        <v>87000</v>
      </c>
      <c r="D23" s="138"/>
      <c r="E23" s="131" t="s">
        <v>225</v>
      </c>
      <c r="F23" s="131" t="s">
        <v>161</v>
      </c>
      <c r="G23" s="132" t="s">
        <v>82</v>
      </c>
      <c r="H23" s="131" t="s">
        <v>207</v>
      </c>
    </row>
    <row r="24" spans="1:9" ht="15" customHeight="1" x14ac:dyDescent="0.3">
      <c r="A24" s="47" t="s">
        <v>181</v>
      </c>
      <c r="B24" s="133">
        <v>45505</v>
      </c>
      <c r="C24" s="130">
        <v>75000</v>
      </c>
      <c r="D24" s="131" t="s">
        <v>115</v>
      </c>
      <c r="E24" s="131" t="s">
        <v>132</v>
      </c>
      <c r="F24" s="131" t="s">
        <v>226</v>
      </c>
      <c r="G24" s="132" t="s">
        <v>115</v>
      </c>
      <c r="H24" s="131" t="s">
        <v>207</v>
      </c>
      <c r="I24" s="61" t="s">
        <v>219</v>
      </c>
    </row>
    <row r="25" spans="1:9" ht="15" customHeight="1" x14ac:dyDescent="0.3">
      <c r="A25" s="60" t="s">
        <v>28</v>
      </c>
      <c r="B25" s="133">
        <v>45232</v>
      </c>
      <c r="C25" s="130"/>
      <c r="D25" s="138"/>
      <c r="E25" s="131" t="s">
        <v>209</v>
      </c>
      <c r="F25" s="131" t="s">
        <v>195</v>
      </c>
      <c r="G25" s="132" t="s">
        <v>82</v>
      </c>
      <c r="H25" s="131" t="s">
        <v>207</v>
      </c>
      <c r="I25" s="61" t="s">
        <v>227</v>
      </c>
    </row>
    <row r="26" spans="1:9" ht="13.8" x14ac:dyDescent="0.3">
      <c r="A26" s="59" t="s">
        <v>29</v>
      </c>
      <c r="B26" s="133">
        <v>45448</v>
      </c>
      <c r="C26" s="130">
        <v>60000</v>
      </c>
      <c r="D26" s="131" t="s">
        <v>115</v>
      </c>
      <c r="E26" s="131" t="s">
        <v>228</v>
      </c>
      <c r="F26" s="131" t="s">
        <v>110</v>
      </c>
      <c r="G26" s="132" t="s">
        <v>82</v>
      </c>
      <c r="H26" s="131" t="s">
        <v>207</v>
      </c>
    </row>
    <row r="27" spans="1:9" ht="13.8" x14ac:dyDescent="0.3">
      <c r="A27" s="61" t="s">
        <v>229</v>
      </c>
      <c r="B27" s="131"/>
      <c r="C27" s="130">
        <v>44100</v>
      </c>
      <c r="D27" s="131" t="s">
        <v>102</v>
      </c>
      <c r="E27" s="131" t="s">
        <v>132</v>
      </c>
      <c r="F27" s="131" t="s">
        <v>110</v>
      </c>
      <c r="G27" s="132" t="s">
        <v>82</v>
      </c>
      <c r="H27" s="131" t="s">
        <v>207</v>
      </c>
    </row>
    <row r="28" spans="1:9" ht="13.8" x14ac:dyDescent="0.3">
      <c r="A28" s="61" t="s">
        <v>30</v>
      </c>
      <c r="B28" s="129">
        <v>45516</v>
      </c>
      <c r="C28" s="130">
        <v>44100</v>
      </c>
      <c r="D28" s="131" t="s">
        <v>102</v>
      </c>
      <c r="E28" s="131"/>
      <c r="F28" s="131" t="s">
        <v>110</v>
      </c>
      <c r="G28" s="132" t="s">
        <v>82</v>
      </c>
      <c r="H28" s="131" t="s">
        <v>207</v>
      </c>
    </row>
    <row r="29" spans="1:9" ht="15" customHeight="1" x14ac:dyDescent="0.3">
      <c r="A29" s="6" t="s">
        <v>31</v>
      </c>
      <c r="B29" s="133">
        <v>45161</v>
      </c>
      <c r="C29" s="130">
        <v>105000</v>
      </c>
      <c r="D29" s="138"/>
      <c r="E29" s="131" t="s">
        <v>209</v>
      </c>
      <c r="F29" s="131" t="s">
        <v>187</v>
      </c>
      <c r="G29" s="132" t="s">
        <v>82</v>
      </c>
      <c r="H29" s="131" t="s">
        <v>207</v>
      </c>
    </row>
    <row r="30" spans="1:9" ht="15" customHeight="1" x14ac:dyDescent="0.3">
      <c r="A30" s="6" t="s">
        <v>32</v>
      </c>
      <c r="B30" s="133">
        <v>45481</v>
      </c>
      <c r="C30" s="130">
        <v>47200</v>
      </c>
      <c r="D30" s="131" t="s">
        <v>102</v>
      </c>
      <c r="E30" s="131" t="s">
        <v>132</v>
      </c>
      <c r="F30" s="131" t="s">
        <v>230</v>
      </c>
      <c r="G30" s="132" t="s">
        <v>82</v>
      </c>
      <c r="H30" s="131" t="s">
        <v>207</v>
      </c>
    </row>
    <row r="31" spans="1:9" ht="13.8" x14ac:dyDescent="0.3">
      <c r="A31" s="59" t="s">
        <v>33</v>
      </c>
      <c r="B31" s="133">
        <v>45422</v>
      </c>
      <c r="C31" s="130">
        <v>100000</v>
      </c>
      <c r="D31" s="131" t="s">
        <v>208</v>
      </c>
      <c r="E31" s="131" t="s">
        <v>209</v>
      </c>
      <c r="F31" s="131" t="s">
        <v>159</v>
      </c>
      <c r="G31" s="132" t="s">
        <v>82</v>
      </c>
      <c r="H31" s="131" t="s">
        <v>207</v>
      </c>
    </row>
    <row r="32" spans="1:9" ht="13.8" x14ac:dyDescent="0.3">
      <c r="A32" s="61" t="s">
        <v>97</v>
      </c>
      <c r="B32" s="129">
        <v>44957</v>
      </c>
      <c r="C32" s="130">
        <v>285000</v>
      </c>
      <c r="D32" s="131"/>
      <c r="E32" s="131"/>
      <c r="F32" s="131"/>
      <c r="G32" s="132" t="s">
        <v>82</v>
      </c>
      <c r="H32" s="131" t="s">
        <v>207</v>
      </c>
    </row>
    <row r="33" spans="1:9" ht="13.8" x14ac:dyDescent="0.3">
      <c r="A33" s="59" t="s">
        <v>83</v>
      </c>
      <c r="B33" s="133">
        <v>45027</v>
      </c>
      <c r="C33" s="130"/>
      <c r="D33" s="138"/>
      <c r="E33" s="131" t="s">
        <v>132</v>
      </c>
      <c r="F33" s="131" t="s">
        <v>113</v>
      </c>
      <c r="G33" s="132" t="s">
        <v>82</v>
      </c>
      <c r="H33" s="131" t="s">
        <v>207</v>
      </c>
    </row>
    <row r="34" spans="1:9" ht="13.8" x14ac:dyDescent="0.3">
      <c r="A34" s="59" t="s">
        <v>34</v>
      </c>
      <c r="B34" s="133">
        <v>45443</v>
      </c>
      <c r="C34" s="130">
        <v>35000</v>
      </c>
      <c r="D34" s="131" t="s">
        <v>112</v>
      </c>
      <c r="E34" s="131" t="s">
        <v>231</v>
      </c>
      <c r="F34" s="131" t="s">
        <v>183</v>
      </c>
      <c r="G34" s="132" t="s">
        <v>82</v>
      </c>
      <c r="H34" s="131" t="s">
        <v>207</v>
      </c>
    </row>
    <row r="35" spans="1:9" ht="14.4" x14ac:dyDescent="0.3">
      <c r="A35" s="6" t="s">
        <v>189</v>
      </c>
      <c r="B35" s="133">
        <v>45443</v>
      </c>
      <c r="C35" s="130">
        <f>345700-279000</f>
        <v>66700</v>
      </c>
      <c r="D35" s="131" t="s">
        <v>108</v>
      </c>
      <c r="E35" s="131" t="s">
        <v>132</v>
      </c>
      <c r="F35" s="131" t="s">
        <v>141</v>
      </c>
      <c r="G35" s="132" t="s">
        <v>115</v>
      </c>
      <c r="H35" s="131" t="s">
        <v>207</v>
      </c>
      <c r="I35" s="61" t="s">
        <v>219</v>
      </c>
    </row>
    <row r="36" spans="1:9" ht="13.8" x14ac:dyDescent="0.3">
      <c r="A36" s="61" t="s">
        <v>98</v>
      </c>
      <c r="B36" s="129">
        <v>45012</v>
      </c>
      <c r="C36" s="130">
        <v>50000</v>
      </c>
      <c r="D36" s="131"/>
      <c r="E36" s="131"/>
      <c r="F36" s="131"/>
      <c r="G36" s="132" t="s">
        <v>82</v>
      </c>
      <c r="H36" s="131" t="s">
        <v>207</v>
      </c>
    </row>
    <row r="37" spans="1:9" ht="14.4" x14ac:dyDescent="0.3">
      <c r="A37" s="6" t="s">
        <v>35</v>
      </c>
      <c r="B37" s="133">
        <v>45530</v>
      </c>
      <c r="C37" s="130">
        <v>75000</v>
      </c>
      <c r="D37" s="131" t="s">
        <v>144</v>
      </c>
      <c r="E37" s="131"/>
      <c r="F37" s="131" t="s">
        <v>113</v>
      </c>
      <c r="G37" s="132" t="s">
        <v>82</v>
      </c>
      <c r="H37" s="131" t="s">
        <v>207</v>
      </c>
    </row>
    <row r="38" spans="1:9" ht="14.4" x14ac:dyDescent="0.3">
      <c r="A38" s="6" t="s">
        <v>36</v>
      </c>
      <c r="B38" s="133">
        <v>45490</v>
      </c>
      <c r="C38" s="130">
        <v>46500</v>
      </c>
      <c r="D38" s="131" t="s">
        <v>102</v>
      </c>
      <c r="E38" s="131" t="s">
        <v>209</v>
      </c>
      <c r="F38" s="131" t="s">
        <v>232</v>
      </c>
      <c r="G38" s="132" t="s">
        <v>82</v>
      </c>
      <c r="H38" s="131" t="s">
        <v>207</v>
      </c>
    </row>
    <row r="39" spans="1:9" ht="14.4" x14ac:dyDescent="0.3">
      <c r="A39" s="6" t="s">
        <v>37</v>
      </c>
      <c r="B39" s="133">
        <v>45470</v>
      </c>
      <c r="C39" s="130">
        <v>70000</v>
      </c>
      <c r="D39" s="131" t="s">
        <v>108</v>
      </c>
      <c r="E39" s="131" t="s">
        <v>233</v>
      </c>
      <c r="F39" s="131" t="s">
        <v>234</v>
      </c>
      <c r="G39" s="132" t="s">
        <v>82</v>
      </c>
      <c r="H39" s="131" t="s">
        <v>207</v>
      </c>
    </row>
    <row r="40" spans="1:9" ht="13.8" x14ac:dyDescent="0.3">
      <c r="A40" s="61" t="s">
        <v>90</v>
      </c>
      <c r="B40" s="129">
        <v>44939</v>
      </c>
      <c r="C40" s="130">
        <v>166000</v>
      </c>
      <c r="D40" s="131"/>
      <c r="E40" s="131"/>
      <c r="F40" s="131"/>
      <c r="G40" s="132" t="s">
        <v>82</v>
      </c>
      <c r="H40" s="131" t="s">
        <v>207</v>
      </c>
    </row>
    <row r="41" spans="1:9" ht="14.4" x14ac:dyDescent="0.3">
      <c r="A41" s="6" t="s">
        <v>38</v>
      </c>
      <c r="B41" s="139">
        <v>45503</v>
      </c>
      <c r="C41" s="130">
        <v>70000</v>
      </c>
      <c r="D41" s="131" t="s">
        <v>102</v>
      </c>
      <c r="E41" s="131" t="s">
        <v>209</v>
      </c>
      <c r="F41" s="131" t="s">
        <v>156</v>
      </c>
      <c r="G41" s="132" t="s">
        <v>82</v>
      </c>
      <c r="H41" s="131" t="s">
        <v>207</v>
      </c>
    </row>
    <row r="42" spans="1:9" ht="14.4" x14ac:dyDescent="0.3">
      <c r="A42" s="6" t="s">
        <v>39</v>
      </c>
      <c r="B42" s="133">
        <v>45497</v>
      </c>
      <c r="C42" s="130">
        <v>39800</v>
      </c>
      <c r="D42" s="131" t="s">
        <v>108</v>
      </c>
      <c r="E42" s="131" t="s">
        <v>214</v>
      </c>
      <c r="F42" s="131" t="s">
        <v>106</v>
      </c>
      <c r="G42" s="132" t="s">
        <v>215</v>
      </c>
      <c r="H42" s="131" t="s">
        <v>207</v>
      </c>
    </row>
    <row r="43" spans="1:9" ht="13.8" x14ac:dyDescent="0.3">
      <c r="A43" s="61" t="s">
        <v>40</v>
      </c>
      <c r="B43" s="131"/>
      <c r="C43" s="130">
        <f>206200-174200</f>
        <v>32000</v>
      </c>
      <c r="D43" s="131" t="s">
        <v>235</v>
      </c>
      <c r="E43" s="131" t="s">
        <v>236</v>
      </c>
      <c r="F43" s="131" t="s">
        <v>113</v>
      </c>
      <c r="G43" s="131" t="s">
        <v>215</v>
      </c>
      <c r="H43" s="131" t="s">
        <v>207</v>
      </c>
    </row>
    <row r="44" spans="1:9" ht="14.4" x14ac:dyDescent="0.3">
      <c r="A44" s="6" t="s">
        <v>41</v>
      </c>
      <c r="B44" s="133">
        <v>45475</v>
      </c>
      <c r="C44" s="130">
        <v>65000</v>
      </c>
      <c r="D44" s="131" t="s">
        <v>112</v>
      </c>
      <c r="E44" s="131" t="s">
        <v>132</v>
      </c>
      <c r="F44" s="131" t="s">
        <v>110</v>
      </c>
      <c r="G44" s="132" t="s">
        <v>82</v>
      </c>
      <c r="H44" s="131" t="s">
        <v>207</v>
      </c>
    </row>
    <row r="45" spans="1:9" ht="13.8" x14ac:dyDescent="0.3">
      <c r="A45" s="112" t="s">
        <v>162</v>
      </c>
      <c r="B45" s="129">
        <v>44957</v>
      </c>
      <c r="C45" s="130"/>
      <c r="D45" s="131"/>
      <c r="E45" s="131"/>
      <c r="F45" s="131"/>
      <c r="G45" s="132" t="s">
        <v>82</v>
      </c>
      <c r="H45" s="131" t="s">
        <v>207</v>
      </c>
    </row>
  </sheetData>
  <autoFilter ref="A1:Z45" xr:uid="{00000000-0009-0000-0000-000009000000}"/>
  <dataValidations count="1">
    <dataValidation type="list" allowBlank="1" showErrorMessage="1" sqref="G2:G45" xr:uid="{2B058D31-DE0E-4253-AE2F-2C1F69F5CCB4}">
      <formula1>"Flip,Rental,Wholesale,Novation"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990AF-1458-4140-BBD6-99BD657EA170}">
  <sheetPr>
    <tabColor rgb="FFCC0000"/>
    <outlinePr summaryBelow="0" summaryRight="0"/>
  </sheetPr>
  <dimension ref="A1:AB950"/>
  <sheetViews>
    <sheetView workbookViewId="0">
      <pane xSplit="1" ySplit="1" topLeftCell="B5" activePane="bottomRight" state="frozen"/>
      <selection activeCell="B2" sqref="B2"/>
      <selection pane="topRight" activeCell="B2" sqref="B2"/>
      <selection pane="bottomLeft" activeCell="B2" sqref="B2"/>
      <selection pane="bottomRight" activeCell="E19" sqref="E19"/>
    </sheetView>
  </sheetViews>
  <sheetFormatPr defaultColWidth="12.6640625" defaultRowHeight="15" customHeight="1" x14ac:dyDescent="0.3"/>
  <cols>
    <col min="1" max="1" width="35.44140625" style="1" customWidth="1"/>
    <col min="2" max="2" width="16.44140625" style="1" customWidth="1"/>
    <col min="3" max="6" width="12.6640625" style="1" customWidth="1"/>
    <col min="7" max="24" width="12.6640625" style="1"/>
    <col min="25" max="25" width="13.44140625" style="1" customWidth="1"/>
    <col min="26" max="16384" width="12.6640625" style="1"/>
  </cols>
  <sheetData>
    <row r="1" spans="1:28" ht="15.75" customHeight="1" x14ac:dyDescent="0.3">
      <c r="A1" s="28" t="s">
        <v>52</v>
      </c>
      <c r="B1" s="29">
        <f ca="1">TODAY()</f>
        <v>45579</v>
      </c>
      <c r="C1" s="30"/>
      <c r="D1" s="30"/>
      <c r="E1" s="31"/>
      <c r="F1" s="32" t="s">
        <v>53</v>
      </c>
      <c r="G1" s="33">
        <f>'[1]Kiavi Loans'!G1</f>
        <v>45545</v>
      </c>
      <c r="H1" s="34"/>
      <c r="I1" s="34"/>
      <c r="J1" s="34"/>
      <c r="K1" s="34"/>
      <c r="L1" s="35"/>
      <c r="M1" s="35"/>
      <c r="N1" s="36"/>
      <c r="O1" s="37"/>
      <c r="P1" s="37"/>
      <c r="Q1" s="37"/>
      <c r="R1" s="37"/>
      <c r="S1" s="37"/>
      <c r="T1" s="38"/>
      <c r="U1" s="31"/>
      <c r="V1" s="31"/>
      <c r="W1" s="31"/>
      <c r="X1" s="39"/>
      <c r="Y1" s="39"/>
      <c r="Z1" s="39"/>
      <c r="AA1" s="39"/>
      <c r="AB1" s="40"/>
    </row>
    <row r="2" spans="1:28" ht="15.75" customHeight="1" x14ac:dyDescent="0.3">
      <c r="A2" s="41" t="s">
        <v>1</v>
      </c>
      <c r="B2" s="42" t="s">
        <v>54</v>
      </c>
      <c r="C2" s="43" t="s">
        <v>55</v>
      </c>
      <c r="D2" s="44" t="s">
        <v>56</v>
      </c>
      <c r="E2" s="44" t="s">
        <v>57</v>
      </c>
      <c r="F2" s="45" t="s">
        <v>58</v>
      </c>
      <c r="G2" s="45" t="s">
        <v>59</v>
      </c>
      <c r="H2" s="45" t="s">
        <v>60</v>
      </c>
      <c r="I2" s="45" t="s">
        <v>61</v>
      </c>
      <c r="J2" s="45" t="s">
        <v>62</v>
      </c>
      <c r="K2" s="45" t="s">
        <v>63</v>
      </c>
      <c r="L2" s="45" t="s">
        <v>64</v>
      </c>
      <c r="M2" s="45" t="s">
        <v>65</v>
      </c>
      <c r="N2" s="45" t="s">
        <v>66</v>
      </c>
      <c r="O2" s="45" t="s">
        <v>67</v>
      </c>
      <c r="P2" s="45" t="s">
        <v>68</v>
      </c>
      <c r="Q2" s="45" t="s">
        <v>69</v>
      </c>
      <c r="R2" s="45" t="s">
        <v>70</v>
      </c>
      <c r="S2" s="45" t="s">
        <v>71</v>
      </c>
      <c r="T2" s="46" t="s">
        <v>72</v>
      </c>
      <c r="U2" s="45" t="s">
        <v>73</v>
      </c>
      <c r="V2" s="44" t="s">
        <v>74</v>
      </c>
      <c r="W2" s="44" t="s">
        <v>75</v>
      </c>
      <c r="X2" s="42" t="s">
        <v>76</v>
      </c>
      <c r="Y2" s="42" t="s">
        <v>77</v>
      </c>
      <c r="Z2" s="42" t="s">
        <v>78</v>
      </c>
      <c r="AA2" s="42" t="s">
        <v>237</v>
      </c>
      <c r="AB2" s="41" t="s">
        <v>55</v>
      </c>
    </row>
    <row r="3" spans="1:28" ht="15.75" customHeight="1" x14ac:dyDescent="0.3">
      <c r="A3" s="47" t="s">
        <v>10</v>
      </c>
      <c r="B3" s="48" t="s">
        <v>80</v>
      </c>
      <c r="C3" s="49">
        <f>VLOOKUP(A3,'[1]Property List'!$A:$B,2,FALSE)</f>
        <v>45303</v>
      </c>
      <c r="D3" s="49"/>
      <c r="E3" s="50">
        <f t="shared" ref="E3:E27" ca="1" si="0">$B$1-C3</f>
        <v>276</v>
      </c>
      <c r="F3" s="51">
        <f>IFERROR(VLOOKUP("101 Silver Lake Road Purchase Price",'[1]Balance Sheet'!$A:$B,2,0),0)</f>
        <v>353000</v>
      </c>
      <c r="G3" s="51">
        <f>IFERROR(VLOOKUP("101 Silver Lake Road Closing Costs",'[1]Balance Sheet'!$A:$B,2,0),0)</f>
        <v>19572.490000000002</v>
      </c>
      <c r="H3" s="51">
        <f>IFERROR(VLOOKUP("101 Silver Lake Road Holding Costs",'[1]Balance Sheet'!$A:$B,2,0),0)</f>
        <v>35939.06</v>
      </c>
      <c r="I3" s="51">
        <f>IFERROR(VLOOKUP(A3,'[1]Property List'!A:J,3,0),0)</f>
        <v>90000</v>
      </c>
      <c r="J3" s="51">
        <f>IFERROR(VLOOKUP("101 Silver Lake Road Construction",'[1]Balance Sheet'!$A:$B,2,0),0)</f>
        <v>98178.41</v>
      </c>
      <c r="K3" s="52">
        <f t="shared" ref="K3:K27" si="1">F3+G3+H3+J3</f>
        <v>506689.95999999996</v>
      </c>
      <c r="L3" s="51">
        <f>IFERROR(VLOOKUP("Total 101 Silver Lake Road",'[1]Balance Sheet'!$A:$B,2,0),0)</f>
        <v>506689.96</v>
      </c>
      <c r="M3" s="53"/>
      <c r="N3" s="53">
        <v>540000</v>
      </c>
      <c r="O3" s="54">
        <f t="shared" ref="O3:O6" si="2">N3*0.07</f>
        <v>37800</v>
      </c>
      <c r="P3" s="55">
        <f t="shared" ref="P3:P27" si="3">N3-O3-K3</f>
        <v>-4489.9599999999627</v>
      </c>
      <c r="Q3" s="51">
        <f>VLOOKUP(A3, '[1]Kiavi Loans'!$A$3:$H$34, 4, FALSE)</f>
        <v>465700</v>
      </c>
      <c r="R3" s="51">
        <f>VLOOKUP(A3, '[1]Kiavi Loans'!$A$3:$H$34, 5, FALSE)</f>
        <v>0</v>
      </c>
      <c r="S3" s="51" t="str">
        <f>VLOOKUP(A3,'[1]Property List'!$A:$H,8,FALSE)</f>
        <v>Kiavi</v>
      </c>
      <c r="T3" s="56">
        <f>VLOOKUP(A3, '[1]Kiavi Loans'!$A$3:$H$34, 2, FALSE)</f>
        <v>34667255</v>
      </c>
      <c r="U3" s="54">
        <f t="shared" ref="U3:U27" si="4">N3-O3-Q3</f>
        <v>36500</v>
      </c>
      <c r="V3" s="57">
        <f t="shared" ref="V3:V27" ca="1" si="5">J3/E3</f>
        <v>355.71887681159421</v>
      </c>
      <c r="W3" s="54" t="str">
        <f>VLOOKUP(A3,'[1]Property List'!$A:$H,7,FALSE)</f>
        <v>Flip</v>
      </c>
      <c r="X3" s="54"/>
      <c r="Y3" s="54" t="str">
        <f>VLOOKUP(A3,'[1]Property List'!$A:$H,4,FALSE)</f>
        <v>Referral</v>
      </c>
      <c r="Z3" s="54" t="str">
        <f>VLOOKUP(A3,'[1]Property List'!$A:$H,5,FALSE)</f>
        <v>Politti</v>
      </c>
      <c r="AA3" s="54" t="str">
        <f>VLOOKUP(A3,'[1]Property List'!$A:$H,6,FALSE)</f>
        <v>Newtown</v>
      </c>
      <c r="AB3" s="49" t="str">
        <f t="shared" ref="AB3:AB27" si="6">TEXT(C3,"mm/YYYY")</f>
        <v>01/2024</v>
      </c>
    </row>
    <row r="4" spans="1:28" ht="15.75" customHeight="1" x14ac:dyDescent="0.3">
      <c r="A4" s="6" t="s">
        <v>13</v>
      </c>
      <c r="B4" s="48" t="s">
        <v>81</v>
      </c>
      <c r="C4" s="49">
        <f>VLOOKUP(A4,'[1]Property List'!$A:$B,2,FALSE)</f>
        <v>45534</v>
      </c>
      <c r="D4" s="49"/>
      <c r="E4" s="50">
        <f t="shared" ca="1" si="0"/>
        <v>45</v>
      </c>
      <c r="F4" s="51">
        <f>IFERROR(VLOOKUP("1055 Lalor St Purchase Price",'[1]Balance Sheet'!$A:$B,2,0),0)</f>
        <v>130000</v>
      </c>
      <c r="G4" s="51">
        <f>IFERROR(VLOOKUP("1055 Lalor St Closing Costs",'[1]Balance Sheet'!$A:$B,2,0),0)</f>
        <v>38583.599999999999</v>
      </c>
      <c r="H4" s="51">
        <f>IFERROR(VLOOKUP("1055 Lalor St Holding Costs",'[1]Balance Sheet'!$A:$B,2,0),0)</f>
        <v>0</v>
      </c>
      <c r="I4" s="51">
        <f>IFERROR(VLOOKUP(A4,'[1]Property List'!A:J,3,0),0)</f>
        <v>65100</v>
      </c>
      <c r="J4" s="51">
        <f>IFERROR(VLOOKUP("1055 Lalor St Construction",'[1]Balance Sheet'!$A:$B,2,0),0)</f>
        <v>0</v>
      </c>
      <c r="K4" s="52">
        <f t="shared" si="1"/>
        <v>168583.6</v>
      </c>
      <c r="L4" s="51">
        <f>IFERROR(VLOOKUP("Total 1055 Lalor St",'[1]Balance Sheet'!$A:$B,2,0),0)</f>
        <v>168583.6</v>
      </c>
      <c r="M4" s="57"/>
      <c r="N4" s="57">
        <f>VLOOKUP(A4, '[1]Kiavi Loans'!$A$3:$H$34, 7, FALSE)</f>
        <v>325000</v>
      </c>
      <c r="O4" s="54">
        <f t="shared" si="2"/>
        <v>22750.000000000004</v>
      </c>
      <c r="P4" s="55">
        <f t="shared" si="3"/>
        <v>133666.4</v>
      </c>
      <c r="Q4" s="51">
        <f>VLOOKUP(A4, '[1]Kiavi Loans'!$A$3:$H$34, 4, FALSE)</f>
        <v>158000</v>
      </c>
      <c r="R4" s="51">
        <f>VLOOKUP(A4, '[1]Kiavi Loans'!$A$3:$H$34, 5, FALSE)</f>
        <v>65100</v>
      </c>
      <c r="S4" s="51" t="str">
        <f>VLOOKUP(A4,'[1]Property List'!$A:$H,8,FALSE)</f>
        <v>Kiavi</v>
      </c>
      <c r="T4" s="56">
        <f>VLOOKUP(A4, '[1]Kiavi Loans'!$A$3:$H$34, 2, FALSE)</f>
        <v>34795445</v>
      </c>
      <c r="U4" s="54">
        <f t="shared" si="4"/>
        <v>144250</v>
      </c>
      <c r="V4" s="57">
        <f t="shared" ca="1" si="5"/>
        <v>0</v>
      </c>
      <c r="W4" s="54" t="str">
        <f>VLOOKUP(A4,'[1]Property List'!$A:$H,7,FALSE)</f>
        <v>Flip</v>
      </c>
      <c r="X4" s="54"/>
      <c r="Y4" s="54" t="str">
        <f>VLOOKUP(A4,'[1]Property List'!$A:$H,4,FALSE)</f>
        <v>Wholesale</v>
      </c>
      <c r="Z4" s="54">
        <f>VLOOKUP(A4,'[1]Property List'!$A:$H,5,FALSE)</f>
        <v>0</v>
      </c>
      <c r="AA4" s="54" t="str">
        <f>VLOOKUP(A4,'[1]Property List'!$A:$H,6,FALSE)</f>
        <v>Hamilton</v>
      </c>
      <c r="AB4" s="49" t="str">
        <f t="shared" si="6"/>
        <v>08/2024</v>
      </c>
    </row>
    <row r="5" spans="1:28" ht="15.75" customHeight="1" x14ac:dyDescent="0.3">
      <c r="A5" s="6" t="s">
        <v>14</v>
      </c>
      <c r="B5" s="48" t="s">
        <v>81</v>
      </c>
      <c r="C5" s="49">
        <f>VLOOKUP(A5,'[1]Property List'!$A:$B,2,FALSE)</f>
        <v>45499</v>
      </c>
      <c r="D5" s="49"/>
      <c r="E5" s="50">
        <f t="shared" ca="1" si="0"/>
        <v>80</v>
      </c>
      <c r="F5" s="51">
        <f>IFERROR(VLOOKUP("132 Keswick Dr Purchase Price",'[1]Balance Sheet'!$A:$B,2,0),0)</f>
        <v>300000</v>
      </c>
      <c r="G5" s="51">
        <f>IFERROR(VLOOKUP("132 Keswick Dr Closing Costs",'[1]Balance Sheet'!$A:$B,2,0),0)</f>
        <v>19289.12</v>
      </c>
      <c r="H5" s="51">
        <f>IFERROR(VLOOKUP("132 Keswick Dr Holding Costs",'[1]Balance Sheet'!$A:$B,2,0),0)</f>
        <v>2250</v>
      </c>
      <c r="I5" s="51">
        <f>IFERROR(VLOOKUP(A5,'[1]Property List'!A:J,3,0),0)</f>
        <v>46000</v>
      </c>
      <c r="J5" s="51">
        <f>IFERROR(VLOOKUP("132 Keswick Dr Construction",'[1]Balance Sheet'!$A:$B,2,0),0)</f>
        <v>26800</v>
      </c>
      <c r="K5" s="52">
        <f t="shared" si="1"/>
        <v>348339.12</v>
      </c>
      <c r="L5" s="51">
        <f>IFERROR(VLOOKUP("Total 132 Keswick Dr",'[1]Balance Sheet'!$A:$B,2,0),0)</f>
        <v>348339.12</v>
      </c>
      <c r="M5" s="57"/>
      <c r="N5" s="57">
        <f>VLOOKUP(A5, '[1]Kiavi Loans'!$A$3:$H$34, 7, FALSE)</f>
        <v>465000</v>
      </c>
      <c r="O5" s="54">
        <f t="shared" si="2"/>
        <v>32550.000000000004</v>
      </c>
      <c r="P5" s="55">
        <f t="shared" si="3"/>
        <v>84110.88</v>
      </c>
      <c r="Q5" s="51">
        <f>VLOOKUP(A5, '[1]Kiavi Loans'!$A$3:$H$34, 4, FALSE)</f>
        <v>312740</v>
      </c>
      <c r="R5" s="51">
        <f>VLOOKUP(A5, '[1]Kiavi Loans'!$A$3:$H$34, 5, FALSE)</f>
        <v>33260</v>
      </c>
      <c r="S5" s="51" t="str">
        <f>VLOOKUP(A5,'[1]Property List'!$A:$H,8,FALSE)</f>
        <v>Kiavi</v>
      </c>
      <c r="T5" s="56">
        <f>VLOOKUP(A5, '[1]Kiavi Loans'!$A$3:$H$34, 2, FALSE)</f>
        <v>34766800</v>
      </c>
      <c r="U5" s="54">
        <f t="shared" si="4"/>
        <v>119710</v>
      </c>
      <c r="V5" s="57">
        <f t="shared" ca="1" si="5"/>
        <v>335</v>
      </c>
      <c r="W5" s="54" t="str">
        <f>VLOOKUP(A5,'[1]Property List'!$A:$H,7,FALSE)</f>
        <v>Flip</v>
      </c>
      <c r="X5" s="54"/>
      <c r="Y5" s="54" t="str">
        <f>VLOOKUP(A5,'[1]Property List'!$A:$H,4,FALSE)</f>
        <v>Homelight</v>
      </c>
      <c r="Z5" s="54" t="str">
        <f>VLOOKUP(A5,'[1]Property List'!$A:$H,5,FALSE)</f>
        <v>Politti</v>
      </c>
      <c r="AA5" s="54" t="str">
        <f>VLOOKUP(A5,'[1]Property List'!$A:$H,6,FALSE)</f>
        <v>Piscataway</v>
      </c>
      <c r="AB5" s="49" t="str">
        <f t="shared" si="6"/>
        <v>07/2024</v>
      </c>
    </row>
    <row r="6" spans="1:28" ht="15.75" customHeight="1" x14ac:dyDescent="0.3">
      <c r="A6" s="47" t="s">
        <v>15</v>
      </c>
      <c r="B6" s="48" t="s">
        <v>80</v>
      </c>
      <c r="C6" s="49">
        <f>VLOOKUP(A6,'[1]Property List'!$A:$B,2,FALSE)</f>
        <v>45324</v>
      </c>
      <c r="D6" s="49"/>
      <c r="E6" s="50">
        <f t="shared" ca="1" si="0"/>
        <v>255</v>
      </c>
      <c r="F6" s="51">
        <f>IFERROR(VLOOKUP("154 Andrew St Purchase Price",'[1]Balance Sheet'!$A:$B,2,0),0)</f>
        <v>175000</v>
      </c>
      <c r="G6" s="51">
        <f>IFERROR(VLOOKUP("154 Andrew St Closing Costs",'[1]Balance Sheet'!$A:$B,2,0),0)</f>
        <v>12744.41</v>
      </c>
      <c r="H6" s="51">
        <f>IFERROR(VLOOKUP("154 Andrew St Holding Costs",'[1]Balance Sheet'!$A:$B,2,0),0)</f>
        <v>29836.25</v>
      </c>
      <c r="I6" s="51">
        <f>IFERROR(VLOOKUP(A6,'[1]Property List'!A:J,3,0),0)</f>
        <v>100000</v>
      </c>
      <c r="J6" s="51">
        <f>IFERROR(VLOOKUP("154 Andrew St Construction",'[1]Balance Sheet'!$A:$B,2,0),0)</f>
        <v>109136</v>
      </c>
      <c r="K6" s="52">
        <f t="shared" si="1"/>
        <v>326716.66000000003</v>
      </c>
      <c r="L6" s="51">
        <f>IFERROR(VLOOKUP("Total 154 Andrew St",'[1]Balance Sheet'!$A:$B,2,0),0)</f>
        <v>326716.65999999997</v>
      </c>
      <c r="M6" s="53"/>
      <c r="N6" s="53">
        <v>429000</v>
      </c>
      <c r="O6" s="54">
        <f t="shared" si="2"/>
        <v>30030.000000000004</v>
      </c>
      <c r="P6" s="55">
        <f t="shared" si="3"/>
        <v>72253.339999999967</v>
      </c>
      <c r="Q6" s="51">
        <f>VLOOKUP(A6, '[1]Kiavi Loans'!$A$3:$H$34, 4, FALSE)</f>
        <v>275000</v>
      </c>
      <c r="R6" s="51">
        <f>VLOOKUP(A6, '[1]Kiavi Loans'!$A$3:$H$34, 5, FALSE)</f>
        <v>0</v>
      </c>
      <c r="S6" s="51" t="str">
        <f>VLOOKUP(A6,'[1]Property List'!$A:$H,8,FALSE)</f>
        <v>Kiavi</v>
      </c>
      <c r="T6" s="56">
        <f>VLOOKUP(A6, '[1]Kiavi Loans'!$A$3:$H$34, 2, FALSE)</f>
        <v>34679302</v>
      </c>
      <c r="U6" s="54">
        <f t="shared" si="4"/>
        <v>123970</v>
      </c>
      <c r="V6" s="57">
        <f t="shared" ca="1" si="5"/>
        <v>427.98431372549021</v>
      </c>
      <c r="W6" s="54" t="str">
        <f>VLOOKUP(A6,'[1]Property List'!$A:$H,7,FALSE)</f>
        <v>Flip</v>
      </c>
      <c r="X6" s="54"/>
      <c r="Y6" s="54" t="str">
        <f>VLOOKUP(A6,'[1]Property List'!$A:$H,4,FALSE)</f>
        <v>Cold Call</v>
      </c>
      <c r="Z6" s="54" t="str">
        <f>VLOOKUP(A6,'[1]Property List'!$A:$H,5,FALSE)</f>
        <v>Immanuel Home Improvement</v>
      </c>
      <c r="AA6" s="54" t="str">
        <f>VLOOKUP(A6,'[1]Property List'!$A:$H,6,FALSE)</f>
        <v>Hamilton</v>
      </c>
      <c r="AB6" s="49" t="str">
        <f t="shared" si="6"/>
        <v>02/2024</v>
      </c>
    </row>
    <row r="7" spans="1:28" ht="15.75" customHeight="1" x14ac:dyDescent="0.3">
      <c r="A7" s="58" t="s">
        <v>16</v>
      </c>
      <c r="B7" s="48" t="s">
        <v>80</v>
      </c>
      <c r="C7" s="49">
        <f>VLOOKUP(A7,'[1]Property List'!$A:$B,2,FALSE)</f>
        <v>45461</v>
      </c>
      <c r="D7" s="49"/>
      <c r="E7" s="50">
        <f t="shared" ca="1" si="0"/>
        <v>118</v>
      </c>
      <c r="F7" s="51">
        <f>IFERROR(VLOOKUP("154 Lenox Ave Purchase Price",'[1]Balance Sheet'!$A:$B,2,0),0)</f>
        <v>275000</v>
      </c>
      <c r="G7" s="51">
        <f>IFERROR(VLOOKUP("154 Lenox Ave Closing Costs",'[1]Balance Sheet'!$A:$B,2,0),0)</f>
        <v>13994.92</v>
      </c>
      <c r="H7" s="51">
        <f>IFERROR(VLOOKUP("154 Lenox Ave Holding Costs",'[1]Balance Sheet'!$A:$B,2,0),0)</f>
        <v>7599.33</v>
      </c>
      <c r="I7" s="51">
        <f>IFERROR(VLOOKUP(A7,'[1]Property List'!A:J,3,0),0)</f>
        <v>131000</v>
      </c>
      <c r="J7" s="51">
        <f>IFERROR(VLOOKUP("154 Lenox Ave Construction",'[1]Balance Sheet'!$A:$B,2,0),0)</f>
        <v>4500</v>
      </c>
      <c r="K7" s="52">
        <f t="shared" si="1"/>
        <v>301094.25</v>
      </c>
      <c r="L7" s="51">
        <f>IFERROR(VLOOKUP("Total 154 Lenox Ave",'[1]Balance Sheet'!$A:$B,2,0),0)</f>
        <v>301094.25</v>
      </c>
      <c r="M7" s="57"/>
      <c r="N7" s="57">
        <v>339000</v>
      </c>
      <c r="O7" s="54">
        <v>15000</v>
      </c>
      <c r="P7" s="55">
        <f t="shared" si="3"/>
        <v>22905.75</v>
      </c>
      <c r="Q7" s="51">
        <f>VLOOKUP(A7, '[1]Kiavi Loans'!$A$3:$H$34, 4, FALSE)</f>
        <v>275000</v>
      </c>
      <c r="R7" s="51">
        <f>VLOOKUP(A7, '[1]Kiavi Loans'!$A$3:$H$34, 5, FALSE)</f>
        <v>131000</v>
      </c>
      <c r="S7" s="51" t="str">
        <f>VLOOKUP(A7,'[1]Property List'!$A:$H,8,FALSE)</f>
        <v>Kiavi</v>
      </c>
      <c r="T7" s="56">
        <f>VLOOKUP(A7, '[1]Kiavi Loans'!$A$3:$H$34, 2, FALSE)</f>
        <v>34754776</v>
      </c>
      <c r="U7" s="54">
        <f t="shared" si="4"/>
        <v>49000</v>
      </c>
      <c r="V7" s="57">
        <f t="shared" ca="1" si="5"/>
        <v>38.135593220338983</v>
      </c>
      <c r="W7" s="54" t="str">
        <f>VLOOKUP(A7,'[1]Property List'!$A:$H,7,FALSE)</f>
        <v>Flip</v>
      </c>
      <c r="X7" s="54"/>
      <c r="Y7" s="54" t="str">
        <f>VLOOKUP(A7,'[1]Property List'!$A:$H,4,FALSE)</f>
        <v>Web Lead</v>
      </c>
      <c r="Z7" s="54" t="str">
        <f>VLOOKUP(A7,'[1]Property List'!$A:$H,5,FALSE)</f>
        <v>Not Assigned</v>
      </c>
      <c r="AA7" s="54" t="str">
        <f>VLOOKUP(A7,'[1]Property List'!$A:$H,6,FALSE)</f>
        <v>Hamilton</v>
      </c>
      <c r="AB7" s="49" t="str">
        <f t="shared" si="6"/>
        <v>06/2024</v>
      </c>
    </row>
    <row r="8" spans="1:28" ht="15.75" customHeight="1" x14ac:dyDescent="0.3">
      <c r="A8" s="58" t="s">
        <v>18</v>
      </c>
      <c r="B8" s="48" t="s">
        <v>81</v>
      </c>
      <c r="C8" s="49">
        <f>VLOOKUP(A8,'[1]Property List'!$A:$B,2,FALSE)</f>
        <v>45470</v>
      </c>
      <c r="D8" s="49"/>
      <c r="E8" s="50">
        <f t="shared" ca="1" si="0"/>
        <v>109</v>
      </c>
      <c r="F8" s="51">
        <f>IFERROR(VLOOKUP("174 E Highland Ave Purchase Price",'[1]Balance Sheet'!$A:$B,2,0),0)</f>
        <v>350000</v>
      </c>
      <c r="G8" s="51">
        <f>IFERROR(VLOOKUP("174 E Highland Ave Closing Costs",'[1]Balance Sheet'!$A:$B,2,0),0)</f>
        <v>19855.27</v>
      </c>
      <c r="H8" s="51">
        <f>IFERROR(VLOOKUP("174 E Highland Ave Holding Costs",'[1]Balance Sheet'!$A:$B,2,0),0)</f>
        <v>12639.11</v>
      </c>
      <c r="I8" s="51">
        <f>IFERROR(VLOOKUP(A8,'[1]Property List'!A:J,3,0),0)</f>
        <v>90000</v>
      </c>
      <c r="J8" s="51">
        <f>IFERROR(VLOOKUP("174 E Highland Ave Construction",'[1]Balance Sheet'!$A:$B,2,0),0)</f>
        <v>20350</v>
      </c>
      <c r="K8" s="52">
        <f t="shared" si="1"/>
        <v>402844.38</v>
      </c>
      <c r="L8" s="51">
        <f>IFERROR(VLOOKUP("Total 174 E Highland Ave",'[1]Balance Sheet'!$A:$B,2,0),0)</f>
        <v>402844.38</v>
      </c>
      <c r="M8" s="57"/>
      <c r="N8" s="57">
        <f>VLOOKUP(A8, '[1]Kiavi Loans'!$A$3:$H$34, 7, FALSE)</f>
        <v>551000</v>
      </c>
      <c r="O8" s="54">
        <f t="shared" ref="O8:O20" si="7">N8*0.07</f>
        <v>38570.000000000007</v>
      </c>
      <c r="P8" s="55">
        <f t="shared" si="3"/>
        <v>109585.62</v>
      </c>
      <c r="Q8" s="51">
        <f>VLOOKUP(A8,'[1]Kiavi Loans'!$A$3:$H$34,4,FALSE)</f>
        <v>350000</v>
      </c>
      <c r="R8" s="51">
        <f>VLOOKUP(A8, '[1]Kiavi Loans'!$A$3:$H$34, 5, FALSE)</f>
        <v>63100</v>
      </c>
      <c r="S8" s="51" t="str">
        <f>VLOOKUP(A8,'[1]Property List'!$A:$H,8,FALSE)</f>
        <v>Kiavi</v>
      </c>
      <c r="T8" s="56">
        <f>VLOOKUP(A8, '[1]Kiavi Loans'!$A$3:$H$34, 2, FALSE)</f>
        <v>34751267</v>
      </c>
      <c r="U8" s="54">
        <f t="shared" si="4"/>
        <v>162430</v>
      </c>
      <c r="V8" s="57">
        <f t="shared" ca="1" si="5"/>
        <v>186.69724770642202</v>
      </c>
      <c r="W8" s="54" t="str">
        <f>VLOOKUP(A8,'[1]Property List'!$A:$H,7,FALSE)</f>
        <v>Flip</v>
      </c>
      <c r="X8" s="54"/>
      <c r="Y8" s="54" t="str">
        <f>VLOOKUP(A8,'[1]Property List'!$A:$H,4,FALSE)</f>
        <v>MLS</v>
      </c>
      <c r="Z8" s="54" t="str">
        <f>VLOOKUP(A8,'[1]Property List'!$A:$H,5,FALSE)</f>
        <v>Not Assigned</v>
      </c>
      <c r="AA8" s="54" t="str">
        <f>VLOOKUP(A8,'[1]Property List'!$A:$H,6,FALSE)</f>
        <v>Middletown</v>
      </c>
      <c r="AB8" s="49" t="str">
        <f t="shared" si="6"/>
        <v>06/2024</v>
      </c>
    </row>
    <row r="9" spans="1:28" ht="15.75" customHeight="1" x14ac:dyDescent="0.3">
      <c r="A9" s="47" t="s">
        <v>22</v>
      </c>
      <c r="B9" s="48" t="s">
        <v>81</v>
      </c>
      <c r="C9" s="49">
        <f>VLOOKUP(A9,'[1]Property List'!$A:$B,2,FALSE)</f>
        <v>45436</v>
      </c>
      <c r="D9" s="49"/>
      <c r="E9" s="50">
        <f t="shared" ca="1" si="0"/>
        <v>143</v>
      </c>
      <c r="F9" s="51">
        <f>IFERROR(VLOOKUP("235 Ellis St Purchase Price",'[1]Balance Sheet'!$A:$B,2,0),0)</f>
        <v>120000</v>
      </c>
      <c r="G9" s="51">
        <f>IFERROR(VLOOKUP("235 Ellis St Closing Costs",'[1]Balance Sheet'!$A:$B,2,0),0)</f>
        <v>9960.74</v>
      </c>
      <c r="H9" s="51">
        <f>IFERROR(VLOOKUP("235 Ellis St Holding Costs",'[1]Balance Sheet'!$A:$B,2,0),0)</f>
        <v>13213.88</v>
      </c>
      <c r="I9" s="51">
        <f>IFERROR(VLOOKUP(A9,'[1]Property List'!A:J,3,0),0)</f>
        <v>80000</v>
      </c>
      <c r="J9" s="51">
        <f>IFERROR(VLOOKUP("235 Ellis St Construction",'[1]Balance Sheet'!$A:$B,2,0),0)</f>
        <v>63155</v>
      </c>
      <c r="K9" s="52">
        <f t="shared" si="1"/>
        <v>206329.62</v>
      </c>
      <c r="L9" s="51">
        <f>IFERROR(VLOOKUP("Total 235 Ellis St",'[1]Balance Sheet'!$A:$B,2,0),0)</f>
        <v>206329.62</v>
      </c>
      <c r="M9" s="57"/>
      <c r="N9" s="57">
        <f>VLOOKUP(A9, '[1]Kiavi Loans'!$A$3:$H$34, 7, FALSE)</f>
        <v>275000</v>
      </c>
      <c r="O9" s="54">
        <f t="shared" si="7"/>
        <v>19250.000000000004</v>
      </c>
      <c r="P9" s="55">
        <f t="shared" si="3"/>
        <v>49420.380000000005</v>
      </c>
      <c r="Q9" s="51">
        <f>VLOOKUP(A9,'[1]Kiavi Loans'!$A$3:$H$34,4,FALSE)</f>
        <v>178850</v>
      </c>
      <c r="R9" s="51">
        <f>VLOOKUP(A9, '[1]Kiavi Loans'!$A$3:$H$34, 5, FALSE)</f>
        <v>27250</v>
      </c>
      <c r="S9" s="51" t="str">
        <f>VLOOKUP(A9,'[1]Property List'!$A:$H,8,FALSE)</f>
        <v>Kiavi</v>
      </c>
      <c r="T9" s="56">
        <f>VLOOKUP(A9, '[1]Kiavi Loans'!$A$3:$H$34, 2, FALSE)</f>
        <v>34734077</v>
      </c>
      <c r="U9" s="54">
        <f t="shared" si="4"/>
        <v>76900</v>
      </c>
      <c r="V9" s="57">
        <f t="shared" ca="1" si="5"/>
        <v>441.64335664335664</v>
      </c>
      <c r="W9" s="54" t="str">
        <f>VLOOKUP(A9,'[1]Property List'!$A:$H,7,FALSE)</f>
        <v>Flip</v>
      </c>
      <c r="X9" s="54"/>
      <c r="Y9" s="54" t="str">
        <f>VLOOKUP(A9,'[1]Property List'!$A:$H,4,FALSE)</f>
        <v>Direct Mail</v>
      </c>
      <c r="Z9" s="54" t="str">
        <f>VLOOKUP(A9,'[1]Property List'!$A:$H,5,FALSE)</f>
        <v>Immanuel Home Improvement</v>
      </c>
      <c r="AA9" s="54" t="str">
        <f>VLOOKUP(A9,'[1]Property List'!$A:$H,6,FALSE)</f>
        <v>Burlington</v>
      </c>
      <c r="AB9" s="49" t="str">
        <f t="shared" si="6"/>
        <v>05/2024</v>
      </c>
    </row>
    <row r="10" spans="1:28" ht="15.75" customHeight="1" x14ac:dyDescent="0.3">
      <c r="A10" s="47" t="s">
        <v>23</v>
      </c>
      <c r="B10" s="48" t="s">
        <v>81</v>
      </c>
      <c r="C10" s="49">
        <f>VLOOKUP(A10,'[1]Property List'!$A:$B,2,FALSE)</f>
        <v>45443</v>
      </c>
      <c r="D10" s="49"/>
      <c r="E10" s="50">
        <f t="shared" ca="1" si="0"/>
        <v>136</v>
      </c>
      <c r="F10" s="51">
        <f>IFERROR(VLOOKUP("24 Express Purchase Price",'[1]Balance Sheet'!$A:$B,2,0),0)</f>
        <v>256000</v>
      </c>
      <c r="G10" s="51">
        <f>IFERROR(VLOOKUP("24 Express Closing Costs",'[1]Balance Sheet'!$A:$B,2,0),0)</f>
        <v>15602.34</v>
      </c>
      <c r="H10" s="51">
        <f>IFERROR(VLOOKUP("24 Express Holding Costs",'[1]Balance Sheet'!$A:$B,2,0),0)</f>
        <v>12313.59</v>
      </c>
      <c r="I10" s="51">
        <f>IFERROR(VLOOKUP(A10,'[1]Property List'!A:J,3,0),0)</f>
        <v>70000</v>
      </c>
      <c r="J10" s="51">
        <f>IFERROR(VLOOKUP("24 Express Construction",'[1]Balance Sheet'!$A:$B,2,0),0)</f>
        <v>49925</v>
      </c>
      <c r="K10" s="52">
        <f t="shared" si="1"/>
        <v>333840.93000000005</v>
      </c>
      <c r="L10" s="51">
        <f>IFERROR(VLOOKUP("Total 24 Express",'[1]Balance Sheet'!$A:$B,2,0),0)</f>
        <v>333840.93</v>
      </c>
      <c r="M10" s="57"/>
      <c r="N10" s="57">
        <v>379000</v>
      </c>
      <c r="O10" s="54">
        <f t="shared" si="7"/>
        <v>26530.000000000004</v>
      </c>
      <c r="P10" s="55">
        <f t="shared" si="3"/>
        <v>18629.069999999949</v>
      </c>
      <c r="Q10" s="51">
        <f>VLOOKUP(A10,'[1]Kiavi Loans'!$A$3:$H$34,4,FALSE)</f>
        <v>288600</v>
      </c>
      <c r="R10" s="51">
        <f>VLOOKUP(A10, '[1]Kiavi Loans'!$A$3:$H$34, 5, FALSE)</f>
        <v>0</v>
      </c>
      <c r="S10" s="51" t="str">
        <f>VLOOKUP(A10,'[1]Property List'!$A:$H,8,FALSE)</f>
        <v>Kiavi</v>
      </c>
      <c r="T10" s="56">
        <f>VLOOKUP(A10, '[1]Kiavi Loans'!$A$3:$H$34, 2, FALSE)</f>
        <v>34729238</v>
      </c>
      <c r="U10" s="54">
        <f t="shared" si="4"/>
        <v>63870</v>
      </c>
      <c r="V10" s="57">
        <f t="shared" ca="1" si="5"/>
        <v>367.09558823529414</v>
      </c>
      <c r="W10" s="54" t="str">
        <f>VLOOKUP(A10,'[1]Property List'!$A:$H,7,FALSE)</f>
        <v>Flip</v>
      </c>
      <c r="X10" s="54"/>
      <c r="Y10" s="54" t="str">
        <f>VLOOKUP(A10,'[1]Property List'!$A:$H,4,FALSE)</f>
        <v>Sheriff Sale</v>
      </c>
      <c r="Z10" s="54" t="str">
        <f>VLOOKUP(A10,'[1]Property List'!$A:$H,5,FALSE)</f>
        <v>Politti</v>
      </c>
      <c r="AA10" s="54" t="str">
        <f>VLOOKUP(A10,'[1]Property List'!$A:$H,6,FALSE)</f>
        <v>Willingboro</v>
      </c>
      <c r="AB10" s="49" t="str">
        <f t="shared" si="6"/>
        <v>05/2024</v>
      </c>
    </row>
    <row r="11" spans="1:28" ht="15.75" customHeight="1" x14ac:dyDescent="0.3">
      <c r="A11" s="59" t="s">
        <v>24</v>
      </c>
      <c r="B11" s="48" t="s">
        <v>81</v>
      </c>
      <c r="C11" s="49">
        <f>VLOOKUP(A11,'[1]Property List'!$A:$B,2,FALSE)</f>
        <v>45524</v>
      </c>
      <c r="D11" s="49"/>
      <c r="E11" s="50">
        <f t="shared" ca="1" si="0"/>
        <v>55</v>
      </c>
      <c r="F11" s="51">
        <f>IFERROR(VLOOKUP("24 Longboat Purchase Price",'[1]Balance Sheet'!$A:$B,2,0),0)</f>
        <v>180000</v>
      </c>
      <c r="G11" s="51">
        <f>IFERROR(VLOOKUP("24 Longboat Closing Costs",'[1]Balance Sheet'!$A:$B,2,0),0)</f>
        <v>10532.76</v>
      </c>
      <c r="H11" s="51">
        <f>IFERROR(VLOOKUP("24 Longboat Holding Costs",'[1]Balance Sheet'!$A:$B,2,0),0)</f>
        <v>25195</v>
      </c>
      <c r="I11" s="51">
        <f>IFERROR(VLOOKUP(A11,'[1]Property List'!A:J,3,0),0)</f>
        <v>36360</v>
      </c>
      <c r="J11" s="51">
        <f>IFERROR(VLOOKUP("24 Longboat Construction",'[1]Balance Sheet'!$A:$B,2,0),0)</f>
        <v>0</v>
      </c>
      <c r="K11" s="52">
        <f t="shared" si="1"/>
        <v>215727.76</v>
      </c>
      <c r="L11" s="51">
        <f>IFERROR(VLOOKUP("TOtal 24 Longboat",'[1]Balance Sheet'!$A:$B,2,0),0)</f>
        <v>216477.76</v>
      </c>
      <c r="M11" s="57"/>
      <c r="N11" s="57">
        <v>352000</v>
      </c>
      <c r="O11" s="54">
        <f t="shared" si="7"/>
        <v>24640.000000000004</v>
      </c>
      <c r="P11" s="55">
        <f t="shared" si="3"/>
        <v>111632.23999999999</v>
      </c>
      <c r="Q11" s="51">
        <f>VLOOKUP(A11,'[1]Kiavi Loans'!$A$3:$H$34,4,FALSE)</f>
        <v>180000</v>
      </c>
      <c r="R11" s="51">
        <f>VLOOKUP(A11, '[1]Kiavi Loans'!$A$3:$H$34, 5, FALSE)</f>
        <v>36360</v>
      </c>
      <c r="S11" s="51" t="str">
        <f>VLOOKUP(A11,'[1]Property List'!$A:$H,8,FALSE)</f>
        <v>Kiavi</v>
      </c>
      <c r="T11" s="56">
        <f>VLOOKUP(A11, '[1]Kiavi Loans'!$A$3:$H$34, 2, FALSE)</f>
        <v>34788591</v>
      </c>
      <c r="U11" s="54">
        <f t="shared" si="4"/>
        <v>147360</v>
      </c>
      <c r="V11" s="57">
        <f t="shared" ca="1" si="5"/>
        <v>0</v>
      </c>
      <c r="W11" s="54" t="s">
        <v>82</v>
      </c>
      <c r="X11" s="54"/>
      <c r="Y11" s="54" t="str">
        <f>VLOOKUP(A11,'[1]Property List'!$A:$H,4,FALSE)</f>
        <v>Homelight</v>
      </c>
      <c r="Z11" s="54">
        <f>VLOOKUP(A11,'[1]Property List'!$A:$H,5,FALSE)</f>
        <v>0</v>
      </c>
      <c r="AA11" s="54" t="str">
        <f>VLOOKUP(A11,'[1]Property List'!$A:$H,6,FALSE)</f>
        <v>Barnegat</v>
      </c>
      <c r="AB11" s="49" t="str">
        <f t="shared" si="6"/>
        <v>08/2024</v>
      </c>
    </row>
    <row r="12" spans="1:28" ht="15.75" customHeight="1" x14ac:dyDescent="0.3">
      <c r="A12" s="6" t="s">
        <v>25</v>
      </c>
      <c r="B12" s="48" t="s">
        <v>81</v>
      </c>
      <c r="C12" s="49">
        <f>VLOOKUP(A12,'[1]Property List'!$A:$B,2,FALSE)</f>
        <v>45442</v>
      </c>
      <c r="D12" s="49"/>
      <c r="E12" s="50">
        <f t="shared" ca="1" si="0"/>
        <v>137</v>
      </c>
      <c r="F12" s="51">
        <f>IFERROR(VLOOKUP("24 Tynemouth Purchase Price",'[1]Balance Sheet'!$A:$B,2,0),0)</f>
        <v>405000</v>
      </c>
      <c r="G12" s="51">
        <f>IFERROR(VLOOKUP("24 Tynemouth Closing Costs",'[1]Balance Sheet'!$A:$B,2,0),0)</f>
        <v>21545.48</v>
      </c>
      <c r="H12" s="51">
        <f>IFERROR(VLOOKUP("24 Tynemouth Holding Costs",'[1]Balance Sheet'!$A:$B,2,0),0)</f>
        <v>13507.92</v>
      </c>
      <c r="I12" s="51">
        <f>IFERROR(VLOOKUP(A12,'[1]Property List'!A:J,3,0),0)</f>
        <v>30000</v>
      </c>
      <c r="J12" s="51">
        <f>IFERROR(VLOOKUP("24 Tynemouth Construction",'[1]Balance Sheet'!$A:$B,2,0),0)</f>
        <v>29968.94</v>
      </c>
      <c r="K12" s="52">
        <f t="shared" si="1"/>
        <v>470022.33999999997</v>
      </c>
      <c r="L12" s="51">
        <f>IFERROR(VLOOKUP("Total 24 Tynemouth",'[1]Balance Sheet'!$A:$B,2,0),0)</f>
        <v>470022.34</v>
      </c>
      <c r="M12" s="57"/>
      <c r="N12" s="57">
        <v>490000</v>
      </c>
      <c r="O12" s="54">
        <f t="shared" si="7"/>
        <v>34300</v>
      </c>
      <c r="P12" s="55">
        <f t="shared" si="3"/>
        <v>-14322.339999999967</v>
      </c>
      <c r="Q12" s="51">
        <f>VLOOKUP(A12,'[1]Kiavi Loans'!$A$3:$H$34,4,FALSE)</f>
        <v>360000</v>
      </c>
      <c r="R12" s="51">
        <f>VLOOKUP(A12, '[1]Kiavi Loans'!$A$3:$H$34, 5, FALSE)</f>
        <v>0</v>
      </c>
      <c r="S12" s="51" t="str">
        <f>VLOOKUP(A12,'[1]Property List'!$A:$H,8,FALSE)</f>
        <v>Kiavi</v>
      </c>
      <c r="T12" s="56">
        <f>VLOOKUP(A12, '[1]Kiavi Loans'!$A$3:$H$34, 2, FALSE)</f>
        <v>34736017</v>
      </c>
      <c r="U12" s="54">
        <f t="shared" si="4"/>
        <v>95700</v>
      </c>
      <c r="V12" s="57">
        <f t="shared" ca="1" si="5"/>
        <v>218.75138686131385</v>
      </c>
      <c r="W12" s="54" t="str">
        <f>VLOOKUP(A12,'[1]Property List'!$A:$H,7,FALSE)</f>
        <v>Flip</v>
      </c>
      <c r="X12" s="54"/>
      <c r="Y12" s="54" t="str">
        <f>VLOOKUP(A12,'[1]Property List'!$A:$H,4,FALSE)</f>
        <v>Sheriff Sale</v>
      </c>
      <c r="Z12" s="54" t="str">
        <f>VLOOKUP(A12,'[1]Property List'!$A:$H,5,FALSE)</f>
        <v xml:space="preserve">Herrera </v>
      </c>
      <c r="AA12" s="54" t="str">
        <f>VLOOKUP(A12,'[1]Property List'!$A:$H,6,FALSE)</f>
        <v>Robbinsville</v>
      </c>
      <c r="AB12" s="49" t="str">
        <f t="shared" si="6"/>
        <v>05/2024</v>
      </c>
    </row>
    <row r="13" spans="1:28" ht="15.75" customHeight="1" x14ac:dyDescent="0.3">
      <c r="A13" s="47" t="s">
        <v>26</v>
      </c>
      <c r="B13" s="48" t="s">
        <v>81</v>
      </c>
      <c r="C13" s="49">
        <f>VLOOKUP(A13,'[1]Property List'!$A:$B,2,FALSE)</f>
        <v>45476</v>
      </c>
      <c r="D13" s="49"/>
      <c r="E13" s="50">
        <f t="shared" ca="1" si="0"/>
        <v>103</v>
      </c>
      <c r="F13" s="51">
        <f>IFERROR(VLOOKUP("275 Green St 4 B6 Purchase Price",'[1]Balance Sheet'!$A:$B,2,0),0)</f>
        <v>125000</v>
      </c>
      <c r="G13" s="51">
        <f>IFERROR(VLOOKUP("275 Green St 4 B6 Closing Costs",'[1]Balance Sheet'!$A:$B,2,0),0)</f>
        <v>16246.92</v>
      </c>
      <c r="H13" s="51">
        <f>IFERROR(VLOOKUP("275 Green St 4 B6 Holding Costs",'[1]Balance Sheet'!$A:$B,2,0),0)</f>
        <v>2342.4</v>
      </c>
      <c r="I13" s="51">
        <f>IFERROR(VLOOKUP(A13,'[1]Property List'!A:J,3,0),0)</f>
        <v>15000</v>
      </c>
      <c r="J13" s="51">
        <f>IFERROR(VLOOKUP("275 Green St 4 B6 Construction",'[1]Balance Sheet'!$A:$B,2,0),0)</f>
        <v>27070.22</v>
      </c>
      <c r="K13" s="52">
        <f t="shared" si="1"/>
        <v>170659.54</v>
      </c>
      <c r="L13" s="51">
        <f>IFERROR(VLOOKUP("TOtal 275 Green St 4 B6",'[1]Balance Sheet'!$A:$B,2,0),0)</f>
        <v>170659.54</v>
      </c>
      <c r="M13" s="57"/>
      <c r="N13" s="57">
        <v>189000</v>
      </c>
      <c r="O13" s="54">
        <f t="shared" si="7"/>
        <v>13230.000000000002</v>
      </c>
      <c r="P13" s="55">
        <f t="shared" si="3"/>
        <v>5110.4599999999919</v>
      </c>
      <c r="Q13" s="51">
        <f>VLOOKUP(A13,'[1]Kiavi Loans'!$A$3:$H$34,4,FALSE)</f>
        <v>136700</v>
      </c>
      <c r="R13" s="51">
        <f>VLOOKUP(A13, '[1]Kiavi Loans'!$A$3:$H$34, 5, FALSE)</f>
        <v>1300</v>
      </c>
      <c r="S13" s="51" t="str">
        <f>VLOOKUP(A13,'[1]Property List'!$A:$H,8,FALSE)</f>
        <v>Kiavi</v>
      </c>
      <c r="T13" s="56">
        <f>VLOOKUP(A13, '[1]Kiavi Loans'!$A$3:$H$34, 2, FALSE)</f>
        <v>34717619</v>
      </c>
      <c r="U13" s="54">
        <f t="shared" si="4"/>
        <v>39070</v>
      </c>
      <c r="V13" s="57">
        <f t="shared" ca="1" si="5"/>
        <v>262.81766990291266</v>
      </c>
      <c r="W13" s="54" t="str">
        <f>VLOOKUP(A13,'[1]Property List'!$A:$H,7,FALSE)</f>
        <v>Flip</v>
      </c>
      <c r="X13" s="54"/>
      <c r="Y13" s="54" t="str">
        <f>VLOOKUP(A13,'[1]Property List'!$A:$H,4,FALSE)</f>
        <v>Sheriff Sale</v>
      </c>
      <c r="Z13" s="54" t="str">
        <f>VLOOKUP(A13,'[1]Property List'!$A:$H,5,FALSE)</f>
        <v>Labs Real Estate</v>
      </c>
      <c r="AA13" s="54" t="str">
        <f>VLOOKUP(A13,'[1]Property List'!$A:$H,6,FALSE)</f>
        <v>Edgewater Park</v>
      </c>
      <c r="AB13" s="49" t="str">
        <f t="shared" si="6"/>
        <v>07/2024</v>
      </c>
    </row>
    <row r="14" spans="1:28" ht="15.75" customHeight="1" x14ac:dyDescent="0.3">
      <c r="A14" s="47" t="s">
        <v>27</v>
      </c>
      <c r="B14" s="48" t="s">
        <v>81</v>
      </c>
      <c r="C14" s="49">
        <f>VLOOKUP(A14,'[1]Property List'!$A:$B,2,FALSE)</f>
        <v>45177</v>
      </c>
      <c r="D14" s="49"/>
      <c r="E14" s="50">
        <f t="shared" ca="1" si="0"/>
        <v>402</v>
      </c>
      <c r="F14" s="51">
        <f>IFERROR(VLOOKUP("313 Delaware Ave Purchase Price",'[1]Balance Sheet'!$A:$B,2,0),0)</f>
        <v>195000</v>
      </c>
      <c r="G14" s="51">
        <f>IFERROR(VLOOKUP("313 Delaware Ave Closing Costs",'[1]Balance Sheet'!$A:$B,2,0),0)</f>
        <v>11755.97</v>
      </c>
      <c r="H14" s="51">
        <f>IFERROR(VLOOKUP("313 Delaware Ave Holding Costs",'[1]Balance Sheet'!$A:$B,2,0),0)</f>
        <v>37435.040000000001</v>
      </c>
      <c r="I14" s="51">
        <f>IFERROR(VLOOKUP(A14,'[1]Property List'!A:J,3,0),0)</f>
        <v>87000</v>
      </c>
      <c r="J14" s="51">
        <f>IFERROR(VLOOKUP("313 Delaware Ave Construction",'[1]Balance Sheet'!$A:$B,2,0),0)</f>
        <v>100411.67</v>
      </c>
      <c r="K14" s="52">
        <f t="shared" si="1"/>
        <v>344602.68</v>
      </c>
      <c r="L14" s="51">
        <f>IFERROR(VLOOKUP("TOtal 313 Delaware Ave",'[1]Balance Sheet'!$A:$B,2,0),0)</f>
        <v>344602.68</v>
      </c>
      <c r="M14" s="57"/>
      <c r="N14" s="57">
        <f>VLOOKUP(A14, '[1]Kiavi Loans'!$A$3:$H$34, 7, FALSE)</f>
        <v>380000</v>
      </c>
      <c r="O14" s="54">
        <f t="shared" si="7"/>
        <v>26600.000000000004</v>
      </c>
      <c r="P14" s="55">
        <f t="shared" si="3"/>
        <v>8797.320000000007</v>
      </c>
      <c r="Q14" s="51">
        <f>VLOOKUP(A14,'[1]Kiavi Loans'!$A$3:$H$34,4,FALSE)</f>
        <v>228170</v>
      </c>
      <c r="R14" s="51">
        <f>VLOOKUP(A14, '[1]Kiavi Loans'!$A$3:$H$34, 5, FALSE)</f>
        <v>36830</v>
      </c>
      <c r="S14" s="51" t="str">
        <f>VLOOKUP(A14,'[1]Property List'!$A:$H,8,FALSE)</f>
        <v>Kiavi</v>
      </c>
      <c r="T14" s="56">
        <f>VLOOKUP(A14, '[1]Kiavi Loans'!$A$3:$H$34, 2, FALSE)</f>
        <v>34607961</v>
      </c>
      <c r="U14" s="54">
        <f t="shared" si="4"/>
        <v>125230</v>
      </c>
      <c r="V14" s="57">
        <f t="shared" ca="1" si="5"/>
        <v>249.7802736318408</v>
      </c>
      <c r="W14" s="54" t="str">
        <f>VLOOKUP(A14,'[1]Property List'!$A:$H,7,FALSE)</f>
        <v>Flip</v>
      </c>
      <c r="X14" s="54"/>
      <c r="Y14" s="54">
        <f>VLOOKUP(A14,'[1]Property List'!$A:$H,4,FALSE)</f>
        <v>0</v>
      </c>
      <c r="Z14" s="54" t="str">
        <f>VLOOKUP(A14,'[1]Property List'!$A:$H,5,FALSE)</f>
        <v>Code Rite</v>
      </c>
      <c r="AA14" s="54" t="str">
        <f>VLOOKUP(A14,'[1]Property List'!$A:$H,6,FALSE)</f>
        <v>Palmyra</v>
      </c>
      <c r="AB14" s="49" t="str">
        <f t="shared" si="6"/>
        <v>09/2023</v>
      </c>
    </row>
    <row r="15" spans="1:28" ht="15.75" customHeight="1" x14ac:dyDescent="0.3">
      <c r="A15" s="60" t="s">
        <v>28</v>
      </c>
      <c r="B15" s="48" t="s">
        <v>81</v>
      </c>
      <c r="C15" s="49">
        <f>VLOOKUP(A15,'[1]Property List'!$A:$B,2,FALSE)</f>
        <v>45232</v>
      </c>
      <c r="D15" s="49"/>
      <c r="E15" s="50">
        <f t="shared" ca="1" si="0"/>
        <v>347</v>
      </c>
      <c r="F15" s="51">
        <f>IFERROR(VLOOKUP("316 W 3rd St Purchase Price",'[1]Balance Sheet'!$A:$B,2,0),0)</f>
        <v>215000</v>
      </c>
      <c r="G15" s="51">
        <f>IFERROR(VLOOKUP("316 W 3rd St Closing Costs",'[1]Balance Sheet'!$A:$B,2,0),0)</f>
        <v>14576.21</v>
      </c>
      <c r="H15" s="51">
        <f>IFERROR(VLOOKUP("316 W 3rd St Holding Costs",'[1]Balance Sheet'!$A:$B,2,0),0)</f>
        <v>32213.64</v>
      </c>
      <c r="I15" s="51">
        <f>IFERROR(VLOOKUP(A15,'[1]Property List'!A:J,3,0),0)</f>
        <v>0</v>
      </c>
      <c r="J15" s="51">
        <f>IFERROR(VLOOKUP("316 W 3rd St Construction",'[1]Balance Sheet'!$A:$B,2,0),0)</f>
        <v>127866</v>
      </c>
      <c r="K15" s="52">
        <f t="shared" si="1"/>
        <v>389655.85</v>
      </c>
      <c r="L15" s="51">
        <f>IFERROR(VLOOKUP("Total 316 W 3rd St",'[1]Balance Sheet'!$A:$B,2,0),0)</f>
        <v>389655.85</v>
      </c>
      <c r="M15" s="57"/>
      <c r="N15" s="57">
        <f>VLOOKUP(A15, '[1]Kiavi Loans'!$A$3:$H$34, 7, FALSE)</f>
        <v>425000</v>
      </c>
      <c r="O15" s="54">
        <f t="shared" si="7"/>
        <v>29750.000000000004</v>
      </c>
      <c r="P15" s="55">
        <f t="shared" si="3"/>
        <v>5594.1500000000233</v>
      </c>
      <c r="Q15" s="51">
        <f>VLOOKUP(A15,'[1]Kiavi Loans'!$A$3:$H$34,4,FALSE)</f>
        <v>314900</v>
      </c>
      <c r="R15" s="51">
        <f>VLOOKUP(A15, '[1]Kiavi Loans'!$A$3:$H$34, 5, FALSE)</f>
        <v>0</v>
      </c>
      <c r="S15" s="51" t="str">
        <f>VLOOKUP(A15,'[1]Property List'!$A:$H,8,FALSE)</f>
        <v>Kiavi</v>
      </c>
      <c r="T15" s="56">
        <f>VLOOKUP(A15, '[1]Kiavi Loans'!$A$3:$H$34, 2, FALSE)</f>
        <v>34636788</v>
      </c>
      <c r="U15" s="54">
        <f t="shared" si="4"/>
        <v>80350</v>
      </c>
      <c r="V15" s="57">
        <f t="shared" ca="1" si="5"/>
        <v>368.48991354466858</v>
      </c>
      <c r="W15" s="54" t="str">
        <f>VLOOKUP(A15,'[1]Property List'!$A:$H,7,FALSE)</f>
        <v>Flip</v>
      </c>
      <c r="X15" s="54"/>
      <c r="Y15" s="54">
        <f>VLOOKUP(A15,'[1]Property List'!$A:$H,4,FALSE)</f>
        <v>0</v>
      </c>
      <c r="Z15" s="54" t="str">
        <f>VLOOKUP(A15,'[1]Property List'!$A:$H,5,FALSE)</f>
        <v>Politti</v>
      </c>
      <c r="AA15" s="54" t="str">
        <f>VLOOKUP(A15,'[1]Property List'!$A:$H,6,FALSE)</f>
        <v>Florence</v>
      </c>
      <c r="AB15" s="49" t="str">
        <f t="shared" si="6"/>
        <v>11/2023</v>
      </c>
    </row>
    <row r="16" spans="1:28" ht="15.75" customHeight="1" x14ac:dyDescent="0.3">
      <c r="A16" s="59" t="s">
        <v>29</v>
      </c>
      <c r="B16" s="48" t="s">
        <v>81</v>
      </c>
      <c r="C16" s="49">
        <f>VLOOKUP(A16,'[1]Property List'!$A:$B,2,FALSE)</f>
        <v>45448</v>
      </c>
      <c r="D16" s="49"/>
      <c r="E16" s="50">
        <f t="shared" ca="1" si="0"/>
        <v>131</v>
      </c>
      <c r="F16" s="51">
        <f>IFERROR(VLOOKUP("324 St Mary St Purchase Price",'[1]Balance Sheet'!$A:$B,2,0),0)</f>
        <v>110000</v>
      </c>
      <c r="G16" s="51">
        <f>IFERROR(VLOOKUP("324 St Mary St Closing Costs",'[1]Balance Sheet'!$A:$B,2,0),0)</f>
        <v>12385.33</v>
      </c>
      <c r="H16" s="51">
        <f>IFERROR(VLOOKUP("324 St Mary St Holding Costs",'[1]Balance Sheet'!$A:$B,2,0),0)</f>
        <v>7812.55</v>
      </c>
      <c r="I16" s="51">
        <f>IFERROR(VLOOKUP(A16,'[1]Property List'!A:J,3,0),0)</f>
        <v>60000</v>
      </c>
      <c r="J16" s="51">
        <f>IFERROR(VLOOKUP("324 St Mary St Construction",'[1]Balance Sheet'!$A:$B,2,0),0)</f>
        <v>27492.58</v>
      </c>
      <c r="K16" s="52">
        <f t="shared" si="1"/>
        <v>157690.46000000002</v>
      </c>
      <c r="L16" s="51">
        <f>IFERROR(VLOOKUP("Total 324 St Mary St",'[1]Balance Sheet'!$A:$B,2,0),0)</f>
        <v>157690.46</v>
      </c>
      <c r="M16" s="57"/>
      <c r="N16" s="57">
        <f>VLOOKUP(A16, '[1]Kiavi Loans'!$A$3:$H$34, 7, FALSE)</f>
        <v>235000</v>
      </c>
      <c r="O16" s="54">
        <f t="shared" si="7"/>
        <v>16450</v>
      </c>
      <c r="P16" s="55">
        <f t="shared" si="3"/>
        <v>60859.539999999979</v>
      </c>
      <c r="Q16" s="51">
        <f>VLOOKUP(A16,'[1]Kiavi Loans'!$A$3:$H$34,4,FALSE)</f>
        <v>113000</v>
      </c>
      <c r="R16" s="51">
        <f>VLOOKUP(A16, '[1]Kiavi Loans'!$A$3:$H$34, 5, FALSE)</f>
        <v>60000</v>
      </c>
      <c r="S16" s="51" t="str">
        <f>VLOOKUP(A16,'[1]Property List'!$A:$H,8,FALSE)</f>
        <v>Kiavi</v>
      </c>
      <c r="T16" s="56">
        <f>VLOOKUP(A16, '[1]Kiavi Loans'!$A$3:$H$34, 2, FALSE)</f>
        <v>34745529</v>
      </c>
      <c r="U16" s="54">
        <f t="shared" si="4"/>
        <v>105550</v>
      </c>
      <c r="V16" s="57">
        <f t="shared" ca="1" si="5"/>
        <v>209.86702290076337</v>
      </c>
      <c r="W16" s="54" t="str">
        <f>VLOOKUP(A16,'[1]Property List'!$A:$H,7,FALSE)</f>
        <v>Flip</v>
      </c>
      <c r="X16" s="54"/>
      <c r="Y16" s="54" t="str">
        <f>VLOOKUP(A16,'[1]Property List'!$A:$H,4,FALSE)</f>
        <v>Wholesale</v>
      </c>
      <c r="Z16" s="54" t="str">
        <f>VLOOKUP(A16,'[1]Property List'!$A:$H,5,FALSE)</f>
        <v>Herrera</v>
      </c>
      <c r="AA16" s="54" t="str">
        <f>VLOOKUP(A16,'[1]Property List'!$A:$H,6,FALSE)</f>
        <v>Burlington</v>
      </c>
      <c r="AB16" s="49" t="str">
        <f t="shared" si="6"/>
        <v>06/2024</v>
      </c>
    </row>
    <row r="17" spans="1:28" ht="15.75" customHeight="1" x14ac:dyDescent="0.3">
      <c r="A17" s="61" t="s">
        <v>30</v>
      </c>
      <c r="B17" s="48" t="s">
        <v>81</v>
      </c>
      <c r="C17" s="49">
        <f>VLOOKUP(A17,'[1]Property List'!$A:$B,2,FALSE)</f>
        <v>45516</v>
      </c>
      <c r="D17" s="49"/>
      <c r="E17" s="50">
        <f t="shared" ca="1" si="0"/>
        <v>63</v>
      </c>
      <c r="F17" s="51">
        <f>IFERROR(VLOOKUP("343 Elm Ave Purchase Price",'[1]Balance Sheet'!$A:$B,2,0),0)</f>
        <v>190000</v>
      </c>
      <c r="G17" s="51">
        <f>IFERROR(VLOOKUP("343 Elm Ave Closing Costs",'[1]Balance Sheet'!$A:$B,2,0),0)</f>
        <v>15084.96</v>
      </c>
      <c r="H17" s="51">
        <f>IFERROR(VLOOKUP("343 Elm Ave Holding Costs",'[1]Balance Sheet'!$A:$B,2,0),0)</f>
        <v>0</v>
      </c>
      <c r="I17" s="51">
        <f>IFERROR(VLOOKUP(A17,'[1]Property List'!A:J,3,0),0)</f>
        <v>44100</v>
      </c>
      <c r="J17" s="51">
        <f>IFERROR(VLOOKUP("343 Elm Ave Construction",'[1]Balance Sheet'!$A:$B,2,0),0)</f>
        <v>0</v>
      </c>
      <c r="K17" s="52">
        <f t="shared" si="1"/>
        <v>205084.96</v>
      </c>
      <c r="L17" s="51">
        <f>IFERROR(VLOOKUP("Total 343 Elm Ave",'[1]Balance Sheet'!$A:$B,2,0),0)</f>
        <v>205084.96</v>
      </c>
      <c r="M17" s="57"/>
      <c r="N17" s="57">
        <f>VLOOKUP(A17, '[1]Kiavi Loans'!$A$3:$H$34, 7, FALSE)</f>
        <v>323000</v>
      </c>
      <c r="O17" s="54">
        <f t="shared" si="7"/>
        <v>22610.000000000004</v>
      </c>
      <c r="P17" s="55">
        <f t="shared" si="3"/>
        <v>95305.040000000008</v>
      </c>
      <c r="Q17" s="51">
        <f>VLOOKUP(A17,'[1]Kiavi Loans'!$A$3:$H$34,4,FALSE)</f>
        <v>190000</v>
      </c>
      <c r="R17" s="51">
        <f>VLOOKUP(A17, '[1]Kiavi Loans'!$A$3:$H$34, 5, FALSE)</f>
        <v>44100</v>
      </c>
      <c r="S17" s="51" t="str">
        <f>VLOOKUP(A17,'[1]Property List'!$A:$H,8,FALSE)</f>
        <v>Kiavi</v>
      </c>
      <c r="T17" s="56">
        <f>VLOOKUP(A17, '[1]Kiavi Loans'!$A$3:$H$34, 2, FALSE)</f>
        <v>34765811</v>
      </c>
      <c r="U17" s="54">
        <f t="shared" si="4"/>
        <v>110390</v>
      </c>
      <c r="V17" s="57">
        <f t="shared" ca="1" si="5"/>
        <v>0</v>
      </c>
      <c r="W17" s="54" t="str">
        <f>VLOOKUP(A17,'[1]Property List'!$A:$H,7,FALSE)</f>
        <v>Flip</v>
      </c>
      <c r="X17" s="54"/>
      <c r="Y17" s="54" t="str">
        <f>VLOOKUP(A17,'[1]Property List'!$A:$H,4,FALSE)</f>
        <v>Sheriff Sale</v>
      </c>
      <c r="Z17" s="54">
        <f>VLOOKUP(A17,'[1]Property List'!$A:$H,5,FALSE)</f>
        <v>0</v>
      </c>
      <c r="AA17" s="54" t="str">
        <f>VLOOKUP(A17,'[1]Property List'!$A:$H,6,FALSE)</f>
        <v>Burlington</v>
      </c>
      <c r="AB17" s="49" t="str">
        <f t="shared" si="6"/>
        <v>08/2024</v>
      </c>
    </row>
    <row r="18" spans="1:28" ht="15.75" customHeight="1" x14ac:dyDescent="0.3">
      <c r="A18" s="6" t="s">
        <v>31</v>
      </c>
      <c r="B18" s="48" t="s">
        <v>81</v>
      </c>
      <c r="C18" s="49">
        <f>VLOOKUP(A18,'[1]Property List'!$A:$B,2,FALSE)</f>
        <v>45161</v>
      </c>
      <c r="D18" s="49"/>
      <c r="E18" s="50">
        <f t="shared" ca="1" si="0"/>
        <v>418</v>
      </c>
      <c r="F18" s="51">
        <f>IFERROR(VLOOKUP("35 Pensdale Purchase Price",'[1]Balance Sheet'!$A:$B,2,0),0)</f>
        <v>165000</v>
      </c>
      <c r="G18" s="51">
        <f>IFERROR(VLOOKUP("35 Pensdale Closing Costs",'[1]Balance Sheet'!$A:$B,2,0),0)</f>
        <v>14336.41</v>
      </c>
      <c r="H18" s="51">
        <f>IFERROR(VLOOKUP("35 Pensdale Holding Costs",'[1]Balance Sheet'!$A:$B,2,0),0)</f>
        <v>19988.490000000002</v>
      </c>
      <c r="I18" s="51">
        <f>IFERROR(VLOOKUP(A18,'[1]Property List'!A:J,3,0),0)</f>
        <v>105000</v>
      </c>
      <c r="J18" s="51">
        <f>IFERROR(VLOOKUP("35 Pensdale Construction",'[1]Balance Sheet'!$A:$B,2,0),0)</f>
        <v>144151.32999999999</v>
      </c>
      <c r="K18" s="52">
        <f t="shared" si="1"/>
        <v>343476.23</v>
      </c>
      <c r="L18" s="51">
        <f>IFERROR(VLOOKUP("TOtal 35 Pensdale",'[1]Balance Sheet'!$A:$B,2,0),0)</f>
        <v>343476.23</v>
      </c>
      <c r="M18" s="57"/>
      <c r="N18" s="57">
        <v>430000</v>
      </c>
      <c r="O18" s="54">
        <f t="shared" si="7"/>
        <v>30100.000000000004</v>
      </c>
      <c r="P18" s="55">
        <f t="shared" si="3"/>
        <v>56423.770000000019</v>
      </c>
      <c r="Q18" s="51">
        <f>VLOOKUP(A18,'[1]Kiavi Loans'!$A$3:$H$34,4,FALSE)</f>
        <v>307000</v>
      </c>
      <c r="R18" s="51">
        <f>VLOOKUP(A18, '[1]Kiavi Loans'!$A$3:$H$34, 5, FALSE)</f>
        <v>0</v>
      </c>
      <c r="S18" s="51" t="str">
        <f>VLOOKUP(A18,'[1]Property List'!$A:$H,8,FALSE)</f>
        <v>Kiavi</v>
      </c>
      <c r="T18" s="56">
        <f>VLOOKUP(A18, '[1]Kiavi Loans'!$A$3:$H$34, 2, FALSE)</f>
        <v>34601083</v>
      </c>
      <c r="U18" s="54">
        <f t="shared" si="4"/>
        <v>92900</v>
      </c>
      <c r="V18" s="57">
        <f t="shared" ca="1" si="5"/>
        <v>344.85964114832535</v>
      </c>
      <c r="W18" s="54" t="str">
        <f>VLOOKUP(A18,'[1]Property List'!$A:$H,7,FALSE)</f>
        <v>Flip</v>
      </c>
      <c r="X18" s="54"/>
      <c r="Y18" s="54">
        <f>VLOOKUP(A18,'[1]Property List'!$A:$H,4,FALSE)</f>
        <v>0</v>
      </c>
      <c r="Z18" s="54" t="str">
        <f>VLOOKUP(A18,'[1]Property List'!$A:$H,5,FALSE)</f>
        <v>Politti</v>
      </c>
      <c r="AA18" s="54" t="str">
        <f>VLOOKUP(A18,'[1]Property List'!$A:$H,6,FALSE)</f>
        <v>Willingboro</v>
      </c>
      <c r="AB18" s="49" t="str">
        <f t="shared" si="6"/>
        <v>08/2023</v>
      </c>
    </row>
    <row r="19" spans="1:28" ht="15.75" customHeight="1" x14ac:dyDescent="0.3">
      <c r="A19" s="6" t="s">
        <v>32</v>
      </c>
      <c r="B19" s="48" t="s">
        <v>81</v>
      </c>
      <c r="C19" s="49">
        <f>VLOOKUP(A19,'[1]Property List'!$A:$B,2,FALSE)</f>
        <v>45481</v>
      </c>
      <c r="D19" s="49"/>
      <c r="E19" s="50">
        <f t="shared" ca="1" si="0"/>
        <v>98</v>
      </c>
      <c r="F19" s="51">
        <f>IFERROR(VLOOKUP("4 Goat Hill Purchase Price",'[1]Balance Sheet'!$A:$B,2,0),0)</f>
        <v>399000</v>
      </c>
      <c r="G19" s="51">
        <f>IFERROR(VLOOKUP("4 Goat Hill Closing Costs",'[1]Balance Sheet'!$A:$B,2,0),0)</f>
        <v>42714.17</v>
      </c>
      <c r="H19" s="51">
        <f>IFERROR(VLOOKUP("4 Goat Hill Holding Costs",'[1]Balance Sheet'!$A:$B,2,0),0)</f>
        <v>200</v>
      </c>
      <c r="I19" s="51">
        <f>IFERROR(VLOOKUP(A19,'[1]Property List'!A:J,3,0),0)</f>
        <v>47200</v>
      </c>
      <c r="J19" s="51">
        <f>IFERROR(VLOOKUP("4 Goat Hill Construction",'[1]Balance Sheet'!$A:$B,2,0),0)</f>
        <v>0</v>
      </c>
      <c r="K19" s="52">
        <f t="shared" si="1"/>
        <v>441914.17</v>
      </c>
      <c r="L19" s="51">
        <f>IFERROR(VLOOKUP("Total 4 Goat Hill",'[1]Balance Sheet'!$A:$B,2,0),0)</f>
        <v>441914.17</v>
      </c>
      <c r="M19" s="57"/>
      <c r="N19" s="57">
        <f>VLOOKUP(A19, '[1]Kiavi Loans'!$A$3:$H$34, 7, FALSE)</f>
        <v>595000</v>
      </c>
      <c r="O19" s="54">
        <f t="shared" si="7"/>
        <v>41650.000000000007</v>
      </c>
      <c r="P19" s="55">
        <f t="shared" si="3"/>
        <v>111435.83000000002</v>
      </c>
      <c r="Q19" s="51">
        <f>VLOOKUP(A19,'[1]Kiavi Loans'!$A$3:$H$34,4,FALSE)</f>
        <v>399000</v>
      </c>
      <c r="R19" s="51">
        <f>VLOOKUP(A19, '[1]Kiavi Loans'!$A$3:$H$34, 5, FALSE)</f>
        <v>47200</v>
      </c>
      <c r="S19" s="51" t="str">
        <f>VLOOKUP(A19,'[1]Property List'!$A:$H,8,FALSE)</f>
        <v>Kiavi</v>
      </c>
      <c r="T19" s="56">
        <f>VLOOKUP(A19, '[1]Kiavi Loans'!$A$3:$H$34, 2, FALSE)</f>
        <v>34738354</v>
      </c>
      <c r="U19" s="54">
        <f t="shared" si="4"/>
        <v>154350</v>
      </c>
      <c r="V19" s="57">
        <f t="shared" ca="1" si="5"/>
        <v>0</v>
      </c>
      <c r="W19" s="54" t="str">
        <f>VLOOKUP(A19,'[1]Property List'!$A:$H,7,FALSE)</f>
        <v>Flip</v>
      </c>
      <c r="X19" s="54"/>
      <c r="Y19" s="54" t="str">
        <f>VLOOKUP(A19,'[1]Property List'!$A:$H,4,FALSE)</f>
        <v>Sheriff Sale</v>
      </c>
      <c r="Z19" s="54" t="str">
        <f>VLOOKUP(A19,'[1]Property List'!$A:$H,5,FALSE)</f>
        <v>Not Assigned</v>
      </c>
      <c r="AA19" s="54" t="str">
        <f>VLOOKUP(A19,'[1]Property List'!$A:$H,6,FALSE)</f>
        <v>Sicklerville</v>
      </c>
      <c r="AB19" s="49" t="str">
        <f t="shared" si="6"/>
        <v>07/2024</v>
      </c>
    </row>
    <row r="20" spans="1:28" ht="15.75" customHeight="1" x14ac:dyDescent="0.3">
      <c r="A20" s="59" t="s">
        <v>33</v>
      </c>
      <c r="B20" s="48" t="s">
        <v>80</v>
      </c>
      <c r="C20" s="49">
        <f>VLOOKUP(A20,'[1]Property List'!$A:$B,2,FALSE)</f>
        <v>45422</v>
      </c>
      <c r="D20" s="49"/>
      <c r="E20" s="50">
        <f t="shared" ca="1" si="0"/>
        <v>157</v>
      </c>
      <c r="F20" s="51">
        <f>IFERROR(VLOOKUP("4 Huron Way Purchase Price",'[1]Balance Sheet'!$A:$B,2,0),0)</f>
        <v>310000</v>
      </c>
      <c r="G20" s="51">
        <f>IFERROR(VLOOKUP("4 Huron Way Closing Costs",'[1]Balance Sheet'!$A:$B,2,0),0)</f>
        <v>17657.84</v>
      </c>
      <c r="H20" s="51">
        <f>IFERROR(VLOOKUP("4 Huron Way Holding Costs",'[1]Balance Sheet'!$A:$B,2,0),0)</f>
        <v>7376.28</v>
      </c>
      <c r="I20" s="51">
        <f>IFERROR(VLOOKUP(A20,'[1]Property List'!A:J,3,0),0)</f>
        <v>100000</v>
      </c>
      <c r="J20" s="51">
        <f>IFERROR(VLOOKUP("4 Huron Way Construction",'[1]Balance Sheet'!$A:$B,2,0),0)</f>
        <v>101267.25</v>
      </c>
      <c r="K20" s="52">
        <f t="shared" si="1"/>
        <v>436301.37000000005</v>
      </c>
      <c r="L20" s="51">
        <f>IFERROR(VLOOKUP("Total 4 Huron Way",'[1]Balance Sheet'!$A:$B,2,0),0)</f>
        <v>436301.37</v>
      </c>
      <c r="M20" s="57"/>
      <c r="N20" s="57">
        <v>599000</v>
      </c>
      <c r="O20" s="54">
        <f t="shared" si="7"/>
        <v>41930.000000000007</v>
      </c>
      <c r="P20" s="55">
        <f t="shared" si="3"/>
        <v>120768.62999999995</v>
      </c>
      <c r="Q20" s="51">
        <f>VLOOKUP(A20,'[1]Kiavi Loans'!$A$3:$H$34,4,FALSE)</f>
        <v>450000</v>
      </c>
      <c r="R20" s="51">
        <f>VLOOKUP(A20, '[1]Kiavi Loans'!$A$3:$H$34, 5, FALSE)</f>
        <v>0</v>
      </c>
      <c r="S20" s="51" t="str">
        <f>VLOOKUP(A20,'[1]Property List'!$A:$H,8,FALSE)</f>
        <v>Kiavi</v>
      </c>
      <c r="T20" s="56">
        <f>VLOOKUP(A20, '[1]Kiavi Loans'!$A$3:$H$34, 2, FALSE)</f>
        <v>34721043</v>
      </c>
      <c r="U20" s="54">
        <f t="shared" si="4"/>
        <v>107070</v>
      </c>
      <c r="V20" s="57">
        <f t="shared" ca="1" si="5"/>
        <v>645.01433121019113</v>
      </c>
      <c r="W20" s="54" t="str">
        <f>VLOOKUP(A20,'[1]Property List'!$A:$H,7,FALSE)</f>
        <v>Flip</v>
      </c>
      <c r="X20" s="54"/>
      <c r="Y20" s="54" t="str">
        <f>VLOOKUP(A20,'[1]Property List'!$A:$H,4,FALSE)</f>
        <v>Referral</v>
      </c>
      <c r="Z20" s="54" t="str">
        <f>VLOOKUP(A20,'[1]Property List'!$A:$H,5,FALSE)</f>
        <v>Politti</v>
      </c>
      <c r="AA20" s="54" t="str">
        <f>VLOOKUP(A20,'[1]Property List'!$A:$H,6,FALSE)</f>
        <v>Lawrence</v>
      </c>
      <c r="AB20" s="49" t="str">
        <f t="shared" si="6"/>
        <v>05/2024</v>
      </c>
    </row>
    <row r="21" spans="1:28" ht="15.75" customHeight="1" x14ac:dyDescent="0.3">
      <c r="A21" s="59" t="s">
        <v>83</v>
      </c>
      <c r="B21" s="48" t="s">
        <v>81</v>
      </c>
      <c r="C21" s="49">
        <f>VLOOKUP(A21,'[1]Property List'!$A:$B,2,FALSE)</f>
        <v>45027</v>
      </c>
      <c r="D21" s="49"/>
      <c r="E21" s="50">
        <f t="shared" ca="1" si="0"/>
        <v>552</v>
      </c>
      <c r="F21" s="51">
        <f>IFERROR(VLOOKUP("43 Ellswoth Purchase Price",'[1]Balance Sheet'!$A:$B,2,0),0)</f>
        <v>0</v>
      </c>
      <c r="G21" s="51">
        <f>IFERROR(VLOOKUP("43 Ellswoth Closing Costs",'[1]Balance Sheet'!$A:$B,2,0),0)</f>
        <v>0</v>
      </c>
      <c r="H21" s="51">
        <f>IFERROR(VLOOKUP("43 Ellsworth",'[1]Balance Sheet'!$A:$B,2,0),0)</f>
        <v>31116.12</v>
      </c>
      <c r="I21" s="51">
        <f>IFERROR(VLOOKUP(A21,'[1]Property List'!A:J,3,0),0)</f>
        <v>0</v>
      </c>
      <c r="J21" s="51">
        <f>IFERROR(VLOOKUP("43 Ellswoth Construction",'[1]Balance Sheet'!$A:$B,2,0),0)</f>
        <v>0</v>
      </c>
      <c r="K21" s="52">
        <f t="shared" si="1"/>
        <v>31116.12</v>
      </c>
      <c r="L21" s="51">
        <f>IFERROR(VLOOKUP("TOtal 43 Ellswoth",'[1]Balance Sheet'!$A:$B,2,0),0)</f>
        <v>0</v>
      </c>
      <c r="M21" s="57"/>
      <c r="N21" s="57"/>
      <c r="O21" s="54"/>
      <c r="P21" s="55">
        <f t="shared" si="3"/>
        <v>-31116.12</v>
      </c>
      <c r="Q21" s="51"/>
      <c r="R21" s="51"/>
      <c r="S21" s="51"/>
      <c r="T21" s="56"/>
      <c r="U21" s="54">
        <f t="shared" si="4"/>
        <v>0</v>
      </c>
      <c r="V21" s="57">
        <f t="shared" ca="1" si="5"/>
        <v>0</v>
      </c>
      <c r="W21" s="54" t="str">
        <f>VLOOKUP(A21,'[1]Property List'!$A:$H,7,FALSE)</f>
        <v>Flip</v>
      </c>
      <c r="X21" s="54"/>
      <c r="Y21" s="54">
        <f>VLOOKUP(A21,'[1]Property List'!$A:$H,4,FALSE)</f>
        <v>0</v>
      </c>
      <c r="Z21" s="54" t="str">
        <f>VLOOKUP(A21,'[1]Property List'!$A:$H,5,FALSE)</f>
        <v>Not Assigned</v>
      </c>
      <c r="AA21" s="54" t="str">
        <f>VLOOKUP(A21,'[1]Property List'!$A:$H,6,FALSE)</f>
        <v>Trenton</v>
      </c>
      <c r="AB21" s="49" t="str">
        <f t="shared" si="6"/>
        <v>04/2023</v>
      </c>
    </row>
    <row r="22" spans="1:28" ht="15.75" customHeight="1" x14ac:dyDescent="0.3">
      <c r="A22" s="59" t="s">
        <v>34</v>
      </c>
      <c r="B22" s="48" t="s">
        <v>81</v>
      </c>
      <c r="C22" s="49">
        <f>VLOOKUP(A22,'[1]Property List'!$A:$B,2,FALSE)</f>
        <v>45443</v>
      </c>
      <c r="D22" s="49"/>
      <c r="E22" s="50">
        <f t="shared" ca="1" si="0"/>
        <v>136</v>
      </c>
      <c r="F22" s="51">
        <f>IFERROR(VLOOKUP("430 Kossuth St Purchase Price",'[1]Balance Sheet'!$A:$B,2,0),0)</f>
        <v>130000</v>
      </c>
      <c r="G22" s="51">
        <f>IFERROR(VLOOKUP("430 Kossuth St Closing Costs",'[1]Balance Sheet'!$A:$B,2,0),0)</f>
        <v>10847.59</v>
      </c>
      <c r="H22" s="51">
        <f>IFERROR(VLOOKUP("430 Kossuth St Holding Costs",'[1]Balance Sheet'!$A:$B,2,0),0)</f>
        <v>11047.65</v>
      </c>
      <c r="I22" s="51">
        <f>IFERROR(VLOOKUP(A22,'[1]Property List'!A:J,3,0),0)</f>
        <v>35000</v>
      </c>
      <c r="J22" s="51">
        <f>IFERROR(VLOOKUP("430 Kossuth St Construction",'[1]Balance Sheet'!$A:$B,2,0),0)</f>
        <v>3063.85</v>
      </c>
      <c r="K22" s="52">
        <f t="shared" si="1"/>
        <v>154959.09</v>
      </c>
      <c r="L22" s="51">
        <f>IFERROR(VLOOKUP("430 Kossuth St Construction",'[1]Balance Sheet'!$A:$B,2,0),0)</f>
        <v>3063.85</v>
      </c>
      <c r="M22" s="57"/>
      <c r="N22" s="57">
        <f>VLOOKUP(A22, '[1]Kiavi Loans'!$A$3:$H$34, 7, FALSE)</f>
        <v>250000</v>
      </c>
      <c r="O22" s="54">
        <f t="shared" ref="O22:O27" si="8">N22*0.07</f>
        <v>17500</v>
      </c>
      <c r="P22" s="55">
        <f t="shared" si="3"/>
        <v>77540.91</v>
      </c>
      <c r="Q22" s="51">
        <f>VLOOKUP(A22,'[1]Kiavi Loans'!$A$3:$H$34,4,FALSE)</f>
        <v>117000</v>
      </c>
      <c r="R22" s="51">
        <f>VLOOKUP(A22, '[1]Kiavi Loans'!$A$3:$H$34, 5, FALSE)</f>
        <v>70000</v>
      </c>
      <c r="S22" s="51" t="str">
        <f>VLOOKUP(A22,'[1]Property List'!$A:$H,8,FALSE)</f>
        <v>Kiavi</v>
      </c>
      <c r="T22" s="56">
        <f>VLOOKUP(A22, '[1]Kiavi Loans'!$A$3:$H$34, 2, FALSE)</f>
        <v>34733002</v>
      </c>
      <c r="U22" s="54">
        <f t="shared" si="4"/>
        <v>115500</v>
      </c>
      <c r="V22" s="57">
        <f t="shared" ca="1" si="5"/>
        <v>22.528308823529411</v>
      </c>
      <c r="W22" s="54" t="str">
        <f>VLOOKUP(A22,'[1]Property List'!$A:$H,7,FALSE)</f>
        <v>Flip</v>
      </c>
      <c r="X22" s="54"/>
      <c r="Y22" s="54" t="str">
        <f>VLOOKUP(A22,'[1]Property List'!$A:$H,4,FALSE)</f>
        <v>Direct Mail</v>
      </c>
      <c r="Z22" s="54" t="str">
        <f>VLOOKUP(A22,'[1]Property List'!$A:$H,5,FALSE)</f>
        <v xml:space="preserve">Politti </v>
      </c>
      <c r="AA22" s="54" t="str">
        <f>VLOOKUP(A22,'[1]Property List'!$A:$H,6,FALSE)</f>
        <v>Riverside</v>
      </c>
      <c r="AB22" s="49" t="str">
        <f t="shared" si="6"/>
        <v>05/2024</v>
      </c>
    </row>
    <row r="23" spans="1:28" ht="15.75" customHeight="1" x14ac:dyDescent="0.3">
      <c r="A23" s="6" t="s">
        <v>35</v>
      </c>
      <c r="B23" s="48" t="s">
        <v>81</v>
      </c>
      <c r="C23" s="49">
        <f>VLOOKUP(A23,'[1]Property List'!$A:$B,2,FALSE)</f>
        <v>45530</v>
      </c>
      <c r="D23" s="49"/>
      <c r="E23" s="50">
        <f t="shared" ca="1" si="0"/>
        <v>49</v>
      </c>
      <c r="F23" s="51">
        <f>IFERROR(VLOOKUP("586 Chestnut Ave Purchase Price",'[1]Balance Sheet'!$A:$B,2,0),0)</f>
        <v>130000</v>
      </c>
      <c r="G23" s="51">
        <f>IFERROR(VLOOKUP("586 Chestnut Ave Closing Costs",'[1]Balance Sheet'!$A:$B,2,0),0)</f>
        <v>9505.64</v>
      </c>
      <c r="H23" s="51">
        <f>IFERROR(VLOOKUP("586 Chestnut Ave Holding Costs",'[1]Balance Sheet'!$A:$B,2,0),0)</f>
        <v>0</v>
      </c>
      <c r="I23" s="51">
        <f>IFERROR(VLOOKUP(A23,'[1]Property List'!A:J,3,0),0)</f>
        <v>75000</v>
      </c>
      <c r="J23" s="51">
        <f>IFERROR(VLOOKUP("586 Chestnut Ave Construction",'[1]Balance Sheet'!$A:$B,2,0),0)</f>
        <v>0</v>
      </c>
      <c r="K23" s="52">
        <f t="shared" si="1"/>
        <v>139505.64000000001</v>
      </c>
      <c r="L23" s="51">
        <f>IFERROR(VLOOKUP("586 Chestnut Ave Construction",'[1]Balance Sheet'!$A:$B,2,0),0)</f>
        <v>0</v>
      </c>
      <c r="M23" s="57"/>
      <c r="N23" s="57">
        <f>VLOOKUP(A23, '[1]Kiavi Loans'!$A$3:$H$34, 7, FALSE)</f>
        <v>295000</v>
      </c>
      <c r="O23" s="54">
        <f t="shared" si="8"/>
        <v>20650.000000000004</v>
      </c>
      <c r="P23" s="55">
        <f t="shared" si="3"/>
        <v>134844.35999999999</v>
      </c>
      <c r="Q23" s="51">
        <f>VLOOKUP(A23,'[1]Kiavi Loans'!$A$3:$H$34,4,FALSE)</f>
        <v>130000</v>
      </c>
      <c r="R23" s="51">
        <f>VLOOKUP(A23, '[1]Kiavi Loans'!$A$3:$H$34, 5, FALSE)</f>
        <v>75000</v>
      </c>
      <c r="S23" s="51" t="str">
        <f>VLOOKUP(A23,'[1]Property List'!$A:$H,8,FALSE)</f>
        <v>Kiavi</v>
      </c>
      <c r="T23" s="56">
        <f>VLOOKUP(A23, '[1]Kiavi Loans'!$A$3:$H$34, 2, FALSE)</f>
        <v>34788595</v>
      </c>
      <c r="U23" s="54">
        <f t="shared" si="4"/>
        <v>144350</v>
      </c>
      <c r="V23" s="57">
        <f t="shared" ca="1" si="5"/>
        <v>0</v>
      </c>
      <c r="W23" s="54" t="str">
        <f>VLOOKUP(A23,'[1]Property List'!$A:$H,7,FALSE)</f>
        <v>Flip</v>
      </c>
      <c r="X23" s="54"/>
      <c r="Y23" s="54" t="str">
        <f>VLOOKUP(A23,'[1]Property List'!$A:$H,4,FALSE)</f>
        <v>Homelight</v>
      </c>
      <c r="Z23" s="54">
        <f>VLOOKUP(A23,'[1]Property List'!$A:$H,5,FALSE)</f>
        <v>0</v>
      </c>
      <c r="AA23" s="54" t="str">
        <f>VLOOKUP(A23,'[1]Property List'!$A:$H,6,FALSE)</f>
        <v>Trenton</v>
      </c>
      <c r="AB23" s="49" t="str">
        <f t="shared" si="6"/>
        <v>08/2024</v>
      </c>
    </row>
    <row r="24" spans="1:28" ht="15.75" customHeight="1" x14ac:dyDescent="0.3">
      <c r="A24" s="6" t="s">
        <v>36</v>
      </c>
      <c r="B24" s="48" t="s">
        <v>81</v>
      </c>
      <c r="C24" s="49">
        <f>VLOOKUP(A24,'[1]Property List'!$A:$B,2,FALSE)</f>
        <v>45490</v>
      </c>
      <c r="D24" s="49"/>
      <c r="E24" s="50">
        <f t="shared" ca="1" si="0"/>
        <v>89</v>
      </c>
      <c r="F24" s="51">
        <f>IFERROR(VLOOKUP("6 Pinehurst Ct Purchase Price",'[1]Balance Sheet'!$A:$B,2,0),0)</f>
        <v>197000</v>
      </c>
      <c r="G24" s="51">
        <f>IFERROR(VLOOKUP("6 Pinehurst Ct Closing Costs",'[1]Balance Sheet'!$A:$B,2,0),0)</f>
        <v>14134.11</v>
      </c>
      <c r="H24" s="51">
        <f>IFERROR(VLOOKUP("6 Pinehurst Ct Holding Costs",'[1]Balance Sheet'!$A:$B,2,0),0)</f>
        <v>500</v>
      </c>
      <c r="I24" s="51">
        <f>IFERROR(VLOOKUP(A24,'[1]Property List'!A:J,3,0),0)</f>
        <v>46500</v>
      </c>
      <c r="J24" s="51">
        <f>IFERROR(VLOOKUP("6 Pinehurst Ct Construction",'[1]Balance Sheet'!$A:$B,2,0),0)</f>
        <v>49962.94</v>
      </c>
      <c r="K24" s="52">
        <f t="shared" si="1"/>
        <v>261597.05</v>
      </c>
      <c r="L24" s="51">
        <f>IFERROR(VLOOKUP("6 Pinehurst Ct Construction",'[1]Balance Sheet'!$A:$B,2,0),0)</f>
        <v>49962.94</v>
      </c>
      <c r="M24" s="57"/>
      <c r="N24" s="57">
        <f>VLOOKUP(A24, '[1]Kiavi Loans'!$A$3:$H$34, 7, FALSE)</f>
        <v>325000</v>
      </c>
      <c r="O24" s="54">
        <f t="shared" si="8"/>
        <v>22750.000000000004</v>
      </c>
      <c r="P24" s="55">
        <f t="shared" si="3"/>
        <v>40652.950000000012</v>
      </c>
      <c r="Q24" s="51">
        <f>VLOOKUP(A24,'[1]Kiavi Loans'!$A$3:$H$34,4,FALSE)</f>
        <v>222650</v>
      </c>
      <c r="R24" s="51">
        <f>VLOOKUP(A24, '[1]Kiavi Loans'!$A$3:$H$34, 5, FALSE)</f>
        <v>19350</v>
      </c>
      <c r="S24" s="51" t="str">
        <f>VLOOKUP(A24,'[1]Property List'!$A:$H,8,FALSE)</f>
        <v>Kiavi</v>
      </c>
      <c r="T24" s="56">
        <f>VLOOKUP(A24, '[1]Kiavi Loans'!$A$3:$H$34, 2, FALSE)</f>
        <v>34756080</v>
      </c>
      <c r="U24" s="54">
        <f t="shared" si="4"/>
        <v>79600</v>
      </c>
      <c r="V24" s="57">
        <f t="shared" ca="1" si="5"/>
        <v>561.38134831460673</v>
      </c>
      <c r="W24" s="54" t="str">
        <f>VLOOKUP(A24,'[1]Property List'!$A:$H,7,FALSE)</f>
        <v>Flip</v>
      </c>
      <c r="X24" s="54"/>
      <c r="Y24" s="54" t="str">
        <f>VLOOKUP(A24,'[1]Property List'!$A:$H,4,FALSE)</f>
        <v>Sheriff Sale</v>
      </c>
      <c r="Z24" s="54" t="str">
        <f>VLOOKUP(A24,'[1]Property List'!$A:$H,5,FALSE)</f>
        <v>Politti</v>
      </c>
      <c r="AA24" s="54" t="str">
        <f>VLOOKUP(A24,'[1]Property List'!$A:$H,6,FALSE)</f>
        <v>Lindenwold</v>
      </c>
      <c r="AB24" s="49" t="str">
        <f t="shared" si="6"/>
        <v>07/2024</v>
      </c>
    </row>
    <row r="25" spans="1:28" ht="15.75" customHeight="1" x14ac:dyDescent="0.3">
      <c r="A25" s="6" t="s">
        <v>37</v>
      </c>
      <c r="B25" s="48" t="s">
        <v>81</v>
      </c>
      <c r="C25" s="49">
        <f>VLOOKUP(A25,'[1]Property List'!$A:$B,2,FALSE)</f>
        <v>45470</v>
      </c>
      <c r="D25" s="49"/>
      <c r="E25" s="50">
        <f t="shared" ca="1" si="0"/>
        <v>109</v>
      </c>
      <c r="F25" s="51">
        <f>IFERROR(VLOOKUP("607 Benton Lane Purchase Price",'[1]Balance Sheet'!$A:$B,2,0),0)</f>
        <v>235000</v>
      </c>
      <c r="G25" s="51">
        <f>IFERROR(VLOOKUP("607 Benton Lane Closing Costs",'[1]Balance Sheet'!$A:$B,2,0),0)</f>
        <v>21441.24</v>
      </c>
      <c r="H25" s="51">
        <f>IFERROR(VLOOKUP("607 Benton Lane Holding Costs",'[1]Balance Sheet'!$A:$B,2,0),0)</f>
        <v>8103.01</v>
      </c>
      <c r="I25" s="51">
        <f>IFERROR(VLOOKUP(A25,'[1]Property List'!A:J,3,0),0)</f>
        <v>70000</v>
      </c>
      <c r="J25" s="51">
        <f>IFERROR(VLOOKUP("607 Benton Lane Construction",'[1]Balance Sheet'!$A:$B,2,0),0)</f>
        <v>52325</v>
      </c>
      <c r="K25" s="52">
        <f t="shared" si="1"/>
        <v>316869.25</v>
      </c>
      <c r="L25" s="51">
        <f>IFERROR(VLOOKUP("607 Benton Lane Construction",'[1]Balance Sheet'!$A:$B,2,0),0)</f>
        <v>52325</v>
      </c>
      <c r="M25" s="57"/>
      <c r="N25" s="57">
        <f>VLOOKUP(A25, '[1]Kiavi Loans'!$A$3:$H$34, 7, FALSE)</f>
        <v>393000</v>
      </c>
      <c r="O25" s="54">
        <f t="shared" si="8"/>
        <v>27510.000000000004</v>
      </c>
      <c r="P25" s="55">
        <f t="shared" si="3"/>
        <v>48620.75</v>
      </c>
      <c r="Q25" s="51">
        <f>VLOOKUP(A25,'[1]Kiavi Loans'!$A$3:$H$34,4,FALSE)</f>
        <v>256125</v>
      </c>
      <c r="R25" s="51">
        <f>VLOOKUP(A25, '[1]Kiavi Loans'!$A$3:$H$34, 5, FALSE)</f>
        <v>38475</v>
      </c>
      <c r="S25" s="51" t="str">
        <f>VLOOKUP(A25,'[1]Property List'!$A:$H,8,FALSE)</f>
        <v>Kiavi</v>
      </c>
      <c r="T25" s="56">
        <f>VLOOKUP(A25, '[1]Kiavi Loans'!$A$3:$H$34, 2, FALSE)</f>
        <v>34754315</v>
      </c>
      <c r="U25" s="54">
        <f t="shared" si="4"/>
        <v>109365</v>
      </c>
      <c r="V25" s="57">
        <f t="shared" ca="1" si="5"/>
        <v>480.04587155963304</v>
      </c>
      <c r="W25" s="54" t="str">
        <f>VLOOKUP(A25,'[1]Property List'!$A:$H,7,FALSE)</f>
        <v>Flip</v>
      </c>
      <c r="X25" s="54"/>
      <c r="Y25" s="54" t="str">
        <f>VLOOKUP(A25,'[1]Property List'!$A:$H,4,FALSE)</f>
        <v>MLS</v>
      </c>
      <c r="Z25" s="54" t="str">
        <f>VLOOKUP(A25,'[1]Property List'!$A:$H,5,FALSE)</f>
        <v>Will &amp; Sons</v>
      </c>
      <c r="AA25" s="54" t="str">
        <f>VLOOKUP(A25,'[1]Property List'!$A:$H,6,FALSE)</f>
        <v>Morrisville</v>
      </c>
      <c r="AB25" s="49" t="str">
        <f t="shared" si="6"/>
        <v>06/2024</v>
      </c>
    </row>
    <row r="26" spans="1:28" ht="15.75" customHeight="1" x14ac:dyDescent="0.3">
      <c r="A26" s="6" t="s">
        <v>38</v>
      </c>
      <c r="B26" s="48" t="s">
        <v>81</v>
      </c>
      <c r="C26" s="49">
        <f>VLOOKUP(A26,'[1]Property List'!$A:$B,2,FALSE)</f>
        <v>45503</v>
      </c>
      <c r="D26" s="49"/>
      <c r="E26" s="50">
        <f t="shared" ca="1" si="0"/>
        <v>76</v>
      </c>
      <c r="F26" s="51">
        <f>IFERROR(VLOOKUP("6124 Camden Ave Purchase Price",'[1]Balance Sheet'!$A:$B,2,0),0)</f>
        <v>215000</v>
      </c>
      <c r="G26" s="51">
        <f>IFERROR(VLOOKUP("6124 Camden Ave Closing Costs",'[1]Balance Sheet'!$A:$B,2,0),0)</f>
        <v>14843.88</v>
      </c>
      <c r="H26" s="51">
        <f>IFERROR(VLOOKUP("6124 Camden Ave Holding Costs",'[1]Balance Sheet'!$A:$B,2,0),0)</f>
        <v>500</v>
      </c>
      <c r="I26" s="51">
        <f>IFERROR(VLOOKUP(A26,'[1]Property List'!A:J,3,0),0)</f>
        <v>70000</v>
      </c>
      <c r="J26" s="51">
        <f>IFERROR(VLOOKUP("6124 Camden Ave Construction",'[1]Balance Sheet'!$A:$B,2,0),0)</f>
        <v>29394</v>
      </c>
      <c r="K26" s="52">
        <f t="shared" si="1"/>
        <v>259737.88</v>
      </c>
      <c r="L26" s="51">
        <f>IFERROR(VLOOKUP("6124 Camden Ave Construction",'[1]Balance Sheet'!$A:$B,2,0),0)</f>
        <v>29394</v>
      </c>
      <c r="M26" s="57"/>
      <c r="N26" s="57">
        <f>VLOOKUP(A26, '[1]Kiavi Loans'!$A$3:$H$34, 7, FALSE)</f>
        <v>380000</v>
      </c>
      <c r="O26" s="54">
        <f t="shared" si="8"/>
        <v>26600.000000000004</v>
      </c>
      <c r="P26" s="55">
        <f t="shared" si="3"/>
        <v>93662.12</v>
      </c>
      <c r="Q26" s="51">
        <f>VLOOKUP(A26,'[1]Kiavi Loans'!$A$3:$H$34,4,FALSE)</f>
        <v>222000</v>
      </c>
      <c r="R26" s="51">
        <f>VLOOKUP(A26, '[1]Kiavi Loans'!$A$3:$H$34, 5, FALSE)</f>
        <v>63000</v>
      </c>
      <c r="S26" s="51" t="str">
        <f>VLOOKUP(A26,'[1]Property List'!$A:$H,8,FALSE)</f>
        <v>Kiavi</v>
      </c>
      <c r="T26" s="56">
        <f>VLOOKUP(A26, '[1]Kiavi Loans'!$A$3:$H$34, 2, FALSE)</f>
        <v>34765568</v>
      </c>
      <c r="U26" s="54">
        <f t="shared" si="4"/>
        <v>131400</v>
      </c>
      <c r="V26" s="57">
        <f t="shared" ca="1" si="5"/>
        <v>386.76315789473682</v>
      </c>
      <c r="W26" s="54" t="str">
        <f>VLOOKUP(A26,'[1]Property List'!$A:$H,7,FALSE)</f>
        <v>Flip</v>
      </c>
      <c r="X26" s="54"/>
      <c r="Y26" s="54" t="str">
        <f>VLOOKUP(A26,'[1]Property List'!$A:$H,4,FALSE)</f>
        <v>Sheriff Sale</v>
      </c>
      <c r="Z26" s="54" t="str">
        <f>VLOOKUP(A26,'[1]Property List'!$A:$H,5,FALSE)</f>
        <v>Politti</v>
      </c>
      <c r="AA26" s="54" t="str">
        <f>VLOOKUP(A26,'[1]Property List'!$A:$H,6,FALSE)</f>
        <v>Pennsauken</v>
      </c>
      <c r="AB26" s="49" t="str">
        <f t="shared" si="6"/>
        <v>07/2024</v>
      </c>
    </row>
    <row r="27" spans="1:28" ht="15.75" customHeight="1" x14ac:dyDescent="0.3">
      <c r="A27" s="6" t="s">
        <v>41</v>
      </c>
      <c r="B27" s="48" t="s">
        <v>81</v>
      </c>
      <c r="C27" s="49">
        <f>VLOOKUP(A27,'[1]Property List'!$A:$B,2,FALSE)</f>
        <v>45475</v>
      </c>
      <c r="D27" s="49"/>
      <c r="E27" s="50">
        <f t="shared" ca="1" si="0"/>
        <v>104</v>
      </c>
      <c r="F27" s="51">
        <f>IFERROR(VLOOKUP("943 Columbus Purchase Price",'[1]Balance Sheet'!$A:$B,2,0),0)</f>
        <v>200000</v>
      </c>
      <c r="G27" s="51">
        <f>IFERROR(VLOOKUP("943 Columbus Closing Costs",'[1]Balance Sheet'!$A:$B,2,0),0)</f>
        <v>18171.150000000001</v>
      </c>
      <c r="H27" s="51">
        <f>IFERROR(VLOOKUP("943 Columbus Holding Costs",'[1]Balance Sheet'!$A:$B,2,0),0)</f>
        <v>10226.06</v>
      </c>
      <c r="I27" s="51">
        <f>IFERROR(VLOOKUP(A27,'[1]Property List'!A:J,3,0),0)</f>
        <v>65000</v>
      </c>
      <c r="J27" s="51">
        <f>IFERROR(VLOOKUP("943 Columbus Construction",'[1]Balance Sheet'!$A:$B,2,0),0)</f>
        <v>3750</v>
      </c>
      <c r="K27" s="52">
        <f t="shared" si="1"/>
        <v>232147.21</v>
      </c>
      <c r="L27" s="51">
        <f>IFERROR(VLOOKUP("943 Columbus Construction",'[1]Balance Sheet'!$A:$B,2,0),0)</f>
        <v>3750</v>
      </c>
      <c r="M27" s="57"/>
      <c r="N27" s="57">
        <f>VLOOKUP(A27, '[1]Kiavi Loans'!$A$3:$H$350, 7, FALSE)</f>
        <v>360000</v>
      </c>
      <c r="O27" s="54">
        <f t="shared" si="8"/>
        <v>25200.000000000004</v>
      </c>
      <c r="P27" s="55">
        <f t="shared" si="3"/>
        <v>102652.79000000001</v>
      </c>
      <c r="Q27" s="51">
        <f>VLOOKUP(A27,'[1]Kiavi Loans'!$A$3:$H$50,4,FALSE)</f>
        <v>200000</v>
      </c>
      <c r="R27" s="51">
        <f>VLOOKUP(A27, '[1]Kiavi Loans'!$A$3:$H$50, 5, FALSE)</f>
        <v>65000</v>
      </c>
      <c r="S27" s="51" t="str">
        <f>VLOOKUP(A27,'[1]Property List'!$A:$H,8,FALSE)</f>
        <v>Kiavi</v>
      </c>
      <c r="T27" s="56">
        <f>VLOOKUP(A27, '[1]Kiavi Loans'!$A$3:$H$333, 2, FALSE)</f>
        <v>34763590</v>
      </c>
      <c r="U27" s="54">
        <f t="shared" si="4"/>
        <v>134800</v>
      </c>
      <c r="V27" s="57">
        <f t="shared" ca="1" si="5"/>
        <v>36.057692307692307</v>
      </c>
      <c r="W27" s="54" t="str">
        <f>VLOOKUP(A27,'[1]Property List'!$A:$H,7,FALSE)</f>
        <v>Flip</v>
      </c>
      <c r="X27" s="54"/>
      <c r="Y27" s="54" t="str">
        <f>VLOOKUP(A27,'[1]Property List'!$A:$H,4,FALSE)</f>
        <v>Direct Mail</v>
      </c>
      <c r="Z27" s="54" t="str">
        <f>VLOOKUP(A27,'[1]Property List'!$A:$H,5,FALSE)</f>
        <v>Not Assigned</v>
      </c>
      <c r="AA27" s="54" t="str">
        <f>VLOOKUP(A27,'[1]Property List'!$A:$H,6,FALSE)</f>
        <v>Burlington</v>
      </c>
      <c r="AB27" s="49" t="str">
        <f t="shared" si="6"/>
        <v>07/2024</v>
      </c>
    </row>
    <row r="28" spans="1:28" ht="15.75" customHeight="1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62"/>
      <c r="U28" s="39"/>
      <c r="V28" s="39"/>
      <c r="W28" s="39"/>
      <c r="X28" s="39"/>
      <c r="Y28" s="39"/>
      <c r="Z28" s="39"/>
      <c r="AA28" s="39"/>
      <c r="AB28" s="40"/>
    </row>
    <row r="29" spans="1:28" ht="15.75" customHeight="1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62"/>
      <c r="U29" s="39"/>
      <c r="V29" s="39"/>
      <c r="W29" s="39"/>
      <c r="X29" s="39"/>
      <c r="Y29" s="39"/>
      <c r="Z29" s="39"/>
      <c r="AA29" s="39"/>
      <c r="AB29" s="40"/>
    </row>
    <row r="30" spans="1:28" ht="15.75" customHeight="1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62"/>
      <c r="U30" s="39"/>
      <c r="V30" s="39"/>
      <c r="W30" s="39"/>
      <c r="X30" s="39"/>
      <c r="Y30" s="39"/>
      <c r="Z30" s="39"/>
      <c r="AA30" s="39"/>
      <c r="AB30" s="40"/>
    </row>
    <row r="31" spans="1:28" ht="15.75" customHeight="1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62"/>
      <c r="U31" s="39"/>
      <c r="V31" s="39"/>
      <c r="W31" s="39"/>
      <c r="X31" s="39"/>
      <c r="Y31" s="39"/>
      <c r="Z31" s="39"/>
      <c r="AA31" s="39"/>
      <c r="AB31" s="40"/>
    </row>
    <row r="32" spans="1:28" ht="15.75" customHeight="1" x14ac:dyDescent="0.3">
      <c r="A32" s="63"/>
      <c r="B32" s="64"/>
      <c r="C32" s="65"/>
      <c r="D32" s="66"/>
      <c r="E32" s="66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8"/>
      <c r="U32" s="67"/>
      <c r="V32" s="66"/>
      <c r="W32" s="66"/>
      <c r="X32" s="64"/>
      <c r="Y32" s="64"/>
      <c r="Z32" s="64"/>
      <c r="AA32" s="64"/>
      <c r="AB32" s="69"/>
    </row>
    <row r="33" spans="1:28" ht="15.75" customHeight="1" x14ac:dyDescent="0.3">
      <c r="A33" s="70"/>
      <c r="B33" s="71"/>
      <c r="C33" s="72"/>
      <c r="D33" s="72"/>
      <c r="E33" s="73"/>
      <c r="F33" s="74"/>
      <c r="G33" s="74"/>
      <c r="H33" s="74"/>
      <c r="I33" s="74"/>
      <c r="J33" s="74"/>
      <c r="K33" s="75"/>
      <c r="L33" s="74"/>
      <c r="M33" s="74"/>
      <c r="N33" s="74"/>
      <c r="O33" s="74"/>
      <c r="P33" s="76"/>
      <c r="Q33" s="74"/>
      <c r="R33" s="74"/>
      <c r="S33" s="74"/>
      <c r="T33" s="77"/>
      <c r="U33" s="74"/>
      <c r="V33" s="74"/>
      <c r="W33" s="74"/>
      <c r="X33" s="74"/>
      <c r="Y33" s="74"/>
      <c r="Z33" s="74"/>
      <c r="AA33" s="74"/>
      <c r="AB33" s="40"/>
    </row>
    <row r="34" spans="1:28" ht="15.75" customHeight="1" x14ac:dyDescent="0.3">
      <c r="A34" s="70"/>
      <c r="B34" s="71"/>
      <c r="C34" s="72"/>
      <c r="D34" s="72"/>
      <c r="E34" s="73"/>
      <c r="F34" s="74"/>
      <c r="G34" s="74"/>
      <c r="H34" s="74"/>
      <c r="I34" s="74"/>
      <c r="J34" s="74"/>
      <c r="K34" s="75"/>
      <c r="L34" s="74"/>
      <c r="M34" s="74"/>
      <c r="N34" s="74"/>
      <c r="O34" s="74"/>
      <c r="P34" s="76"/>
      <c r="Q34" s="74"/>
      <c r="R34" s="74"/>
      <c r="S34" s="74"/>
      <c r="T34" s="77"/>
      <c r="U34" s="74"/>
      <c r="V34" s="74"/>
      <c r="W34" s="74"/>
      <c r="X34" s="74"/>
      <c r="Y34" s="74"/>
      <c r="Z34" s="74"/>
      <c r="AA34" s="74"/>
      <c r="AB34" s="40"/>
    </row>
    <row r="35" spans="1:28" ht="15.75" customHeight="1" x14ac:dyDescent="0.3">
      <c r="A35" s="70"/>
      <c r="B35" s="71"/>
      <c r="C35" s="72"/>
      <c r="D35" s="72"/>
      <c r="E35" s="73"/>
      <c r="F35" s="74"/>
      <c r="G35" s="74"/>
      <c r="H35" s="74"/>
      <c r="I35" s="74"/>
      <c r="J35" s="74"/>
      <c r="K35" s="75"/>
      <c r="L35" s="74"/>
      <c r="M35" s="74"/>
      <c r="N35" s="74"/>
      <c r="O35" s="74"/>
      <c r="P35" s="76"/>
      <c r="Q35" s="74"/>
      <c r="R35" s="74"/>
      <c r="S35" s="74"/>
      <c r="T35" s="77"/>
      <c r="U35" s="74"/>
      <c r="V35" s="74"/>
      <c r="W35" s="74"/>
      <c r="X35" s="74"/>
      <c r="Y35" s="74"/>
      <c r="Z35" s="74"/>
      <c r="AA35" s="74"/>
      <c r="AB35" s="40"/>
    </row>
    <row r="36" spans="1:28" ht="15.75" customHeight="1" x14ac:dyDescent="0.3">
      <c r="A36" s="70"/>
      <c r="B36" s="71"/>
      <c r="C36" s="72"/>
      <c r="D36" s="72"/>
      <c r="E36" s="73"/>
      <c r="F36" s="74"/>
      <c r="G36" s="74"/>
      <c r="H36" s="74"/>
      <c r="I36" s="74"/>
      <c r="J36" s="74"/>
      <c r="K36" s="75"/>
      <c r="L36" s="74"/>
      <c r="M36" s="74"/>
      <c r="N36" s="74"/>
      <c r="O36" s="74"/>
      <c r="P36" s="76"/>
      <c r="Q36" s="74"/>
      <c r="R36" s="74"/>
      <c r="S36" s="74"/>
      <c r="T36" s="77"/>
      <c r="U36" s="74"/>
      <c r="V36" s="74"/>
      <c r="W36" s="74"/>
      <c r="X36" s="74"/>
      <c r="Y36" s="74"/>
      <c r="Z36" s="74"/>
      <c r="AA36" s="74"/>
      <c r="AB36" s="40"/>
    </row>
    <row r="37" spans="1:28" ht="15.75" customHeight="1" x14ac:dyDescent="0.3">
      <c r="A37" s="70"/>
      <c r="B37" s="71"/>
      <c r="C37" s="72"/>
      <c r="D37" s="72"/>
      <c r="E37" s="73"/>
      <c r="F37" s="74"/>
      <c r="G37" s="74"/>
      <c r="H37" s="74"/>
      <c r="I37" s="74"/>
      <c r="J37" s="74"/>
      <c r="K37" s="75"/>
      <c r="L37" s="74"/>
      <c r="M37" s="74"/>
      <c r="N37" s="74"/>
      <c r="O37" s="74"/>
      <c r="P37" s="76"/>
      <c r="Q37" s="74"/>
      <c r="R37" s="74"/>
      <c r="S37" s="74"/>
      <c r="T37" s="77"/>
      <c r="U37" s="74"/>
      <c r="V37" s="74"/>
      <c r="W37" s="74"/>
      <c r="X37" s="74"/>
      <c r="Y37" s="74"/>
      <c r="Z37" s="74"/>
      <c r="AA37" s="74"/>
      <c r="AB37" s="40"/>
    </row>
    <row r="38" spans="1:28" ht="15.75" customHeight="1" x14ac:dyDescent="0.3">
      <c r="A38" s="70"/>
      <c r="B38" s="71"/>
      <c r="C38" s="72"/>
      <c r="D38" s="72"/>
      <c r="E38" s="73"/>
      <c r="F38" s="74"/>
      <c r="G38" s="74"/>
      <c r="H38" s="74"/>
      <c r="I38" s="74"/>
      <c r="J38" s="74"/>
      <c r="K38" s="75"/>
      <c r="L38" s="74"/>
      <c r="M38" s="74"/>
      <c r="N38" s="74"/>
      <c r="O38" s="74"/>
      <c r="P38" s="76"/>
      <c r="Q38" s="74"/>
      <c r="R38" s="74"/>
      <c r="S38" s="74"/>
      <c r="T38" s="77"/>
      <c r="U38" s="74"/>
      <c r="V38" s="74"/>
      <c r="W38" s="74"/>
      <c r="X38" s="74"/>
      <c r="Y38" s="74"/>
      <c r="Z38" s="74"/>
      <c r="AA38" s="74"/>
      <c r="AB38" s="40"/>
    </row>
    <row r="39" spans="1:28" ht="15.75" customHeight="1" x14ac:dyDescent="0.3">
      <c r="A39" s="70"/>
      <c r="B39" s="71"/>
      <c r="C39" s="72"/>
      <c r="D39" s="72"/>
      <c r="E39" s="73"/>
      <c r="F39" s="74"/>
      <c r="G39" s="74"/>
      <c r="H39" s="74"/>
      <c r="I39" s="74"/>
      <c r="J39" s="74"/>
      <c r="K39" s="75"/>
      <c r="L39" s="74"/>
      <c r="M39" s="74"/>
      <c r="N39" s="74"/>
      <c r="O39" s="74"/>
      <c r="P39" s="76"/>
      <c r="Q39" s="74"/>
      <c r="R39" s="74"/>
      <c r="S39" s="74"/>
      <c r="T39" s="77"/>
      <c r="U39" s="74"/>
      <c r="V39" s="74"/>
      <c r="W39" s="74"/>
      <c r="X39" s="74"/>
      <c r="Y39" s="74"/>
      <c r="Z39" s="74"/>
      <c r="AA39" s="74"/>
      <c r="AB39" s="40"/>
    </row>
    <row r="40" spans="1:28" ht="15.75" customHeight="1" x14ac:dyDescent="0.3">
      <c r="A40" s="70"/>
      <c r="B40" s="71"/>
      <c r="C40" s="72"/>
      <c r="D40" s="72"/>
      <c r="E40" s="73"/>
      <c r="F40" s="74"/>
      <c r="G40" s="74"/>
      <c r="H40" s="74"/>
      <c r="I40" s="74"/>
      <c r="J40" s="74"/>
      <c r="K40" s="75"/>
      <c r="L40" s="74"/>
      <c r="M40" s="74"/>
      <c r="N40" s="74"/>
      <c r="O40" s="74"/>
      <c r="P40" s="76"/>
      <c r="Q40" s="74"/>
      <c r="R40" s="74"/>
      <c r="S40" s="74"/>
      <c r="T40" s="77"/>
      <c r="U40" s="74"/>
      <c r="V40" s="74"/>
      <c r="W40" s="74"/>
      <c r="X40" s="74"/>
      <c r="Y40" s="74"/>
      <c r="Z40" s="74"/>
      <c r="AA40" s="74"/>
      <c r="AB40" s="40"/>
    </row>
    <row r="41" spans="1:28" ht="15.6" hidden="1" x14ac:dyDescent="0.3">
      <c r="E41" s="73"/>
      <c r="I41" s="74"/>
      <c r="K41" s="75"/>
      <c r="O41" s="74"/>
      <c r="P41" s="76"/>
      <c r="T41" s="78"/>
      <c r="U41" s="74"/>
      <c r="V41" s="74"/>
      <c r="W41" s="74"/>
      <c r="AB41" s="79"/>
    </row>
    <row r="42" spans="1:28" ht="15.75" customHeight="1" x14ac:dyDescent="0.3">
      <c r="A42" s="70"/>
      <c r="B42" s="71"/>
      <c r="C42" s="72"/>
      <c r="D42" s="72"/>
      <c r="E42" s="73"/>
      <c r="F42" s="74"/>
      <c r="G42" s="74"/>
      <c r="H42" s="74"/>
      <c r="I42" s="74"/>
      <c r="J42" s="74"/>
      <c r="K42" s="75"/>
      <c r="L42" s="74"/>
      <c r="M42" s="74"/>
      <c r="N42" s="74"/>
      <c r="O42" s="74"/>
      <c r="P42" s="76"/>
      <c r="Q42" s="74"/>
      <c r="R42" s="74"/>
      <c r="S42" s="74"/>
      <c r="T42" s="77"/>
      <c r="U42" s="74"/>
      <c r="V42" s="74"/>
      <c r="W42" s="74"/>
      <c r="X42" s="74"/>
      <c r="Y42" s="74"/>
      <c r="Z42" s="74"/>
      <c r="AA42" s="74"/>
      <c r="AB42" s="40"/>
    </row>
    <row r="43" spans="1:28" ht="15.75" customHeight="1" x14ac:dyDescent="0.3">
      <c r="A43" s="70"/>
      <c r="B43" s="71"/>
      <c r="C43" s="72"/>
      <c r="D43" s="80"/>
      <c r="E43" s="73"/>
      <c r="F43" s="74"/>
      <c r="G43" s="74"/>
      <c r="H43" s="74"/>
      <c r="I43" s="74"/>
      <c r="J43" s="74"/>
      <c r="K43" s="75"/>
      <c r="L43" s="74"/>
      <c r="M43" s="74"/>
      <c r="N43" s="74"/>
      <c r="O43" s="74"/>
      <c r="P43" s="76"/>
      <c r="Q43" s="74"/>
      <c r="R43" s="74"/>
      <c r="S43" s="74"/>
      <c r="T43" s="77"/>
      <c r="U43" s="74"/>
      <c r="V43" s="74"/>
      <c r="W43" s="74"/>
      <c r="X43" s="74"/>
      <c r="Y43" s="74"/>
      <c r="Z43" s="74"/>
      <c r="AA43" s="74"/>
      <c r="AB43" s="40"/>
    </row>
    <row r="44" spans="1:28" ht="15.75" customHeight="1" x14ac:dyDescent="0.3">
      <c r="A44" s="70"/>
      <c r="B44" s="71"/>
      <c r="C44" s="72"/>
      <c r="D44" s="72"/>
      <c r="E44" s="73"/>
      <c r="F44" s="74"/>
      <c r="G44" s="74"/>
      <c r="H44" s="74"/>
      <c r="I44" s="74"/>
      <c r="J44" s="74"/>
      <c r="K44" s="75"/>
      <c r="L44" s="74"/>
      <c r="M44" s="74"/>
      <c r="N44" s="74"/>
      <c r="O44" s="74"/>
      <c r="P44" s="76"/>
      <c r="Q44" s="74"/>
      <c r="R44" s="74"/>
      <c r="S44" s="74"/>
      <c r="T44" s="77"/>
      <c r="U44" s="74"/>
      <c r="V44" s="74"/>
      <c r="W44" s="74"/>
      <c r="X44" s="74"/>
      <c r="Y44" s="74"/>
      <c r="Z44" s="74"/>
      <c r="AA44" s="74"/>
      <c r="AB44" s="40"/>
    </row>
    <row r="45" spans="1:28" ht="15.75" customHeight="1" x14ac:dyDescent="0.3">
      <c r="A45" s="70"/>
      <c r="B45" s="71"/>
      <c r="C45" s="72"/>
      <c r="D45" s="72"/>
      <c r="E45" s="73"/>
      <c r="F45" s="74"/>
      <c r="G45" s="74"/>
      <c r="H45" s="74"/>
      <c r="I45" s="74"/>
      <c r="J45" s="74"/>
      <c r="K45" s="75"/>
      <c r="L45" s="74"/>
      <c r="M45" s="74"/>
      <c r="N45" s="74"/>
      <c r="O45" s="74"/>
      <c r="P45" s="76"/>
      <c r="Q45" s="74"/>
      <c r="R45" s="74"/>
      <c r="S45" s="74"/>
      <c r="T45" s="77"/>
      <c r="U45" s="74"/>
      <c r="V45" s="74"/>
      <c r="W45" s="74"/>
      <c r="X45" s="74"/>
      <c r="Y45" s="74"/>
      <c r="Z45" s="74"/>
      <c r="AA45" s="74"/>
      <c r="AB45" s="40"/>
    </row>
    <row r="46" spans="1:28" ht="15.75" customHeight="1" x14ac:dyDescent="0.3">
      <c r="A46" s="70"/>
      <c r="B46" s="71"/>
      <c r="C46" s="72"/>
      <c r="D46" s="72"/>
      <c r="E46" s="73"/>
      <c r="F46" s="74"/>
      <c r="G46" s="74"/>
      <c r="H46" s="74"/>
      <c r="I46" s="74"/>
      <c r="J46" s="74"/>
      <c r="K46" s="75"/>
      <c r="L46" s="74"/>
      <c r="M46" s="74"/>
      <c r="N46" s="74"/>
      <c r="O46" s="74"/>
      <c r="P46" s="76"/>
      <c r="Q46" s="74"/>
      <c r="R46" s="74"/>
      <c r="S46" s="74"/>
      <c r="T46" s="77"/>
      <c r="U46" s="74"/>
      <c r="V46" s="74"/>
      <c r="W46" s="74"/>
      <c r="X46" s="74"/>
      <c r="Y46" s="74"/>
      <c r="Z46" s="74"/>
      <c r="AA46" s="74"/>
      <c r="AB46" s="40"/>
    </row>
    <row r="47" spans="1:28" ht="15.75" customHeight="1" x14ac:dyDescent="0.3">
      <c r="A47" s="70"/>
      <c r="B47" s="71"/>
      <c r="C47" s="72"/>
      <c r="D47" s="72"/>
      <c r="E47" s="73"/>
      <c r="F47" s="74"/>
      <c r="G47" s="74"/>
      <c r="H47" s="74"/>
      <c r="I47" s="74"/>
      <c r="J47" s="74"/>
      <c r="K47" s="75"/>
      <c r="L47" s="74"/>
      <c r="M47" s="74"/>
      <c r="N47" s="74"/>
      <c r="O47" s="74"/>
      <c r="P47" s="76"/>
      <c r="Q47" s="74"/>
      <c r="R47" s="74"/>
      <c r="S47" s="74"/>
      <c r="T47" s="77"/>
      <c r="U47" s="74"/>
      <c r="V47" s="74"/>
      <c r="W47" s="74"/>
      <c r="X47" s="74"/>
      <c r="Y47" s="74"/>
      <c r="Z47" s="74"/>
      <c r="AA47" s="74"/>
      <c r="AB47" s="40"/>
    </row>
    <row r="48" spans="1:28" ht="15.75" customHeight="1" x14ac:dyDescent="0.3">
      <c r="A48" s="70"/>
      <c r="B48" s="71"/>
      <c r="C48" s="72"/>
      <c r="D48" s="72"/>
      <c r="E48" s="73"/>
      <c r="F48" s="74"/>
      <c r="G48" s="74"/>
      <c r="H48" s="74"/>
      <c r="I48" s="74"/>
      <c r="J48" s="74"/>
      <c r="K48" s="75"/>
      <c r="L48" s="74"/>
      <c r="M48" s="74"/>
      <c r="N48" s="74"/>
      <c r="O48" s="74"/>
      <c r="P48" s="76"/>
      <c r="Q48" s="74"/>
      <c r="R48" s="74"/>
      <c r="S48" s="74"/>
      <c r="T48" s="77"/>
      <c r="U48" s="74"/>
      <c r="V48" s="74"/>
      <c r="W48" s="74"/>
      <c r="X48" s="74"/>
      <c r="Y48" s="74"/>
      <c r="Z48" s="74"/>
      <c r="AA48" s="74"/>
      <c r="AB48" s="40"/>
    </row>
    <row r="49" spans="1:28" ht="15.75" customHeight="1" x14ac:dyDescent="0.3">
      <c r="A49" s="70"/>
      <c r="B49" s="71"/>
      <c r="C49" s="72"/>
      <c r="D49" s="72"/>
      <c r="E49" s="73"/>
      <c r="F49" s="74"/>
      <c r="G49" s="74"/>
      <c r="H49" s="74"/>
      <c r="I49" s="74"/>
      <c r="J49" s="74"/>
      <c r="K49" s="75"/>
      <c r="L49" s="74"/>
      <c r="M49" s="74"/>
      <c r="N49" s="74"/>
      <c r="O49" s="74"/>
      <c r="P49" s="76"/>
      <c r="Q49" s="74"/>
      <c r="R49" s="74"/>
      <c r="S49" s="74"/>
      <c r="T49" s="77"/>
      <c r="U49" s="74"/>
      <c r="V49" s="74"/>
      <c r="W49" s="74"/>
      <c r="X49" s="74"/>
      <c r="Y49" s="74"/>
      <c r="Z49" s="74"/>
      <c r="AA49" s="74"/>
      <c r="AB49" s="40"/>
    </row>
    <row r="50" spans="1:28" ht="15.75" customHeight="1" x14ac:dyDescent="0.3">
      <c r="A50" s="70"/>
      <c r="B50" s="71"/>
      <c r="C50" s="72"/>
      <c r="D50" s="72"/>
      <c r="E50" s="73"/>
      <c r="F50" s="74"/>
      <c r="G50" s="74"/>
      <c r="H50" s="74"/>
      <c r="I50" s="74"/>
      <c r="J50" s="74"/>
      <c r="K50" s="75"/>
      <c r="L50" s="74"/>
      <c r="M50" s="74"/>
      <c r="N50" s="74"/>
      <c r="O50" s="74"/>
      <c r="P50" s="76"/>
      <c r="Q50" s="74"/>
      <c r="R50" s="74"/>
      <c r="S50" s="74"/>
      <c r="T50" s="77"/>
      <c r="U50" s="74"/>
      <c r="V50" s="74"/>
      <c r="W50" s="74"/>
      <c r="X50" s="74"/>
      <c r="Y50" s="74"/>
      <c r="Z50" s="74"/>
      <c r="AA50" s="74"/>
      <c r="AB50" s="40"/>
    </row>
    <row r="51" spans="1:28" ht="15.75" customHeight="1" x14ac:dyDescent="0.3">
      <c r="A51" s="70"/>
      <c r="B51" s="71"/>
      <c r="C51" s="72"/>
      <c r="D51" s="72"/>
      <c r="E51" s="73"/>
      <c r="F51" s="74"/>
      <c r="G51" s="74"/>
      <c r="H51" s="74"/>
      <c r="I51" s="74"/>
      <c r="J51" s="74"/>
      <c r="K51" s="75"/>
      <c r="L51" s="74"/>
      <c r="M51" s="74"/>
      <c r="N51" s="74"/>
      <c r="O51" s="74"/>
      <c r="P51" s="76"/>
      <c r="Q51" s="74"/>
      <c r="R51" s="74"/>
      <c r="S51" s="74"/>
      <c r="T51" s="77"/>
      <c r="U51" s="74"/>
      <c r="V51" s="74"/>
      <c r="W51" s="74"/>
      <c r="X51" s="74"/>
      <c r="Y51" s="74"/>
      <c r="Z51" s="74"/>
      <c r="AA51" s="74"/>
      <c r="AB51" s="40"/>
    </row>
    <row r="52" spans="1:28" ht="15.75" customHeight="1" x14ac:dyDescent="0.3">
      <c r="A52" s="70"/>
      <c r="B52" s="71"/>
      <c r="C52" s="72"/>
      <c r="D52" s="72"/>
      <c r="E52" s="73"/>
      <c r="F52" s="74"/>
      <c r="G52" s="74"/>
      <c r="H52" s="74"/>
      <c r="I52" s="74"/>
      <c r="J52" s="74"/>
      <c r="K52" s="75"/>
      <c r="L52" s="74"/>
      <c r="M52" s="74"/>
      <c r="N52" s="74"/>
      <c r="O52" s="74"/>
      <c r="P52" s="76"/>
      <c r="Q52" s="74"/>
      <c r="R52" s="74"/>
      <c r="S52" s="74"/>
      <c r="T52" s="77"/>
      <c r="U52" s="74"/>
      <c r="V52" s="74"/>
      <c r="W52" s="74"/>
      <c r="X52" s="74"/>
      <c r="Y52" s="74"/>
      <c r="Z52" s="74"/>
      <c r="AA52" s="74"/>
      <c r="AB52" s="40"/>
    </row>
    <row r="53" spans="1:28" ht="15.75" customHeight="1" x14ac:dyDescent="0.3">
      <c r="A53" s="70"/>
      <c r="B53" s="71"/>
      <c r="C53" s="72"/>
      <c r="D53" s="72"/>
      <c r="E53" s="73"/>
      <c r="F53" s="74"/>
      <c r="G53" s="74"/>
      <c r="H53" s="74"/>
      <c r="I53" s="74"/>
      <c r="J53" s="74"/>
      <c r="K53" s="75"/>
      <c r="L53" s="74"/>
      <c r="M53" s="74"/>
      <c r="N53" s="74"/>
      <c r="O53" s="74"/>
      <c r="P53" s="76"/>
      <c r="Q53" s="74"/>
      <c r="R53" s="74"/>
      <c r="S53" s="74"/>
      <c r="T53" s="77"/>
      <c r="U53" s="74"/>
      <c r="V53" s="74"/>
      <c r="W53" s="74"/>
      <c r="X53" s="74"/>
      <c r="Y53" s="74"/>
      <c r="Z53" s="74"/>
      <c r="AA53" s="74"/>
      <c r="AB53" s="40"/>
    </row>
    <row r="54" spans="1:28" ht="15.75" customHeight="1" x14ac:dyDescent="0.3">
      <c r="A54" s="70"/>
      <c r="B54" s="71"/>
      <c r="C54" s="72"/>
      <c r="D54" s="72"/>
      <c r="E54" s="73"/>
      <c r="F54" s="74"/>
      <c r="G54" s="74"/>
      <c r="H54" s="74"/>
      <c r="I54" s="74"/>
      <c r="J54" s="74"/>
      <c r="K54" s="75"/>
      <c r="L54" s="74"/>
      <c r="M54" s="74"/>
      <c r="N54" s="74"/>
      <c r="O54" s="74"/>
      <c r="P54" s="76"/>
      <c r="Q54" s="74"/>
      <c r="R54" s="74"/>
      <c r="S54" s="74"/>
      <c r="T54" s="77"/>
      <c r="U54" s="74"/>
      <c r="V54" s="74"/>
      <c r="W54" s="74"/>
      <c r="X54" s="74"/>
      <c r="Y54" s="74"/>
      <c r="Z54" s="74"/>
      <c r="AA54" s="74"/>
      <c r="AB54" s="40"/>
    </row>
    <row r="55" spans="1:28" ht="15.75" customHeight="1" x14ac:dyDescent="0.3">
      <c r="A55" s="70"/>
      <c r="B55" s="71"/>
      <c r="C55" s="72"/>
      <c r="D55" s="72"/>
      <c r="E55" s="73"/>
      <c r="F55" s="74"/>
      <c r="G55" s="74"/>
      <c r="H55" s="74"/>
      <c r="I55" s="74"/>
      <c r="J55" s="74"/>
      <c r="K55" s="75"/>
      <c r="L55" s="74"/>
      <c r="M55" s="74"/>
      <c r="N55" s="74"/>
      <c r="O55" s="74"/>
      <c r="P55" s="76"/>
      <c r="Q55" s="74"/>
      <c r="R55" s="74"/>
      <c r="S55" s="74"/>
      <c r="T55" s="77"/>
      <c r="U55" s="74"/>
      <c r="V55" s="74"/>
      <c r="W55" s="74"/>
      <c r="X55" s="74"/>
      <c r="Y55" s="74"/>
      <c r="Z55" s="74"/>
      <c r="AA55" s="74"/>
      <c r="AB55" s="40"/>
    </row>
    <row r="56" spans="1:28" ht="15.75" customHeight="1" x14ac:dyDescent="0.3">
      <c r="A56" s="70"/>
      <c r="B56" s="71"/>
      <c r="C56" s="72"/>
      <c r="D56" s="72"/>
      <c r="E56" s="73"/>
      <c r="F56" s="74"/>
      <c r="G56" s="74"/>
      <c r="H56" s="74"/>
      <c r="I56" s="74"/>
      <c r="J56" s="74"/>
      <c r="K56" s="75"/>
      <c r="L56" s="74"/>
      <c r="M56" s="74"/>
      <c r="N56" s="74"/>
      <c r="O56" s="74"/>
      <c r="P56" s="76"/>
      <c r="Q56" s="74"/>
      <c r="R56" s="74"/>
      <c r="S56" s="74"/>
      <c r="T56" s="77"/>
      <c r="U56" s="74"/>
      <c r="V56" s="74"/>
      <c r="W56" s="74"/>
      <c r="X56" s="74"/>
      <c r="Y56" s="74"/>
      <c r="Z56" s="74"/>
      <c r="AA56" s="74"/>
      <c r="AB56" s="40"/>
    </row>
    <row r="57" spans="1:28" ht="15.75" customHeight="1" x14ac:dyDescent="0.3">
      <c r="A57" s="70"/>
      <c r="B57" s="71"/>
      <c r="C57" s="72"/>
      <c r="D57" s="72"/>
      <c r="E57" s="73"/>
      <c r="F57" s="74"/>
      <c r="G57" s="74"/>
      <c r="H57" s="74"/>
      <c r="I57" s="74"/>
      <c r="J57" s="74"/>
      <c r="K57" s="75"/>
      <c r="L57" s="74"/>
      <c r="M57" s="74"/>
      <c r="N57" s="74"/>
      <c r="O57" s="74"/>
      <c r="P57" s="76"/>
      <c r="Q57" s="74"/>
      <c r="R57" s="74"/>
      <c r="S57" s="74"/>
      <c r="T57" s="77"/>
      <c r="U57" s="74"/>
      <c r="V57" s="74"/>
      <c r="W57" s="74"/>
      <c r="X57" s="74"/>
      <c r="Y57" s="74"/>
      <c r="Z57" s="74"/>
      <c r="AA57" s="74"/>
      <c r="AB57" s="40"/>
    </row>
    <row r="58" spans="1:28" ht="15.75" customHeight="1" x14ac:dyDescent="0.3">
      <c r="A58" s="70"/>
      <c r="B58" s="71"/>
      <c r="C58" s="72"/>
      <c r="D58" s="72"/>
      <c r="E58" s="73"/>
      <c r="F58" s="74"/>
      <c r="G58" s="74"/>
      <c r="H58" s="74"/>
      <c r="I58" s="74"/>
      <c r="J58" s="74"/>
      <c r="K58" s="75"/>
      <c r="L58" s="74"/>
      <c r="M58" s="74"/>
      <c r="N58" s="74"/>
      <c r="O58" s="74"/>
      <c r="P58" s="76"/>
      <c r="Q58" s="74"/>
      <c r="R58" s="74"/>
      <c r="S58" s="74"/>
      <c r="T58" s="77"/>
      <c r="U58" s="74"/>
      <c r="V58" s="74"/>
      <c r="W58" s="74"/>
      <c r="X58" s="74"/>
      <c r="Y58" s="74"/>
      <c r="Z58" s="74"/>
      <c r="AA58" s="74"/>
      <c r="AB58" s="40"/>
    </row>
    <row r="59" spans="1:28" ht="15.75" customHeight="1" x14ac:dyDescent="0.3">
      <c r="A59" s="70"/>
      <c r="B59" s="71"/>
      <c r="C59" s="72"/>
      <c r="D59" s="72"/>
      <c r="E59" s="73"/>
      <c r="F59" s="74"/>
      <c r="G59" s="74"/>
      <c r="H59" s="74"/>
      <c r="I59" s="74"/>
      <c r="J59" s="74"/>
      <c r="K59" s="75"/>
      <c r="L59" s="74"/>
      <c r="M59" s="74"/>
      <c r="N59" s="74"/>
      <c r="O59" s="74"/>
      <c r="P59" s="76"/>
      <c r="Q59" s="74"/>
      <c r="R59" s="74"/>
      <c r="S59" s="74"/>
      <c r="T59" s="77"/>
      <c r="U59" s="74"/>
      <c r="V59" s="74"/>
      <c r="W59" s="74"/>
      <c r="X59" s="74"/>
      <c r="Y59" s="74"/>
      <c r="Z59" s="74"/>
      <c r="AA59" s="74"/>
      <c r="AB59" s="40"/>
    </row>
    <row r="60" spans="1:28" ht="15.75" customHeight="1" x14ac:dyDescent="0.3">
      <c r="A60" s="70"/>
      <c r="B60" s="71"/>
      <c r="C60" s="72"/>
      <c r="D60" s="72"/>
      <c r="E60" s="73"/>
      <c r="F60" s="74"/>
      <c r="G60" s="74"/>
      <c r="H60" s="74"/>
      <c r="I60" s="74"/>
      <c r="J60" s="74"/>
      <c r="K60" s="75"/>
      <c r="L60" s="74"/>
      <c r="M60" s="74"/>
      <c r="N60" s="74"/>
      <c r="O60" s="74"/>
      <c r="P60" s="76"/>
      <c r="Q60" s="74"/>
      <c r="R60" s="74"/>
      <c r="S60" s="74"/>
      <c r="T60" s="77"/>
      <c r="U60" s="74"/>
      <c r="V60" s="74"/>
      <c r="W60" s="74"/>
      <c r="X60" s="74"/>
      <c r="Y60" s="74"/>
      <c r="Z60" s="74"/>
      <c r="AA60" s="74"/>
      <c r="AB60" s="40"/>
    </row>
    <row r="61" spans="1:28" ht="15.75" customHeight="1" x14ac:dyDescent="0.3">
      <c r="A61" s="70"/>
      <c r="B61" s="71"/>
      <c r="C61" s="72"/>
      <c r="D61" s="72"/>
      <c r="E61" s="73"/>
      <c r="F61" s="74"/>
      <c r="G61" s="74"/>
      <c r="H61" s="74"/>
      <c r="I61" s="74"/>
      <c r="J61" s="74"/>
      <c r="K61" s="75"/>
      <c r="L61" s="74"/>
      <c r="M61" s="74"/>
      <c r="N61" s="74"/>
      <c r="O61" s="74"/>
      <c r="P61" s="76"/>
      <c r="Q61" s="74"/>
      <c r="R61" s="74"/>
      <c r="S61" s="74"/>
      <c r="T61" s="77"/>
      <c r="U61" s="74"/>
      <c r="V61" s="74"/>
      <c r="W61" s="74"/>
      <c r="X61" s="74"/>
      <c r="Y61" s="74"/>
      <c r="Z61" s="74"/>
      <c r="AA61" s="74"/>
      <c r="AB61" s="40"/>
    </row>
    <row r="62" spans="1:28" ht="15.75" customHeight="1" x14ac:dyDescent="0.3">
      <c r="A62" s="70"/>
      <c r="B62" s="71"/>
      <c r="C62" s="72"/>
      <c r="D62" s="72"/>
      <c r="E62" s="73"/>
      <c r="F62" s="74"/>
      <c r="G62" s="74"/>
      <c r="H62" s="74"/>
      <c r="I62" s="74"/>
      <c r="J62" s="74"/>
      <c r="K62" s="75"/>
      <c r="L62" s="74"/>
      <c r="M62" s="74"/>
      <c r="N62" s="74"/>
      <c r="O62" s="74"/>
      <c r="P62" s="76"/>
      <c r="Q62" s="74"/>
      <c r="R62" s="74"/>
      <c r="S62" s="74"/>
      <c r="T62" s="77"/>
      <c r="U62" s="74"/>
      <c r="V62" s="74"/>
      <c r="W62" s="74"/>
      <c r="X62" s="74"/>
      <c r="Y62" s="74"/>
      <c r="Z62" s="74"/>
      <c r="AA62" s="74"/>
      <c r="AB62" s="40"/>
    </row>
    <row r="63" spans="1:28" ht="15.75" customHeight="1" x14ac:dyDescent="0.3">
      <c r="A63" s="70"/>
      <c r="B63" s="71"/>
      <c r="C63" s="72"/>
      <c r="D63" s="72"/>
      <c r="E63" s="73"/>
      <c r="F63" s="74"/>
      <c r="G63" s="74"/>
      <c r="H63" s="74"/>
      <c r="I63" s="74"/>
      <c r="J63" s="74"/>
      <c r="K63" s="75"/>
      <c r="L63" s="74"/>
      <c r="M63" s="74"/>
      <c r="N63" s="74"/>
      <c r="O63" s="74"/>
      <c r="P63" s="76"/>
      <c r="Q63" s="74"/>
      <c r="R63" s="74"/>
      <c r="S63" s="74"/>
      <c r="T63" s="77"/>
      <c r="U63" s="74"/>
      <c r="V63" s="74"/>
      <c r="W63" s="74"/>
      <c r="X63" s="74"/>
      <c r="Y63" s="74"/>
      <c r="Z63" s="74"/>
      <c r="AA63" s="74"/>
      <c r="AB63" s="40"/>
    </row>
    <row r="64" spans="1:28" ht="15.75" customHeight="1" x14ac:dyDescent="0.3">
      <c r="A64" s="70"/>
      <c r="B64" s="71"/>
      <c r="C64" s="72"/>
      <c r="D64" s="72"/>
      <c r="E64" s="73"/>
      <c r="F64" s="74"/>
      <c r="G64" s="74"/>
      <c r="H64" s="74"/>
      <c r="I64" s="74"/>
      <c r="J64" s="74"/>
      <c r="K64" s="75"/>
      <c r="L64" s="74"/>
      <c r="M64" s="74"/>
      <c r="N64" s="74"/>
      <c r="O64" s="74"/>
      <c r="P64" s="76"/>
      <c r="Q64" s="74"/>
      <c r="R64" s="74"/>
      <c r="S64" s="74"/>
      <c r="T64" s="77"/>
      <c r="U64" s="74"/>
      <c r="V64" s="74"/>
      <c r="W64" s="74"/>
      <c r="X64" s="74"/>
      <c r="Y64" s="74"/>
      <c r="Z64" s="74"/>
      <c r="AA64" s="74"/>
      <c r="AB64" s="40"/>
    </row>
    <row r="65" spans="1:28" ht="15.75" customHeight="1" x14ac:dyDescent="0.3">
      <c r="A65" s="70"/>
      <c r="B65" s="71"/>
      <c r="C65" s="72"/>
      <c r="D65" s="72"/>
      <c r="E65" s="73"/>
      <c r="F65" s="74"/>
      <c r="G65" s="74"/>
      <c r="H65" s="74"/>
      <c r="I65" s="74"/>
      <c r="J65" s="74"/>
      <c r="K65" s="75"/>
      <c r="L65" s="74"/>
      <c r="M65" s="74"/>
      <c r="N65" s="74"/>
      <c r="O65" s="74"/>
      <c r="P65" s="76"/>
      <c r="Q65" s="74"/>
      <c r="R65" s="74"/>
      <c r="S65" s="74"/>
      <c r="T65" s="77"/>
      <c r="U65" s="74"/>
      <c r="V65" s="74"/>
      <c r="W65" s="74"/>
      <c r="X65" s="74"/>
      <c r="Y65" s="74"/>
      <c r="Z65" s="74"/>
      <c r="AA65" s="74"/>
      <c r="AB65" s="40"/>
    </row>
    <row r="66" spans="1:28" ht="15.75" customHeight="1" x14ac:dyDescent="0.3">
      <c r="A66" s="70"/>
      <c r="B66" s="71"/>
      <c r="C66" s="72"/>
      <c r="D66" s="72"/>
      <c r="E66" s="73"/>
      <c r="F66" s="74"/>
      <c r="G66" s="74"/>
      <c r="H66" s="74"/>
      <c r="I66" s="74"/>
      <c r="J66" s="74"/>
      <c r="K66" s="75"/>
      <c r="L66" s="74"/>
      <c r="M66" s="74"/>
      <c r="N66" s="74"/>
      <c r="O66" s="74"/>
      <c r="P66" s="76"/>
      <c r="Q66" s="74"/>
      <c r="R66" s="74"/>
      <c r="S66" s="74"/>
      <c r="T66" s="77"/>
      <c r="U66" s="74"/>
      <c r="V66" s="74"/>
      <c r="W66" s="74"/>
      <c r="X66" s="74"/>
      <c r="Y66" s="74"/>
      <c r="Z66" s="74"/>
      <c r="AA66" s="74"/>
      <c r="AB66" s="40"/>
    </row>
    <row r="67" spans="1:28" ht="15.75" customHeight="1" x14ac:dyDescent="0.3">
      <c r="A67" s="70"/>
      <c r="B67" s="71"/>
      <c r="C67" s="72"/>
      <c r="D67" s="72"/>
      <c r="E67" s="73"/>
      <c r="F67" s="74"/>
      <c r="G67" s="74"/>
      <c r="H67" s="74"/>
      <c r="I67" s="74"/>
      <c r="J67" s="74"/>
      <c r="K67" s="75"/>
      <c r="L67" s="74"/>
      <c r="M67" s="74"/>
      <c r="N67" s="74"/>
      <c r="O67" s="74"/>
      <c r="P67" s="76"/>
      <c r="Q67" s="74"/>
      <c r="R67" s="74"/>
      <c r="S67" s="74"/>
      <c r="T67" s="77"/>
      <c r="U67" s="74"/>
      <c r="V67" s="74"/>
      <c r="W67" s="74"/>
      <c r="X67" s="74"/>
      <c r="Y67" s="74"/>
      <c r="Z67" s="74"/>
      <c r="AA67" s="74"/>
      <c r="AB67" s="40"/>
    </row>
    <row r="68" spans="1:28" ht="15.75" customHeight="1" x14ac:dyDescent="0.3">
      <c r="A68" s="70"/>
      <c r="B68" s="71"/>
      <c r="C68" s="72"/>
      <c r="D68" s="72"/>
      <c r="E68" s="73"/>
      <c r="F68" s="74"/>
      <c r="G68" s="74"/>
      <c r="H68" s="74"/>
      <c r="I68" s="74"/>
      <c r="J68" s="74"/>
      <c r="K68" s="75"/>
      <c r="L68" s="74"/>
      <c r="M68" s="74"/>
      <c r="N68" s="74"/>
      <c r="O68" s="74"/>
      <c r="P68" s="76"/>
      <c r="Q68" s="74"/>
      <c r="R68" s="74"/>
      <c r="S68" s="74"/>
      <c r="T68" s="77"/>
      <c r="U68" s="74"/>
      <c r="V68" s="74"/>
      <c r="W68" s="74"/>
      <c r="X68" s="74"/>
      <c r="Y68" s="74"/>
      <c r="Z68" s="74"/>
      <c r="AA68" s="74"/>
      <c r="AB68" s="40"/>
    </row>
    <row r="69" spans="1:28" ht="15.75" customHeight="1" x14ac:dyDescent="0.3">
      <c r="A69" s="70"/>
      <c r="B69" s="71"/>
      <c r="C69" s="72"/>
      <c r="D69" s="72"/>
      <c r="E69" s="73"/>
      <c r="F69" s="74"/>
      <c r="G69" s="74"/>
      <c r="H69" s="74"/>
      <c r="I69" s="74"/>
      <c r="J69" s="74"/>
      <c r="K69" s="75"/>
      <c r="L69" s="74"/>
      <c r="M69" s="74"/>
      <c r="N69" s="74"/>
      <c r="O69" s="74"/>
      <c r="P69" s="76"/>
      <c r="Q69" s="74"/>
      <c r="R69" s="74"/>
      <c r="S69" s="74"/>
      <c r="T69" s="77"/>
      <c r="U69" s="74"/>
      <c r="V69" s="74"/>
      <c r="W69" s="74"/>
      <c r="X69" s="74"/>
      <c r="Y69" s="74"/>
      <c r="Z69" s="74"/>
      <c r="AA69" s="74"/>
      <c r="AB69" s="40"/>
    </row>
    <row r="70" spans="1:28" ht="15.75" customHeight="1" x14ac:dyDescent="0.3">
      <c r="A70" s="70"/>
      <c r="B70" s="71"/>
      <c r="C70" s="72"/>
      <c r="D70" s="72"/>
      <c r="E70" s="73"/>
      <c r="F70" s="74"/>
      <c r="G70" s="74"/>
      <c r="H70" s="74"/>
      <c r="I70" s="74"/>
      <c r="J70" s="74"/>
      <c r="K70" s="75"/>
      <c r="L70" s="74"/>
      <c r="M70" s="74"/>
      <c r="N70" s="74"/>
      <c r="O70" s="74"/>
      <c r="P70" s="76"/>
      <c r="Q70" s="74"/>
      <c r="R70" s="74"/>
      <c r="S70" s="74"/>
      <c r="T70" s="77"/>
      <c r="U70" s="74"/>
      <c r="V70" s="74"/>
      <c r="W70" s="74"/>
      <c r="X70" s="74"/>
      <c r="Y70" s="74"/>
      <c r="Z70" s="74"/>
      <c r="AA70" s="74"/>
      <c r="AB70" s="40"/>
    </row>
    <row r="71" spans="1:28" ht="15.75" customHeight="1" x14ac:dyDescent="0.3">
      <c r="A71" s="70"/>
      <c r="B71" s="71"/>
      <c r="C71" s="72"/>
      <c r="D71" s="72"/>
      <c r="E71" s="73"/>
      <c r="F71" s="74"/>
      <c r="G71" s="74"/>
      <c r="H71" s="74"/>
      <c r="I71" s="74"/>
      <c r="J71" s="74"/>
      <c r="K71" s="75"/>
      <c r="L71" s="74"/>
      <c r="M71" s="74"/>
      <c r="N71" s="74"/>
      <c r="O71" s="74"/>
      <c r="P71" s="76"/>
      <c r="Q71" s="74"/>
      <c r="R71" s="74"/>
      <c r="S71" s="74"/>
      <c r="T71" s="77"/>
      <c r="U71" s="74"/>
      <c r="V71" s="74"/>
      <c r="W71" s="74"/>
      <c r="X71" s="74"/>
      <c r="Y71" s="74"/>
      <c r="Z71" s="74"/>
      <c r="AA71" s="74"/>
      <c r="AB71" s="40"/>
    </row>
    <row r="72" spans="1:28" ht="15.75" customHeight="1" x14ac:dyDescent="0.3">
      <c r="A72" s="70"/>
      <c r="B72" s="71"/>
      <c r="C72" s="72"/>
      <c r="D72" s="72"/>
      <c r="E72" s="73"/>
      <c r="F72" s="74"/>
      <c r="G72" s="74"/>
      <c r="H72" s="74"/>
      <c r="I72" s="74"/>
      <c r="J72" s="74"/>
      <c r="K72" s="75"/>
      <c r="L72" s="74"/>
      <c r="M72" s="74"/>
      <c r="N72" s="74"/>
      <c r="O72" s="74"/>
      <c r="P72" s="76"/>
      <c r="Q72" s="74"/>
      <c r="R72" s="74"/>
      <c r="S72" s="74"/>
      <c r="T72" s="77"/>
      <c r="U72" s="74"/>
      <c r="V72" s="74"/>
      <c r="W72" s="74"/>
      <c r="X72" s="74"/>
      <c r="Y72" s="74"/>
      <c r="Z72" s="74"/>
      <c r="AA72" s="74"/>
      <c r="AB72" s="40"/>
    </row>
    <row r="73" spans="1:28" ht="15.75" customHeight="1" x14ac:dyDescent="0.3">
      <c r="A73" s="70"/>
      <c r="B73" s="71"/>
      <c r="C73" s="72"/>
      <c r="D73" s="72"/>
      <c r="E73" s="73"/>
      <c r="F73" s="74"/>
      <c r="G73" s="74"/>
      <c r="H73" s="74"/>
      <c r="I73" s="74"/>
      <c r="J73" s="74"/>
      <c r="K73" s="75"/>
      <c r="L73" s="74"/>
      <c r="M73" s="74"/>
      <c r="N73" s="74"/>
      <c r="O73" s="74"/>
      <c r="P73" s="76"/>
      <c r="Q73" s="74"/>
      <c r="R73" s="74"/>
      <c r="S73" s="74"/>
      <c r="T73" s="77"/>
      <c r="U73" s="74"/>
      <c r="V73" s="74"/>
      <c r="W73" s="74"/>
      <c r="X73" s="74"/>
      <c r="Y73" s="74"/>
      <c r="Z73" s="74"/>
      <c r="AA73" s="74"/>
      <c r="AB73" s="40"/>
    </row>
    <row r="74" spans="1:28" ht="15.75" customHeight="1" x14ac:dyDescent="0.3">
      <c r="A74" s="70"/>
      <c r="B74" s="71"/>
      <c r="C74" s="72"/>
      <c r="D74" s="72"/>
      <c r="E74" s="73"/>
      <c r="F74" s="74"/>
      <c r="G74" s="74"/>
      <c r="H74" s="74"/>
      <c r="I74" s="74"/>
      <c r="J74" s="74"/>
      <c r="K74" s="75"/>
      <c r="L74" s="74"/>
      <c r="M74" s="74"/>
      <c r="N74" s="74"/>
      <c r="O74" s="74"/>
      <c r="P74" s="76"/>
      <c r="Q74" s="74"/>
      <c r="R74" s="74"/>
      <c r="S74" s="74"/>
      <c r="T74" s="77"/>
      <c r="U74" s="74"/>
      <c r="V74" s="74"/>
      <c r="W74" s="74"/>
      <c r="X74" s="74"/>
      <c r="Y74" s="74"/>
      <c r="Z74" s="74"/>
      <c r="AA74" s="74"/>
      <c r="AB74" s="40"/>
    </row>
    <row r="75" spans="1:28" ht="15.75" customHeight="1" x14ac:dyDescent="0.3">
      <c r="A75" s="70"/>
      <c r="B75" s="71"/>
      <c r="C75" s="72"/>
      <c r="D75" s="72"/>
      <c r="E75" s="73"/>
      <c r="F75" s="74"/>
      <c r="G75" s="74"/>
      <c r="H75" s="74"/>
      <c r="I75" s="74"/>
      <c r="J75" s="74"/>
      <c r="K75" s="75"/>
      <c r="L75" s="74"/>
      <c r="M75" s="74"/>
      <c r="N75" s="74"/>
      <c r="O75" s="74"/>
      <c r="P75" s="76"/>
      <c r="Q75" s="74"/>
      <c r="R75" s="74"/>
      <c r="S75" s="74"/>
      <c r="T75" s="77"/>
      <c r="U75" s="74"/>
      <c r="V75" s="74"/>
      <c r="W75" s="74"/>
      <c r="X75" s="74"/>
      <c r="Y75" s="74"/>
      <c r="Z75" s="74"/>
      <c r="AA75" s="74"/>
      <c r="AB75" s="40"/>
    </row>
    <row r="76" spans="1:28" ht="15.75" customHeight="1" x14ac:dyDescent="0.3">
      <c r="A76" s="70"/>
      <c r="B76" s="71"/>
      <c r="C76" s="72"/>
      <c r="D76" s="72"/>
      <c r="E76" s="73"/>
      <c r="F76" s="74"/>
      <c r="G76" s="74"/>
      <c r="H76" s="74"/>
      <c r="I76" s="74"/>
      <c r="J76" s="74"/>
      <c r="K76" s="75"/>
      <c r="L76" s="74"/>
      <c r="M76" s="74"/>
      <c r="N76" s="74"/>
      <c r="O76" s="74"/>
      <c r="P76" s="76"/>
      <c r="Q76" s="74"/>
      <c r="R76" s="74"/>
      <c r="S76" s="74"/>
      <c r="T76" s="77"/>
      <c r="U76" s="74"/>
      <c r="V76" s="74"/>
      <c r="W76" s="74"/>
      <c r="X76" s="74"/>
      <c r="Y76" s="74"/>
      <c r="Z76" s="74"/>
      <c r="AA76" s="74"/>
      <c r="AB76" s="40"/>
    </row>
    <row r="77" spans="1:28" ht="15.75" customHeight="1" x14ac:dyDescent="0.3">
      <c r="A77" s="70"/>
      <c r="B77" s="71"/>
      <c r="C77" s="72"/>
      <c r="D77" s="72"/>
      <c r="E77" s="73"/>
      <c r="F77" s="74"/>
      <c r="G77" s="74"/>
      <c r="H77" s="74"/>
      <c r="I77" s="74"/>
      <c r="J77" s="74"/>
      <c r="K77" s="75"/>
      <c r="L77" s="74"/>
      <c r="M77" s="74"/>
      <c r="N77" s="74"/>
      <c r="O77" s="74"/>
      <c r="P77" s="76"/>
      <c r="Q77" s="74"/>
      <c r="R77" s="74"/>
      <c r="S77" s="74"/>
      <c r="T77" s="77"/>
      <c r="U77" s="74"/>
      <c r="V77" s="74"/>
      <c r="W77" s="74"/>
      <c r="X77" s="74"/>
      <c r="Y77" s="74"/>
      <c r="Z77" s="74"/>
      <c r="AA77" s="74"/>
      <c r="AB77" s="40"/>
    </row>
    <row r="78" spans="1:28" ht="15.75" customHeight="1" x14ac:dyDescent="0.3">
      <c r="A78" s="70"/>
      <c r="B78" s="71"/>
      <c r="C78" s="72"/>
      <c r="D78" s="72"/>
      <c r="E78" s="73"/>
      <c r="F78" s="74"/>
      <c r="G78" s="74"/>
      <c r="H78" s="74"/>
      <c r="I78" s="74"/>
      <c r="J78" s="74"/>
      <c r="K78" s="75"/>
      <c r="L78" s="74"/>
      <c r="M78" s="74"/>
      <c r="N78" s="74"/>
      <c r="O78" s="74"/>
      <c r="P78" s="76"/>
      <c r="Q78" s="74"/>
      <c r="R78" s="74"/>
      <c r="S78" s="74"/>
      <c r="T78" s="77"/>
      <c r="U78" s="74"/>
      <c r="V78" s="74"/>
      <c r="W78" s="74"/>
      <c r="X78" s="74"/>
      <c r="Y78" s="74"/>
      <c r="Z78" s="74"/>
      <c r="AA78" s="74"/>
      <c r="AB78" s="40"/>
    </row>
    <row r="79" spans="1:28" ht="15.75" customHeight="1" x14ac:dyDescent="0.3">
      <c r="A79" s="70"/>
      <c r="B79" s="71"/>
      <c r="C79" s="72"/>
      <c r="D79" s="72"/>
      <c r="E79" s="73"/>
      <c r="F79" s="74"/>
      <c r="G79" s="74"/>
      <c r="H79" s="74"/>
      <c r="I79" s="74"/>
      <c r="J79" s="74"/>
      <c r="K79" s="75"/>
      <c r="L79" s="74"/>
      <c r="M79" s="74"/>
      <c r="N79" s="74"/>
      <c r="O79" s="74"/>
      <c r="P79" s="76"/>
      <c r="Q79" s="74"/>
      <c r="R79" s="74"/>
      <c r="S79" s="74"/>
      <c r="T79" s="77"/>
      <c r="U79" s="74"/>
      <c r="V79" s="74"/>
      <c r="W79" s="74"/>
      <c r="X79" s="74"/>
      <c r="Y79" s="74"/>
      <c r="Z79" s="74"/>
      <c r="AA79" s="74"/>
      <c r="AB79" s="40"/>
    </row>
    <row r="80" spans="1:28" ht="15.75" customHeight="1" x14ac:dyDescent="0.3">
      <c r="A80" s="70"/>
      <c r="B80" s="71"/>
      <c r="C80" s="72"/>
      <c r="D80" s="72"/>
      <c r="E80" s="73"/>
      <c r="F80" s="74"/>
      <c r="G80" s="74"/>
      <c r="H80" s="74"/>
      <c r="I80" s="74"/>
      <c r="J80" s="74"/>
      <c r="K80" s="75"/>
      <c r="L80" s="74"/>
      <c r="M80" s="74"/>
      <c r="N80" s="74"/>
      <c r="O80" s="74"/>
      <c r="P80" s="76"/>
      <c r="Q80" s="74"/>
      <c r="R80" s="74"/>
      <c r="S80" s="74"/>
      <c r="T80" s="77"/>
      <c r="U80" s="74"/>
      <c r="V80" s="74"/>
      <c r="W80" s="74"/>
      <c r="X80" s="74"/>
      <c r="Y80" s="74"/>
      <c r="Z80" s="74"/>
      <c r="AA80" s="74"/>
      <c r="AB80" s="40"/>
    </row>
    <row r="81" spans="1:28" ht="15.75" customHeight="1" x14ac:dyDescent="0.3">
      <c r="A81" s="70"/>
      <c r="B81" s="71"/>
      <c r="C81" s="72"/>
      <c r="D81" s="72"/>
      <c r="E81" s="73"/>
      <c r="F81" s="74"/>
      <c r="G81" s="74"/>
      <c r="H81" s="74"/>
      <c r="I81" s="74"/>
      <c r="J81" s="74"/>
      <c r="K81" s="75"/>
      <c r="L81" s="74"/>
      <c r="M81" s="74"/>
      <c r="N81" s="74"/>
      <c r="O81" s="74"/>
      <c r="P81" s="76"/>
      <c r="Q81" s="74"/>
      <c r="R81" s="74"/>
      <c r="S81" s="74"/>
      <c r="T81" s="77"/>
      <c r="U81" s="74"/>
      <c r="V81" s="74"/>
      <c r="W81" s="74"/>
      <c r="X81" s="74"/>
      <c r="Y81" s="74"/>
      <c r="Z81" s="74"/>
      <c r="AA81" s="74"/>
      <c r="AB81" s="40"/>
    </row>
    <row r="82" spans="1:28" ht="15.75" customHeight="1" x14ac:dyDescent="0.3">
      <c r="A82" s="70"/>
      <c r="B82" s="71"/>
      <c r="C82" s="72"/>
      <c r="D82" s="72"/>
      <c r="E82" s="73"/>
      <c r="F82" s="74"/>
      <c r="G82" s="74"/>
      <c r="H82" s="74"/>
      <c r="I82" s="74"/>
      <c r="J82" s="74"/>
      <c r="K82" s="75"/>
      <c r="L82" s="74"/>
      <c r="M82" s="74"/>
      <c r="N82" s="74"/>
      <c r="O82" s="74"/>
      <c r="P82" s="76"/>
      <c r="Q82" s="74"/>
      <c r="R82" s="74"/>
      <c r="S82" s="74"/>
      <c r="T82" s="77"/>
      <c r="U82" s="74"/>
      <c r="V82" s="74"/>
      <c r="W82" s="74"/>
      <c r="X82" s="74"/>
      <c r="Y82" s="74"/>
      <c r="Z82" s="74"/>
      <c r="AA82" s="74"/>
      <c r="AB82" s="40"/>
    </row>
    <row r="83" spans="1:28" ht="15.75" customHeight="1" x14ac:dyDescent="0.3">
      <c r="A83" s="70"/>
      <c r="B83" s="71"/>
      <c r="C83" s="72"/>
      <c r="D83" s="72"/>
      <c r="E83" s="73"/>
      <c r="F83" s="74"/>
      <c r="G83" s="74"/>
      <c r="H83" s="74"/>
      <c r="I83" s="74"/>
      <c r="J83" s="74"/>
      <c r="K83" s="75"/>
      <c r="L83" s="74"/>
      <c r="M83" s="74"/>
      <c r="N83" s="74"/>
      <c r="O83" s="74"/>
      <c r="P83" s="76"/>
      <c r="Q83" s="74"/>
      <c r="R83" s="74"/>
      <c r="S83" s="74"/>
      <c r="T83" s="77"/>
      <c r="U83" s="74"/>
      <c r="V83" s="74"/>
      <c r="W83" s="74"/>
      <c r="X83" s="74"/>
      <c r="Y83" s="74"/>
      <c r="Z83" s="74"/>
      <c r="AA83" s="74"/>
      <c r="AB83" s="40"/>
    </row>
    <row r="84" spans="1:28" ht="15.75" customHeight="1" x14ac:dyDescent="0.3">
      <c r="A84" s="70"/>
      <c r="B84" s="48" t="s">
        <v>81</v>
      </c>
      <c r="C84" s="49"/>
      <c r="D84" s="49"/>
      <c r="E84" s="50"/>
      <c r="F84" s="51"/>
      <c r="G84" s="51"/>
      <c r="H84" s="51"/>
      <c r="I84" s="81"/>
      <c r="J84" s="51"/>
      <c r="K84" s="52"/>
      <c r="L84" s="51"/>
      <c r="M84" s="51"/>
      <c r="N84" s="51"/>
      <c r="O84" s="54"/>
      <c r="P84" s="55"/>
      <c r="Q84" s="51"/>
      <c r="R84" s="51"/>
      <c r="S84" s="51"/>
      <c r="T84" s="56"/>
      <c r="U84" s="54"/>
      <c r="V84" s="74"/>
      <c r="W84" s="74"/>
      <c r="X84" s="74"/>
      <c r="Y84" s="74"/>
      <c r="Z84" s="74"/>
      <c r="AA84" s="74"/>
      <c r="AB84" s="40"/>
    </row>
    <row r="85" spans="1:28" ht="15.75" customHeight="1" x14ac:dyDescent="0.3">
      <c r="A85" s="70"/>
      <c r="B85" s="48" t="s">
        <v>81</v>
      </c>
      <c r="C85" s="49"/>
      <c r="D85" s="49"/>
      <c r="E85" s="50"/>
      <c r="F85" s="51"/>
      <c r="G85" s="51"/>
      <c r="H85" s="51"/>
      <c r="I85" s="81"/>
      <c r="J85" s="51"/>
      <c r="K85" s="52"/>
      <c r="L85" s="51"/>
      <c r="M85" s="51"/>
      <c r="N85" s="51"/>
      <c r="O85" s="54"/>
      <c r="P85" s="55"/>
      <c r="Q85" s="51"/>
      <c r="R85" s="51"/>
      <c r="S85" s="51"/>
      <c r="T85" s="56"/>
      <c r="U85" s="54"/>
      <c r="V85" s="74"/>
      <c r="W85" s="74"/>
      <c r="X85" s="74"/>
      <c r="Y85" s="74"/>
      <c r="Z85" s="74"/>
      <c r="AA85" s="74"/>
      <c r="AB85" s="40"/>
    </row>
    <row r="86" spans="1:28" ht="15.75" customHeight="1" x14ac:dyDescent="0.3">
      <c r="A86" s="70"/>
      <c r="B86" s="48" t="s">
        <v>81</v>
      </c>
      <c r="C86" s="49"/>
      <c r="D86" s="49"/>
      <c r="E86" s="50"/>
      <c r="F86" s="51"/>
      <c r="G86" s="51"/>
      <c r="H86" s="51"/>
      <c r="I86" s="81"/>
      <c r="J86" s="51"/>
      <c r="K86" s="52"/>
      <c r="L86" s="51"/>
      <c r="M86" s="51"/>
      <c r="N86" s="51"/>
      <c r="O86" s="54"/>
      <c r="P86" s="55"/>
      <c r="Q86" s="51"/>
      <c r="R86" s="51"/>
      <c r="S86" s="51"/>
      <c r="T86" s="56"/>
      <c r="U86" s="54"/>
      <c r="V86" s="74"/>
      <c r="W86" s="74"/>
      <c r="X86" s="74"/>
      <c r="Y86" s="74"/>
      <c r="Z86" s="74"/>
      <c r="AA86" s="74"/>
      <c r="AB86" s="40"/>
    </row>
    <row r="87" spans="1:28" ht="15.75" customHeight="1" x14ac:dyDescent="0.3">
      <c r="A87" s="70"/>
      <c r="B87" s="48" t="s">
        <v>81</v>
      </c>
      <c r="C87" s="49"/>
      <c r="D87" s="49"/>
      <c r="E87" s="50"/>
      <c r="F87" s="51"/>
      <c r="G87" s="51"/>
      <c r="H87" s="51"/>
      <c r="I87" s="81"/>
      <c r="J87" s="51"/>
      <c r="K87" s="52"/>
      <c r="L87" s="51"/>
      <c r="M87" s="51"/>
      <c r="N87" s="51"/>
      <c r="O87" s="54"/>
      <c r="P87" s="55"/>
      <c r="Q87" s="51"/>
      <c r="R87" s="51"/>
      <c r="S87" s="51"/>
      <c r="T87" s="56"/>
      <c r="U87" s="54"/>
      <c r="V87" s="74"/>
      <c r="W87" s="74"/>
      <c r="X87" s="74"/>
      <c r="Y87" s="74"/>
      <c r="Z87" s="74"/>
      <c r="AA87" s="74"/>
      <c r="AB87" s="40"/>
    </row>
    <row r="88" spans="1:28" ht="15.75" customHeight="1" x14ac:dyDescent="0.3">
      <c r="A88" s="70"/>
      <c r="B88" s="48" t="s">
        <v>81</v>
      </c>
      <c r="C88" s="49"/>
      <c r="D88" s="49"/>
      <c r="E88" s="50"/>
      <c r="F88" s="51"/>
      <c r="G88" s="51"/>
      <c r="H88" s="51"/>
      <c r="I88" s="81"/>
      <c r="J88" s="51"/>
      <c r="K88" s="52"/>
      <c r="L88" s="51"/>
      <c r="M88" s="51"/>
      <c r="N88" s="51"/>
      <c r="O88" s="54"/>
      <c r="P88" s="55"/>
      <c r="Q88" s="51"/>
      <c r="R88" s="51"/>
      <c r="S88" s="51"/>
      <c r="T88" s="56"/>
      <c r="U88" s="54"/>
      <c r="V88" s="74"/>
      <c r="W88" s="74"/>
      <c r="X88" s="74"/>
      <c r="Y88" s="74"/>
      <c r="Z88" s="74"/>
      <c r="AA88" s="74"/>
      <c r="AB88" s="40"/>
    </row>
    <row r="89" spans="1:28" ht="15.75" customHeight="1" x14ac:dyDescent="0.3">
      <c r="A89" s="70"/>
      <c r="B89" s="48" t="s">
        <v>81</v>
      </c>
      <c r="C89" s="49"/>
      <c r="D89" s="49"/>
      <c r="E89" s="50"/>
      <c r="F89" s="51"/>
      <c r="G89" s="51"/>
      <c r="H89" s="51"/>
      <c r="I89" s="81"/>
      <c r="J89" s="51"/>
      <c r="K89" s="52"/>
      <c r="L89" s="51"/>
      <c r="M89" s="51"/>
      <c r="N89" s="51"/>
      <c r="O89" s="54"/>
      <c r="P89" s="55"/>
      <c r="Q89" s="51"/>
      <c r="R89" s="51"/>
      <c r="S89" s="51"/>
      <c r="T89" s="56"/>
      <c r="U89" s="54"/>
      <c r="V89" s="74"/>
      <c r="W89" s="74"/>
      <c r="X89" s="74"/>
      <c r="Y89" s="74"/>
      <c r="Z89" s="74"/>
      <c r="AA89" s="74"/>
      <c r="AB89" s="40"/>
    </row>
    <row r="90" spans="1:28" ht="15.75" customHeight="1" x14ac:dyDescent="0.3">
      <c r="A90" s="70"/>
      <c r="B90" s="48" t="s">
        <v>81</v>
      </c>
      <c r="C90" s="49"/>
      <c r="D90" s="49"/>
      <c r="E90" s="50"/>
      <c r="F90" s="51"/>
      <c r="G90" s="51"/>
      <c r="H90" s="51"/>
      <c r="I90" s="81"/>
      <c r="J90" s="51"/>
      <c r="K90" s="52"/>
      <c r="L90" s="51"/>
      <c r="M90" s="51"/>
      <c r="N90" s="51"/>
      <c r="O90" s="54"/>
      <c r="P90" s="55"/>
      <c r="Q90" s="51"/>
      <c r="R90" s="51"/>
      <c r="S90" s="51"/>
      <c r="T90" s="56"/>
      <c r="U90" s="54"/>
      <c r="V90" s="74"/>
      <c r="W90" s="74"/>
      <c r="X90" s="74"/>
      <c r="Y90" s="74"/>
      <c r="Z90" s="74"/>
      <c r="AA90" s="74"/>
      <c r="AB90" s="40"/>
    </row>
    <row r="91" spans="1:28" ht="15.75" customHeight="1" x14ac:dyDescent="0.3">
      <c r="A91" s="70"/>
      <c r="B91" s="48" t="s">
        <v>81</v>
      </c>
      <c r="C91" s="49"/>
      <c r="D91" s="49"/>
      <c r="E91" s="50"/>
      <c r="F91" s="51"/>
      <c r="G91" s="51"/>
      <c r="H91" s="51"/>
      <c r="I91" s="81"/>
      <c r="J91" s="51"/>
      <c r="K91" s="52"/>
      <c r="L91" s="51"/>
      <c r="M91" s="51"/>
      <c r="N91" s="51"/>
      <c r="O91" s="54"/>
      <c r="P91" s="55"/>
      <c r="Q91" s="51"/>
      <c r="R91" s="51"/>
      <c r="S91" s="51"/>
      <c r="T91" s="56"/>
      <c r="U91" s="54"/>
      <c r="V91" s="74"/>
      <c r="W91" s="74"/>
      <c r="X91" s="74"/>
      <c r="Y91" s="74"/>
      <c r="Z91" s="74"/>
      <c r="AA91" s="74"/>
      <c r="AB91" s="40"/>
    </row>
    <row r="92" spans="1:28" ht="15.75" customHeight="1" x14ac:dyDescent="0.3">
      <c r="A92" s="70"/>
      <c r="B92" s="48" t="s">
        <v>81</v>
      </c>
      <c r="C92" s="49"/>
      <c r="D92" s="49"/>
      <c r="E92" s="50"/>
      <c r="F92" s="51"/>
      <c r="G92" s="51"/>
      <c r="H92" s="51"/>
      <c r="I92" s="81"/>
      <c r="J92" s="51"/>
      <c r="K92" s="52"/>
      <c r="L92" s="51"/>
      <c r="M92" s="51"/>
      <c r="N92" s="51"/>
      <c r="O92" s="54"/>
      <c r="P92" s="55"/>
      <c r="Q92" s="51"/>
      <c r="R92" s="51"/>
      <c r="S92" s="51"/>
      <c r="T92" s="56"/>
      <c r="U92" s="54"/>
      <c r="V92" s="74"/>
      <c r="W92" s="74"/>
      <c r="X92" s="74"/>
      <c r="Y92" s="74"/>
      <c r="Z92" s="74"/>
      <c r="AA92" s="74"/>
      <c r="AB92" s="40"/>
    </row>
    <row r="93" spans="1:28" ht="15.75" customHeight="1" x14ac:dyDescent="0.3">
      <c r="A93" s="70"/>
      <c r="B93" s="48" t="s">
        <v>81</v>
      </c>
      <c r="C93" s="49"/>
      <c r="D93" s="49"/>
      <c r="E93" s="50"/>
      <c r="F93" s="51"/>
      <c r="G93" s="51"/>
      <c r="H93" s="51"/>
      <c r="I93" s="81"/>
      <c r="J93" s="51"/>
      <c r="K93" s="52"/>
      <c r="L93" s="51"/>
      <c r="M93" s="51"/>
      <c r="N93" s="51"/>
      <c r="O93" s="54"/>
      <c r="P93" s="55"/>
      <c r="Q93" s="51"/>
      <c r="R93" s="51"/>
      <c r="S93" s="51"/>
      <c r="T93" s="56"/>
      <c r="U93" s="54"/>
      <c r="V93" s="74"/>
      <c r="W93" s="74"/>
      <c r="X93" s="74"/>
      <c r="Y93" s="74"/>
      <c r="Z93" s="74"/>
      <c r="AA93" s="74"/>
      <c r="AB93" s="40"/>
    </row>
    <row r="94" spans="1:28" ht="15.75" customHeight="1" x14ac:dyDescent="0.3">
      <c r="A94" s="70"/>
      <c r="B94" s="48" t="s">
        <v>81</v>
      </c>
      <c r="C94" s="49"/>
      <c r="D94" s="49"/>
      <c r="E94" s="50"/>
      <c r="F94" s="51"/>
      <c r="G94" s="51"/>
      <c r="H94" s="51"/>
      <c r="I94" s="81"/>
      <c r="J94" s="51"/>
      <c r="K94" s="52"/>
      <c r="L94" s="51"/>
      <c r="M94" s="51"/>
      <c r="N94" s="51"/>
      <c r="O94" s="54"/>
      <c r="P94" s="55"/>
      <c r="Q94" s="51"/>
      <c r="R94" s="51"/>
      <c r="S94" s="51"/>
      <c r="T94" s="56"/>
      <c r="U94" s="54"/>
      <c r="V94" s="74"/>
      <c r="W94" s="74"/>
      <c r="X94" s="74"/>
      <c r="Y94" s="74"/>
      <c r="Z94" s="74"/>
      <c r="AA94" s="74"/>
      <c r="AB94" s="40"/>
    </row>
    <row r="95" spans="1:28" ht="15.75" customHeight="1" x14ac:dyDescent="0.3">
      <c r="A95" s="70"/>
      <c r="B95" s="48" t="s">
        <v>81</v>
      </c>
      <c r="C95" s="49"/>
      <c r="D95" s="49"/>
      <c r="E95" s="50"/>
      <c r="F95" s="51"/>
      <c r="G95" s="51"/>
      <c r="H95" s="51"/>
      <c r="I95" s="81"/>
      <c r="J95" s="51"/>
      <c r="K95" s="52"/>
      <c r="L95" s="51"/>
      <c r="M95" s="51"/>
      <c r="N95" s="51"/>
      <c r="O95" s="54"/>
      <c r="P95" s="55"/>
      <c r="Q95" s="51"/>
      <c r="R95" s="51"/>
      <c r="S95" s="51"/>
      <c r="T95" s="56"/>
      <c r="U95" s="54"/>
      <c r="V95" s="74"/>
      <c r="W95" s="74"/>
      <c r="X95" s="74"/>
      <c r="Y95" s="74"/>
      <c r="Z95" s="74"/>
      <c r="AA95" s="74"/>
      <c r="AB95" s="40"/>
    </row>
    <row r="96" spans="1:28" ht="15.75" customHeight="1" x14ac:dyDescent="0.3">
      <c r="A96" s="70"/>
      <c r="B96" s="48" t="s">
        <v>81</v>
      </c>
      <c r="C96" s="49"/>
      <c r="D96" s="49"/>
      <c r="E96" s="50"/>
      <c r="F96" s="51"/>
      <c r="G96" s="51"/>
      <c r="H96" s="51"/>
      <c r="I96" s="81"/>
      <c r="J96" s="51"/>
      <c r="K96" s="52"/>
      <c r="L96" s="51"/>
      <c r="M96" s="51"/>
      <c r="N96" s="51"/>
      <c r="O96" s="54"/>
      <c r="P96" s="55"/>
      <c r="Q96" s="51"/>
      <c r="R96" s="51"/>
      <c r="S96" s="51"/>
      <c r="T96" s="56"/>
      <c r="U96" s="54"/>
      <c r="V96" s="74"/>
      <c r="W96" s="74"/>
      <c r="X96" s="74"/>
      <c r="Y96" s="74"/>
      <c r="Z96" s="74"/>
      <c r="AA96" s="74"/>
      <c r="AB96" s="40"/>
    </row>
    <row r="97" spans="1:28" ht="15.75" customHeight="1" x14ac:dyDescent="0.3">
      <c r="A97" s="70"/>
      <c r="B97" s="48" t="s">
        <v>81</v>
      </c>
      <c r="C97" s="49"/>
      <c r="D97" s="49"/>
      <c r="E97" s="50"/>
      <c r="F97" s="51"/>
      <c r="G97" s="51"/>
      <c r="H97" s="51"/>
      <c r="I97" s="81"/>
      <c r="J97" s="51"/>
      <c r="K97" s="52"/>
      <c r="L97" s="51"/>
      <c r="M97" s="51"/>
      <c r="N97" s="51"/>
      <c r="O97" s="54"/>
      <c r="P97" s="55"/>
      <c r="Q97" s="51"/>
      <c r="R97" s="51"/>
      <c r="S97" s="51"/>
      <c r="T97" s="56"/>
      <c r="U97" s="54"/>
      <c r="V97" s="74"/>
      <c r="W97" s="74"/>
      <c r="X97" s="74"/>
      <c r="Y97" s="74"/>
      <c r="Z97" s="74"/>
      <c r="AA97" s="74"/>
      <c r="AB97" s="40"/>
    </row>
    <row r="98" spans="1:28" ht="15.75" customHeight="1" x14ac:dyDescent="0.3">
      <c r="A98" s="70"/>
      <c r="B98" s="48" t="s">
        <v>81</v>
      </c>
      <c r="C98" s="49"/>
      <c r="D98" s="49"/>
      <c r="E98" s="50"/>
      <c r="F98" s="51"/>
      <c r="G98" s="51"/>
      <c r="H98" s="51"/>
      <c r="I98" s="81"/>
      <c r="J98" s="51"/>
      <c r="K98" s="52"/>
      <c r="L98" s="51"/>
      <c r="M98" s="51"/>
      <c r="N98" s="51"/>
      <c r="O98" s="54"/>
      <c r="P98" s="55"/>
      <c r="Q98" s="51"/>
      <c r="R98" s="51"/>
      <c r="S98" s="51"/>
      <c r="T98" s="56"/>
      <c r="U98" s="54"/>
      <c r="V98" s="74"/>
      <c r="W98" s="74"/>
      <c r="X98" s="74"/>
      <c r="Y98" s="74"/>
      <c r="Z98" s="74"/>
      <c r="AA98" s="74"/>
      <c r="AB98" s="40"/>
    </row>
    <row r="99" spans="1:28" ht="15.75" customHeight="1" x14ac:dyDescent="0.3">
      <c r="A99" s="70"/>
      <c r="B99" s="48" t="s">
        <v>81</v>
      </c>
      <c r="C99" s="49"/>
      <c r="D99" s="49"/>
      <c r="E99" s="50"/>
      <c r="F99" s="51"/>
      <c r="G99" s="51"/>
      <c r="H99" s="51"/>
      <c r="I99" s="81"/>
      <c r="J99" s="51"/>
      <c r="K99" s="52"/>
      <c r="L99" s="51"/>
      <c r="M99" s="51"/>
      <c r="N99" s="51"/>
      <c r="O99" s="54"/>
      <c r="P99" s="55"/>
      <c r="Q99" s="51"/>
      <c r="R99" s="51"/>
      <c r="S99" s="51"/>
      <c r="T99" s="56"/>
      <c r="U99" s="54"/>
      <c r="V99" s="74"/>
      <c r="W99" s="74"/>
      <c r="X99" s="74"/>
      <c r="Y99" s="74"/>
      <c r="Z99" s="74"/>
      <c r="AA99" s="74"/>
      <c r="AB99" s="40"/>
    </row>
    <row r="100" spans="1:28" ht="15.75" customHeight="1" x14ac:dyDescent="0.3">
      <c r="A100" s="70"/>
      <c r="B100" s="48" t="s">
        <v>81</v>
      </c>
      <c r="C100" s="49"/>
      <c r="D100" s="49"/>
      <c r="E100" s="50"/>
      <c r="F100" s="51"/>
      <c r="G100" s="51"/>
      <c r="H100" s="51"/>
      <c r="I100" s="81"/>
      <c r="J100" s="51"/>
      <c r="K100" s="52"/>
      <c r="L100" s="51"/>
      <c r="M100" s="51"/>
      <c r="N100" s="51"/>
      <c r="O100" s="54"/>
      <c r="P100" s="55"/>
      <c r="Q100" s="51"/>
      <c r="R100" s="51"/>
      <c r="S100" s="51"/>
      <c r="T100" s="56"/>
      <c r="U100" s="54"/>
      <c r="V100" s="74"/>
      <c r="W100" s="74"/>
      <c r="X100" s="74"/>
      <c r="Y100" s="74"/>
      <c r="Z100" s="74"/>
      <c r="AA100" s="74"/>
      <c r="AB100" s="40"/>
    </row>
    <row r="101" spans="1:28" ht="15.75" customHeight="1" x14ac:dyDescent="0.3">
      <c r="A101" s="70"/>
      <c r="B101" s="48" t="s">
        <v>81</v>
      </c>
      <c r="C101" s="49"/>
      <c r="D101" s="49"/>
      <c r="E101" s="50"/>
      <c r="F101" s="51"/>
      <c r="G101" s="51"/>
      <c r="H101" s="51"/>
      <c r="I101" s="81"/>
      <c r="J101" s="51"/>
      <c r="K101" s="52"/>
      <c r="L101" s="51"/>
      <c r="M101" s="51"/>
      <c r="N101" s="51"/>
      <c r="O101" s="54"/>
      <c r="P101" s="55"/>
      <c r="Q101" s="51"/>
      <c r="R101" s="51"/>
      <c r="S101" s="51"/>
      <c r="T101" s="56"/>
      <c r="U101" s="54"/>
      <c r="V101" s="74"/>
      <c r="W101" s="74"/>
      <c r="X101" s="74"/>
      <c r="Y101" s="74"/>
      <c r="Z101" s="74"/>
      <c r="AA101" s="74"/>
      <c r="AB101" s="40"/>
    </row>
    <row r="102" spans="1:28" ht="15.75" customHeight="1" x14ac:dyDescent="0.3">
      <c r="A102" s="70"/>
      <c r="B102" s="48" t="s">
        <v>81</v>
      </c>
      <c r="C102" s="49"/>
      <c r="D102" s="49"/>
      <c r="E102" s="50"/>
      <c r="F102" s="51"/>
      <c r="G102" s="51"/>
      <c r="H102" s="51"/>
      <c r="I102" s="81"/>
      <c r="J102" s="51"/>
      <c r="K102" s="52"/>
      <c r="L102" s="51"/>
      <c r="M102" s="51"/>
      <c r="N102" s="51"/>
      <c r="O102" s="54"/>
      <c r="P102" s="55"/>
      <c r="Q102" s="51"/>
      <c r="R102" s="51"/>
      <c r="S102" s="51"/>
      <c r="T102" s="56"/>
      <c r="U102" s="54"/>
      <c r="V102" s="74"/>
      <c r="W102" s="74"/>
      <c r="X102" s="74"/>
      <c r="Y102" s="74"/>
      <c r="Z102" s="74"/>
      <c r="AA102" s="74"/>
      <c r="AB102" s="40"/>
    </row>
    <row r="103" spans="1:28" ht="15.75" customHeight="1" x14ac:dyDescent="0.3">
      <c r="A103" s="70"/>
      <c r="B103" s="48" t="s">
        <v>81</v>
      </c>
      <c r="C103" s="49"/>
      <c r="D103" s="49"/>
      <c r="E103" s="50"/>
      <c r="F103" s="51"/>
      <c r="G103" s="51"/>
      <c r="H103" s="51"/>
      <c r="I103" s="81"/>
      <c r="J103" s="51"/>
      <c r="K103" s="52"/>
      <c r="L103" s="51"/>
      <c r="M103" s="51"/>
      <c r="N103" s="51"/>
      <c r="O103" s="54"/>
      <c r="P103" s="55"/>
      <c r="Q103" s="51"/>
      <c r="R103" s="51"/>
      <c r="S103" s="51"/>
      <c r="T103" s="56"/>
      <c r="U103" s="54"/>
      <c r="V103" s="74"/>
      <c r="W103" s="74"/>
      <c r="X103" s="74"/>
      <c r="Y103" s="74"/>
      <c r="Z103" s="74"/>
      <c r="AA103" s="74"/>
      <c r="AB103" s="40"/>
    </row>
    <row r="104" spans="1:28" ht="15.75" customHeight="1" x14ac:dyDescent="0.3">
      <c r="A104" s="70"/>
      <c r="B104" s="48" t="s">
        <v>81</v>
      </c>
      <c r="C104" s="49"/>
      <c r="D104" s="49"/>
      <c r="E104" s="50"/>
      <c r="F104" s="51"/>
      <c r="G104" s="51"/>
      <c r="H104" s="51"/>
      <c r="I104" s="81"/>
      <c r="J104" s="51"/>
      <c r="K104" s="52"/>
      <c r="L104" s="51"/>
      <c r="M104" s="51"/>
      <c r="N104" s="51"/>
      <c r="O104" s="54"/>
      <c r="P104" s="55"/>
      <c r="Q104" s="51"/>
      <c r="R104" s="51"/>
      <c r="S104" s="51"/>
      <c r="T104" s="56"/>
      <c r="U104" s="54"/>
      <c r="V104" s="74"/>
      <c r="W104" s="74"/>
      <c r="X104" s="74"/>
      <c r="Y104" s="74"/>
      <c r="Z104" s="74"/>
      <c r="AA104" s="74"/>
      <c r="AB104" s="40"/>
    </row>
    <row r="105" spans="1:28" ht="15.75" customHeight="1" x14ac:dyDescent="0.3">
      <c r="A105" s="70"/>
      <c r="B105" s="48" t="s">
        <v>81</v>
      </c>
      <c r="C105" s="49"/>
      <c r="D105" s="49"/>
      <c r="E105" s="50"/>
      <c r="F105" s="51"/>
      <c r="G105" s="51"/>
      <c r="H105" s="51"/>
      <c r="I105" s="81"/>
      <c r="J105" s="51"/>
      <c r="K105" s="52"/>
      <c r="L105" s="51"/>
      <c r="M105" s="51"/>
      <c r="N105" s="51"/>
      <c r="O105" s="54"/>
      <c r="P105" s="55"/>
      <c r="Q105" s="51"/>
      <c r="R105" s="51"/>
      <c r="S105" s="51"/>
      <c r="T105" s="56"/>
      <c r="U105" s="54"/>
      <c r="V105" s="74"/>
      <c r="W105" s="74"/>
      <c r="X105" s="74"/>
      <c r="Y105" s="74"/>
      <c r="Z105" s="74"/>
      <c r="AA105" s="74"/>
      <c r="AB105" s="40"/>
    </row>
    <row r="106" spans="1:28" ht="15.75" customHeight="1" x14ac:dyDescent="0.3">
      <c r="A106" s="70"/>
      <c r="B106" s="48" t="s">
        <v>81</v>
      </c>
      <c r="C106" s="49"/>
      <c r="D106" s="49"/>
      <c r="E106" s="50"/>
      <c r="F106" s="51"/>
      <c r="G106" s="51"/>
      <c r="H106" s="51"/>
      <c r="I106" s="81"/>
      <c r="J106" s="51"/>
      <c r="K106" s="52"/>
      <c r="L106" s="51"/>
      <c r="M106" s="51"/>
      <c r="N106" s="51"/>
      <c r="O106" s="54"/>
      <c r="P106" s="55"/>
      <c r="Q106" s="51"/>
      <c r="R106" s="51"/>
      <c r="S106" s="51"/>
      <c r="T106" s="56"/>
      <c r="U106" s="54"/>
      <c r="V106" s="74"/>
      <c r="W106" s="74"/>
      <c r="X106" s="74"/>
      <c r="Y106" s="74"/>
      <c r="Z106" s="74"/>
      <c r="AA106" s="74"/>
      <c r="AB106" s="40"/>
    </row>
    <row r="107" spans="1:28" ht="15.75" customHeight="1" x14ac:dyDescent="0.3">
      <c r="A107" s="70"/>
      <c r="B107" s="48" t="s">
        <v>81</v>
      </c>
      <c r="C107" s="49"/>
      <c r="D107" s="49"/>
      <c r="E107" s="50"/>
      <c r="F107" s="51"/>
      <c r="G107" s="51"/>
      <c r="H107" s="51"/>
      <c r="I107" s="81"/>
      <c r="J107" s="51"/>
      <c r="K107" s="52"/>
      <c r="L107" s="51"/>
      <c r="M107" s="51"/>
      <c r="N107" s="51"/>
      <c r="O107" s="54"/>
      <c r="P107" s="55"/>
      <c r="Q107" s="51"/>
      <c r="R107" s="51"/>
      <c r="S107" s="51"/>
      <c r="T107" s="56"/>
      <c r="U107" s="54"/>
      <c r="V107" s="74"/>
      <c r="W107" s="74"/>
      <c r="X107" s="74"/>
      <c r="Y107" s="74"/>
      <c r="Z107" s="74"/>
      <c r="AA107" s="74"/>
      <c r="AB107" s="40"/>
    </row>
    <row r="108" spans="1:28" ht="15.75" customHeight="1" x14ac:dyDescent="0.3">
      <c r="A108" s="70"/>
      <c r="B108" s="48" t="s">
        <v>81</v>
      </c>
      <c r="C108" s="49"/>
      <c r="D108" s="49"/>
      <c r="E108" s="50"/>
      <c r="F108" s="51"/>
      <c r="G108" s="51"/>
      <c r="H108" s="51"/>
      <c r="I108" s="81"/>
      <c r="J108" s="51"/>
      <c r="K108" s="52"/>
      <c r="L108" s="51"/>
      <c r="M108" s="51"/>
      <c r="N108" s="51"/>
      <c r="O108" s="54"/>
      <c r="P108" s="55"/>
      <c r="Q108" s="51"/>
      <c r="R108" s="51"/>
      <c r="S108" s="51"/>
      <c r="T108" s="56"/>
      <c r="U108" s="54"/>
      <c r="V108" s="74"/>
      <c r="W108" s="74"/>
      <c r="X108" s="74"/>
      <c r="Y108" s="74"/>
      <c r="Z108" s="74"/>
      <c r="AA108" s="74"/>
      <c r="AB108" s="40"/>
    </row>
    <row r="109" spans="1:28" ht="15.75" customHeight="1" x14ac:dyDescent="0.3">
      <c r="A109" s="70"/>
      <c r="B109" s="48" t="s">
        <v>81</v>
      </c>
      <c r="C109" s="49"/>
      <c r="D109" s="49"/>
      <c r="E109" s="50"/>
      <c r="F109" s="51"/>
      <c r="G109" s="51"/>
      <c r="H109" s="51"/>
      <c r="I109" s="81"/>
      <c r="J109" s="51"/>
      <c r="K109" s="52"/>
      <c r="L109" s="51"/>
      <c r="M109" s="51"/>
      <c r="N109" s="51"/>
      <c r="O109" s="54"/>
      <c r="P109" s="55"/>
      <c r="Q109" s="51"/>
      <c r="R109" s="51"/>
      <c r="S109" s="51"/>
      <c r="T109" s="56"/>
      <c r="U109" s="54"/>
      <c r="V109" s="74"/>
      <c r="W109" s="74"/>
      <c r="X109" s="74"/>
      <c r="Y109" s="74"/>
      <c r="Z109" s="74"/>
      <c r="AA109" s="74"/>
      <c r="AB109" s="40"/>
    </row>
    <row r="110" spans="1:28" ht="15.75" customHeight="1" x14ac:dyDescent="0.3">
      <c r="A110" s="70"/>
      <c r="B110" s="48" t="s">
        <v>81</v>
      </c>
      <c r="C110" s="49"/>
      <c r="D110" s="49"/>
      <c r="E110" s="50"/>
      <c r="F110" s="51"/>
      <c r="G110" s="51"/>
      <c r="H110" s="51"/>
      <c r="I110" s="81"/>
      <c r="J110" s="51"/>
      <c r="K110" s="52"/>
      <c r="L110" s="51"/>
      <c r="M110" s="51"/>
      <c r="N110" s="51"/>
      <c r="O110" s="54"/>
      <c r="P110" s="55"/>
      <c r="Q110" s="51"/>
      <c r="R110" s="51"/>
      <c r="S110" s="51"/>
      <c r="T110" s="56"/>
      <c r="U110" s="54"/>
      <c r="V110" s="74"/>
      <c r="W110" s="74"/>
      <c r="X110" s="74"/>
      <c r="Y110" s="74"/>
      <c r="Z110" s="74"/>
      <c r="AA110" s="74"/>
      <c r="AB110" s="40"/>
    </row>
    <row r="111" spans="1:28" ht="15.75" customHeight="1" x14ac:dyDescent="0.3">
      <c r="A111" s="70"/>
      <c r="B111" s="48" t="s">
        <v>81</v>
      </c>
      <c r="C111" s="49"/>
      <c r="D111" s="49"/>
      <c r="E111" s="50"/>
      <c r="F111" s="51"/>
      <c r="G111" s="51"/>
      <c r="H111" s="51"/>
      <c r="I111" s="81"/>
      <c r="J111" s="51"/>
      <c r="K111" s="52"/>
      <c r="L111" s="51"/>
      <c r="M111" s="51"/>
      <c r="N111" s="51"/>
      <c r="O111" s="54"/>
      <c r="P111" s="55"/>
      <c r="Q111" s="51"/>
      <c r="R111" s="51"/>
      <c r="S111" s="51"/>
      <c r="T111" s="56"/>
      <c r="U111" s="54"/>
      <c r="V111" s="74"/>
      <c r="W111" s="74"/>
      <c r="X111" s="74"/>
      <c r="Y111" s="74"/>
      <c r="Z111" s="74"/>
      <c r="AA111" s="74"/>
      <c r="AB111" s="40"/>
    </row>
    <row r="112" spans="1:28" ht="15.75" customHeight="1" x14ac:dyDescent="0.3">
      <c r="A112" s="70"/>
      <c r="B112" s="48" t="s">
        <v>81</v>
      </c>
      <c r="C112" s="49"/>
      <c r="D112" s="49"/>
      <c r="E112" s="50"/>
      <c r="F112" s="51"/>
      <c r="G112" s="51"/>
      <c r="H112" s="51"/>
      <c r="I112" s="81"/>
      <c r="J112" s="51"/>
      <c r="K112" s="52"/>
      <c r="L112" s="51"/>
      <c r="M112" s="51"/>
      <c r="N112" s="51"/>
      <c r="O112" s="54"/>
      <c r="P112" s="55"/>
      <c r="Q112" s="51"/>
      <c r="R112" s="51"/>
      <c r="S112" s="51"/>
      <c r="T112" s="56"/>
      <c r="U112" s="54"/>
      <c r="V112" s="74"/>
      <c r="W112" s="74"/>
      <c r="X112" s="74"/>
      <c r="Y112" s="74"/>
      <c r="Z112" s="74"/>
      <c r="AA112" s="74"/>
      <c r="AB112" s="40"/>
    </row>
    <row r="113" spans="1:28" ht="15.75" customHeight="1" x14ac:dyDescent="0.3">
      <c r="A113" s="70"/>
      <c r="B113" s="48" t="s">
        <v>81</v>
      </c>
      <c r="C113" s="49"/>
      <c r="D113" s="49"/>
      <c r="E113" s="50"/>
      <c r="F113" s="51"/>
      <c r="G113" s="51"/>
      <c r="H113" s="51"/>
      <c r="I113" s="81"/>
      <c r="J113" s="51"/>
      <c r="K113" s="52"/>
      <c r="L113" s="51"/>
      <c r="M113" s="51"/>
      <c r="N113" s="51"/>
      <c r="O113" s="54"/>
      <c r="P113" s="55"/>
      <c r="Q113" s="51"/>
      <c r="R113" s="51"/>
      <c r="S113" s="51"/>
      <c r="T113" s="56"/>
      <c r="U113" s="54"/>
      <c r="V113" s="74"/>
      <c r="W113" s="74"/>
      <c r="X113" s="74"/>
      <c r="Y113" s="74"/>
      <c r="Z113" s="74"/>
      <c r="AA113" s="74"/>
      <c r="AB113" s="40"/>
    </row>
    <row r="114" spans="1:28" ht="15.75" customHeight="1" x14ac:dyDescent="0.3">
      <c r="A114" s="70"/>
      <c r="B114" s="48" t="s">
        <v>81</v>
      </c>
      <c r="C114" s="49"/>
      <c r="D114" s="49"/>
      <c r="E114" s="50"/>
      <c r="F114" s="51"/>
      <c r="G114" s="51"/>
      <c r="H114" s="51"/>
      <c r="I114" s="81"/>
      <c r="J114" s="51"/>
      <c r="K114" s="52"/>
      <c r="L114" s="51"/>
      <c r="M114" s="51"/>
      <c r="N114" s="51"/>
      <c r="O114" s="54"/>
      <c r="P114" s="55"/>
      <c r="Q114" s="51"/>
      <c r="R114" s="51"/>
      <c r="S114" s="51"/>
      <c r="T114" s="56"/>
      <c r="U114" s="54"/>
      <c r="V114" s="74"/>
      <c r="W114" s="74"/>
      <c r="X114" s="74"/>
      <c r="Y114" s="74"/>
      <c r="Z114" s="74"/>
      <c r="AA114" s="74"/>
      <c r="AB114" s="40"/>
    </row>
    <row r="115" spans="1:28" ht="15.75" customHeight="1" x14ac:dyDescent="0.3">
      <c r="A115" s="70"/>
      <c r="B115" s="48" t="s">
        <v>81</v>
      </c>
      <c r="C115" s="49"/>
      <c r="D115" s="49"/>
      <c r="E115" s="50"/>
      <c r="F115" s="51"/>
      <c r="G115" s="51"/>
      <c r="H115" s="51"/>
      <c r="I115" s="81"/>
      <c r="J115" s="51"/>
      <c r="K115" s="52"/>
      <c r="L115" s="51"/>
      <c r="M115" s="51"/>
      <c r="N115" s="51"/>
      <c r="O115" s="54"/>
      <c r="P115" s="55"/>
      <c r="Q115" s="51"/>
      <c r="R115" s="51"/>
      <c r="S115" s="51"/>
      <c r="T115" s="56"/>
      <c r="U115" s="54"/>
      <c r="V115" s="74"/>
      <c r="W115" s="74"/>
      <c r="X115" s="74"/>
      <c r="Y115" s="74"/>
      <c r="Z115" s="74"/>
      <c r="AA115" s="74"/>
      <c r="AB115" s="40"/>
    </row>
    <row r="116" spans="1:28" ht="15.75" customHeight="1" x14ac:dyDescent="0.3">
      <c r="A116" s="70"/>
      <c r="B116" s="48" t="s">
        <v>81</v>
      </c>
      <c r="C116" s="49"/>
      <c r="D116" s="49"/>
      <c r="E116" s="50"/>
      <c r="F116" s="51"/>
      <c r="G116" s="51"/>
      <c r="H116" s="51"/>
      <c r="I116" s="81"/>
      <c r="J116" s="51"/>
      <c r="K116" s="52"/>
      <c r="L116" s="51"/>
      <c r="M116" s="51"/>
      <c r="N116" s="51"/>
      <c r="O116" s="54"/>
      <c r="P116" s="55"/>
      <c r="Q116" s="51"/>
      <c r="R116" s="51"/>
      <c r="S116" s="51"/>
      <c r="T116" s="56"/>
      <c r="U116" s="54"/>
      <c r="V116" s="74"/>
      <c r="W116" s="74"/>
      <c r="X116" s="74"/>
      <c r="Y116" s="74"/>
      <c r="Z116" s="74"/>
      <c r="AA116" s="74"/>
      <c r="AB116" s="40"/>
    </row>
    <row r="117" spans="1:28" ht="15.75" customHeight="1" x14ac:dyDescent="0.3">
      <c r="A117" s="70"/>
      <c r="B117" s="48" t="s">
        <v>81</v>
      </c>
      <c r="C117" s="49"/>
      <c r="D117" s="49"/>
      <c r="E117" s="50"/>
      <c r="F117" s="51"/>
      <c r="G117" s="51"/>
      <c r="H117" s="51"/>
      <c r="I117" s="81"/>
      <c r="J117" s="51"/>
      <c r="K117" s="52"/>
      <c r="L117" s="51"/>
      <c r="M117" s="51"/>
      <c r="N117" s="51"/>
      <c r="O117" s="54"/>
      <c r="P117" s="55"/>
      <c r="Q117" s="51"/>
      <c r="R117" s="51"/>
      <c r="S117" s="51"/>
      <c r="T117" s="56"/>
      <c r="U117" s="54"/>
      <c r="V117" s="74"/>
      <c r="W117" s="74"/>
      <c r="X117" s="74"/>
      <c r="Y117" s="74"/>
      <c r="Z117" s="74"/>
      <c r="AA117" s="74"/>
      <c r="AB117" s="40"/>
    </row>
    <row r="118" spans="1:28" ht="15.75" customHeight="1" x14ac:dyDescent="0.3">
      <c r="A118" s="70"/>
      <c r="B118" s="48" t="s">
        <v>81</v>
      </c>
      <c r="C118" s="49"/>
      <c r="D118" s="49"/>
      <c r="E118" s="50"/>
      <c r="F118" s="51"/>
      <c r="G118" s="51"/>
      <c r="H118" s="51"/>
      <c r="I118" s="81"/>
      <c r="J118" s="51"/>
      <c r="K118" s="52"/>
      <c r="L118" s="51"/>
      <c r="M118" s="51"/>
      <c r="N118" s="51"/>
      <c r="O118" s="54"/>
      <c r="P118" s="55"/>
      <c r="Q118" s="51"/>
      <c r="R118" s="51"/>
      <c r="S118" s="51"/>
      <c r="T118" s="56"/>
      <c r="U118" s="54"/>
      <c r="V118" s="74"/>
      <c r="W118" s="74"/>
      <c r="X118" s="74"/>
      <c r="Y118" s="74"/>
      <c r="Z118" s="74"/>
      <c r="AA118" s="74"/>
      <c r="AB118" s="40"/>
    </row>
    <row r="119" spans="1:28" ht="15.75" customHeight="1" x14ac:dyDescent="0.3">
      <c r="A119" s="70"/>
      <c r="B119" s="48" t="s">
        <v>81</v>
      </c>
      <c r="C119" s="49"/>
      <c r="D119" s="49"/>
      <c r="E119" s="50"/>
      <c r="F119" s="51"/>
      <c r="G119" s="51"/>
      <c r="H119" s="51"/>
      <c r="I119" s="81"/>
      <c r="J119" s="51"/>
      <c r="K119" s="52"/>
      <c r="L119" s="51"/>
      <c r="M119" s="51"/>
      <c r="N119" s="51"/>
      <c r="O119" s="54"/>
      <c r="P119" s="55"/>
      <c r="Q119" s="51"/>
      <c r="R119" s="51"/>
      <c r="S119" s="51"/>
      <c r="T119" s="56"/>
      <c r="U119" s="54"/>
      <c r="V119" s="74"/>
      <c r="W119" s="74"/>
      <c r="X119" s="74"/>
      <c r="Y119" s="74"/>
      <c r="Z119" s="74"/>
      <c r="AA119" s="74"/>
      <c r="AB119" s="40"/>
    </row>
    <row r="120" spans="1:28" ht="15.75" customHeight="1" x14ac:dyDescent="0.3">
      <c r="A120" s="70"/>
      <c r="B120" s="48" t="s">
        <v>81</v>
      </c>
      <c r="C120" s="49"/>
      <c r="D120" s="49"/>
      <c r="E120" s="50"/>
      <c r="F120" s="51"/>
      <c r="G120" s="51"/>
      <c r="H120" s="51"/>
      <c r="I120" s="81"/>
      <c r="J120" s="51"/>
      <c r="K120" s="52"/>
      <c r="L120" s="51"/>
      <c r="M120" s="51"/>
      <c r="N120" s="51"/>
      <c r="O120" s="54"/>
      <c r="P120" s="55"/>
      <c r="Q120" s="51"/>
      <c r="R120" s="51"/>
      <c r="S120" s="51"/>
      <c r="T120" s="56"/>
      <c r="U120" s="54"/>
      <c r="V120" s="74"/>
      <c r="W120" s="74"/>
      <c r="X120" s="74"/>
      <c r="Y120" s="74"/>
      <c r="Z120" s="74"/>
      <c r="AA120" s="74"/>
      <c r="AB120" s="40"/>
    </row>
    <row r="121" spans="1:28" ht="15.75" customHeight="1" x14ac:dyDescent="0.3">
      <c r="A121" s="70"/>
      <c r="B121" s="48" t="s">
        <v>81</v>
      </c>
      <c r="C121" s="49"/>
      <c r="D121" s="49"/>
      <c r="E121" s="50"/>
      <c r="F121" s="51"/>
      <c r="G121" s="51"/>
      <c r="H121" s="51"/>
      <c r="I121" s="81"/>
      <c r="J121" s="51"/>
      <c r="K121" s="52"/>
      <c r="L121" s="51"/>
      <c r="M121" s="51"/>
      <c r="N121" s="51"/>
      <c r="O121" s="54"/>
      <c r="P121" s="55"/>
      <c r="Q121" s="51"/>
      <c r="R121" s="51"/>
      <c r="S121" s="51"/>
      <c r="T121" s="56"/>
      <c r="U121" s="54"/>
      <c r="V121" s="74"/>
      <c r="W121" s="74"/>
      <c r="X121" s="74"/>
      <c r="Y121" s="74"/>
      <c r="Z121" s="74"/>
      <c r="AA121" s="74"/>
      <c r="AB121" s="40"/>
    </row>
    <row r="122" spans="1:28" ht="15.75" customHeight="1" x14ac:dyDescent="0.3">
      <c r="A122" s="70"/>
      <c r="B122" s="48" t="s">
        <v>81</v>
      </c>
      <c r="C122" s="49"/>
      <c r="D122" s="49"/>
      <c r="E122" s="50"/>
      <c r="F122" s="51"/>
      <c r="G122" s="51"/>
      <c r="H122" s="51"/>
      <c r="I122" s="81"/>
      <c r="J122" s="51"/>
      <c r="K122" s="52"/>
      <c r="L122" s="51"/>
      <c r="M122" s="51"/>
      <c r="N122" s="51"/>
      <c r="O122" s="54"/>
      <c r="P122" s="55"/>
      <c r="Q122" s="51"/>
      <c r="R122" s="51"/>
      <c r="S122" s="51"/>
      <c r="T122" s="56"/>
      <c r="U122" s="54"/>
      <c r="V122" s="74"/>
      <c r="W122" s="74"/>
      <c r="X122" s="74"/>
      <c r="Y122" s="74"/>
      <c r="Z122" s="74"/>
      <c r="AA122" s="74"/>
      <c r="AB122" s="40"/>
    </row>
    <row r="123" spans="1:28" ht="15.75" customHeight="1" x14ac:dyDescent="0.3">
      <c r="A123" s="70"/>
      <c r="B123" s="48" t="s">
        <v>81</v>
      </c>
      <c r="C123" s="49"/>
      <c r="D123" s="49"/>
      <c r="E123" s="50"/>
      <c r="F123" s="51"/>
      <c r="G123" s="51"/>
      <c r="H123" s="51"/>
      <c r="I123" s="81"/>
      <c r="J123" s="51"/>
      <c r="K123" s="52"/>
      <c r="L123" s="51"/>
      <c r="M123" s="51"/>
      <c r="N123" s="51"/>
      <c r="O123" s="54"/>
      <c r="P123" s="55"/>
      <c r="Q123" s="51"/>
      <c r="R123" s="51"/>
      <c r="S123" s="51"/>
      <c r="T123" s="56"/>
      <c r="U123" s="54"/>
      <c r="V123" s="74"/>
      <c r="W123" s="74"/>
      <c r="X123" s="74"/>
      <c r="Y123" s="74"/>
      <c r="Z123" s="74"/>
      <c r="AA123" s="74"/>
      <c r="AB123" s="40"/>
    </row>
    <row r="124" spans="1:28" ht="15.75" customHeight="1" x14ac:dyDescent="0.3">
      <c r="A124" s="70"/>
      <c r="B124" s="48" t="s">
        <v>81</v>
      </c>
      <c r="C124" s="49"/>
      <c r="D124" s="49"/>
      <c r="E124" s="50"/>
      <c r="F124" s="51"/>
      <c r="G124" s="51"/>
      <c r="H124" s="51"/>
      <c r="I124" s="81"/>
      <c r="J124" s="51"/>
      <c r="K124" s="52"/>
      <c r="L124" s="51"/>
      <c r="M124" s="51"/>
      <c r="N124" s="51"/>
      <c r="O124" s="54"/>
      <c r="P124" s="55"/>
      <c r="Q124" s="51"/>
      <c r="R124" s="51"/>
      <c r="S124" s="51"/>
      <c r="T124" s="56"/>
      <c r="U124" s="54"/>
      <c r="V124" s="74"/>
      <c r="W124" s="74"/>
      <c r="X124" s="74"/>
      <c r="Y124" s="74"/>
      <c r="Z124" s="74"/>
      <c r="AA124" s="74"/>
      <c r="AB124" s="40"/>
    </row>
    <row r="125" spans="1:28" ht="15.75" customHeight="1" x14ac:dyDescent="0.3">
      <c r="A125" s="70"/>
      <c r="B125" s="48" t="s">
        <v>81</v>
      </c>
      <c r="C125" s="49"/>
      <c r="D125" s="49"/>
      <c r="E125" s="50"/>
      <c r="F125" s="51"/>
      <c r="G125" s="51"/>
      <c r="H125" s="51"/>
      <c r="I125" s="81"/>
      <c r="J125" s="51"/>
      <c r="K125" s="52"/>
      <c r="L125" s="51"/>
      <c r="M125" s="51"/>
      <c r="N125" s="51"/>
      <c r="O125" s="54"/>
      <c r="P125" s="55"/>
      <c r="Q125" s="51"/>
      <c r="R125" s="51"/>
      <c r="S125" s="51"/>
      <c r="T125" s="56"/>
      <c r="U125" s="54"/>
      <c r="V125" s="74"/>
      <c r="W125" s="74"/>
      <c r="X125" s="74"/>
      <c r="Y125" s="74"/>
      <c r="Z125" s="74"/>
      <c r="AA125" s="74"/>
      <c r="AB125" s="40"/>
    </row>
    <row r="126" spans="1:28" ht="15.75" customHeight="1" x14ac:dyDescent="0.3">
      <c r="A126" s="70"/>
      <c r="B126" s="48" t="s">
        <v>81</v>
      </c>
      <c r="C126" s="49"/>
      <c r="D126" s="49"/>
      <c r="E126" s="50"/>
      <c r="F126" s="51"/>
      <c r="G126" s="51"/>
      <c r="H126" s="51"/>
      <c r="I126" s="81"/>
      <c r="J126" s="51"/>
      <c r="K126" s="52"/>
      <c r="L126" s="51"/>
      <c r="M126" s="51"/>
      <c r="N126" s="51"/>
      <c r="O126" s="54"/>
      <c r="P126" s="55"/>
      <c r="Q126" s="51"/>
      <c r="R126" s="51"/>
      <c r="S126" s="51"/>
      <c r="T126" s="56"/>
      <c r="U126" s="54"/>
      <c r="V126" s="74"/>
      <c r="W126" s="74"/>
      <c r="X126" s="74"/>
      <c r="Y126" s="74"/>
      <c r="Z126" s="74"/>
      <c r="AA126" s="74"/>
      <c r="AB126" s="40"/>
    </row>
    <row r="127" spans="1:28" ht="15.75" customHeight="1" x14ac:dyDescent="0.3">
      <c r="A127" s="70"/>
      <c r="B127" s="48" t="s">
        <v>81</v>
      </c>
      <c r="C127" s="49"/>
      <c r="D127" s="49"/>
      <c r="E127" s="50"/>
      <c r="F127" s="51"/>
      <c r="G127" s="51"/>
      <c r="H127" s="51"/>
      <c r="I127" s="81"/>
      <c r="J127" s="51"/>
      <c r="K127" s="52"/>
      <c r="L127" s="51"/>
      <c r="M127" s="51"/>
      <c r="N127" s="51"/>
      <c r="O127" s="54"/>
      <c r="P127" s="55"/>
      <c r="Q127" s="51"/>
      <c r="R127" s="51"/>
      <c r="S127" s="51"/>
      <c r="T127" s="56"/>
      <c r="U127" s="54"/>
      <c r="V127" s="74"/>
      <c r="W127" s="74"/>
      <c r="X127" s="74"/>
      <c r="Y127" s="74"/>
      <c r="Z127" s="74"/>
      <c r="AA127" s="74"/>
      <c r="AB127" s="40"/>
    </row>
    <row r="128" spans="1:28" ht="15.75" customHeight="1" x14ac:dyDescent="0.3">
      <c r="A128" s="70"/>
      <c r="B128" s="48" t="s">
        <v>81</v>
      </c>
      <c r="C128" s="49"/>
      <c r="D128" s="49"/>
      <c r="E128" s="50"/>
      <c r="F128" s="51"/>
      <c r="G128" s="51"/>
      <c r="H128" s="51"/>
      <c r="I128" s="81"/>
      <c r="J128" s="51"/>
      <c r="K128" s="52"/>
      <c r="L128" s="51"/>
      <c r="M128" s="51"/>
      <c r="N128" s="51"/>
      <c r="O128" s="54"/>
      <c r="P128" s="55"/>
      <c r="Q128" s="51"/>
      <c r="R128" s="51"/>
      <c r="S128" s="51"/>
      <c r="T128" s="56"/>
      <c r="U128" s="54"/>
      <c r="V128" s="74"/>
      <c r="W128" s="74"/>
      <c r="X128" s="74"/>
      <c r="Y128" s="74"/>
      <c r="Z128" s="74"/>
      <c r="AA128" s="74"/>
      <c r="AB128" s="40"/>
    </row>
    <row r="129" spans="1:28" ht="15.75" customHeight="1" x14ac:dyDescent="0.3">
      <c r="A129" s="70"/>
      <c r="B129" s="48" t="s">
        <v>81</v>
      </c>
      <c r="C129" s="49"/>
      <c r="D129" s="49"/>
      <c r="E129" s="50"/>
      <c r="F129" s="51"/>
      <c r="G129" s="51"/>
      <c r="H129" s="51"/>
      <c r="I129" s="81"/>
      <c r="J129" s="51"/>
      <c r="K129" s="52"/>
      <c r="L129" s="51"/>
      <c r="M129" s="51"/>
      <c r="N129" s="51"/>
      <c r="O129" s="54"/>
      <c r="P129" s="55"/>
      <c r="Q129" s="51"/>
      <c r="R129" s="51"/>
      <c r="S129" s="51"/>
      <c r="T129" s="56"/>
      <c r="U129" s="54"/>
      <c r="V129" s="74"/>
      <c r="W129" s="74"/>
      <c r="X129" s="74"/>
      <c r="Y129" s="74"/>
      <c r="Z129" s="74"/>
      <c r="AA129" s="74"/>
      <c r="AB129" s="40"/>
    </row>
    <row r="130" spans="1:28" ht="15.75" customHeight="1" x14ac:dyDescent="0.3">
      <c r="A130" s="70"/>
      <c r="B130" s="48" t="s">
        <v>81</v>
      </c>
      <c r="C130" s="49"/>
      <c r="D130" s="49"/>
      <c r="E130" s="50"/>
      <c r="F130" s="51"/>
      <c r="G130" s="51"/>
      <c r="H130" s="51"/>
      <c r="I130" s="81"/>
      <c r="J130" s="51"/>
      <c r="K130" s="52"/>
      <c r="L130" s="51"/>
      <c r="M130" s="51"/>
      <c r="N130" s="51"/>
      <c r="O130" s="54"/>
      <c r="P130" s="55"/>
      <c r="Q130" s="51"/>
      <c r="R130" s="51"/>
      <c r="S130" s="51"/>
      <c r="T130" s="56"/>
      <c r="U130" s="54"/>
      <c r="V130" s="74"/>
      <c r="W130" s="74"/>
      <c r="X130" s="74"/>
      <c r="Y130" s="74"/>
      <c r="Z130" s="74"/>
      <c r="AA130" s="74"/>
      <c r="AB130" s="40"/>
    </row>
    <row r="131" spans="1:28" ht="15.75" customHeight="1" x14ac:dyDescent="0.3">
      <c r="A131" s="70"/>
      <c r="B131" s="48" t="s">
        <v>81</v>
      </c>
      <c r="C131" s="49"/>
      <c r="D131" s="49"/>
      <c r="E131" s="50"/>
      <c r="F131" s="51"/>
      <c r="G131" s="51"/>
      <c r="H131" s="51"/>
      <c r="I131" s="81"/>
      <c r="J131" s="51"/>
      <c r="K131" s="52"/>
      <c r="L131" s="51"/>
      <c r="M131" s="51"/>
      <c r="N131" s="51"/>
      <c r="O131" s="54"/>
      <c r="P131" s="55"/>
      <c r="Q131" s="51"/>
      <c r="R131" s="51"/>
      <c r="S131" s="51"/>
      <c r="T131" s="56"/>
      <c r="U131" s="54"/>
      <c r="V131" s="74"/>
      <c r="W131" s="74"/>
      <c r="X131" s="74"/>
      <c r="Y131" s="74"/>
      <c r="Z131" s="74"/>
      <c r="AA131" s="74"/>
      <c r="AB131" s="40"/>
    </row>
    <row r="132" spans="1:28" ht="15.75" customHeight="1" x14ac:dyDescent="0.3">
      <c r="A132" s="70"/>
      <c r="B132" s="48" t="s">
        <v>81</v>
      </c>
      <c r="C132" s="49"/>
      <c r="D132" s="49"/>
      <c r="E132" s="50"/>
      <c r="F132" s="51"/>
      <c r="G132" s="51"/>
      <c r="H132" s="51"/>
      <c r="I132" s="81"/>
      <c r="J132" s="51"/>
      <c r="K132" s="52"/>
      <c r="L132" s="51"/>
      <c r="M132" s="51"/>
      <c r="N132" s="51"/>
      <c r="O132" s="54"/>
      <c r="P132" s="55"/>
      <c r="Q132" s="51"/>
      <c r="R132" s="51"/>
      <c r="S132" s="51"/>
      <c r="T132" s="56"/>
      <c r="U132" s="54"/>
      <c r="V132" s="74"/>
      <c r="W132" s="74"/>
      <c r="X132" s="74"/>
      <c r="Y132" s="74"/>
      <c r="Z132" s="74"/>
      <c r="AA132" s="74"/>
      <c r="AB132" s="40"/>
    </row>
    <row r="133" spans="1:28" ht="15.75" customHeight="1" x14ac:dyDescent="0.3">
      <c r="A133" s="70"/>
      <c r="B133" s="48" t="s">
        <v>81</v>
      </c>
      <c r="C133" s="49"/>
      <c r="D133" s="49"/>
      <c r="E133" s="50"/>
      <c r="F133" s="51"/>
      <c r="G133" s="51"/>
      <c r="H133" s="51"/>
      <c r="I133" s="81"/>
      <c r="J133" s="51"/>
      <c r="K133" s="52"/>
      <c r="L133" s="51"/>
      <c r="M133" s="51"/>
      <c r="N133" s="51"/>
      <c r="O133" s="54"/>
      <c r="P133" s="55"/>
      <c r="Q133" s="51"/>
      <c r="R133" s="51"/>
      <c r="S133" s="51"/>
      <c r="T133" s="56"/>
      <c r="U133" s="54"/>
      <c r="V133" s="74"/>
      <c r="W133" s="74"/>
      <c r="X133" s="74"/>
      <c r="Y133" s="74"/>
      <c r="Z133" s="74"/>
      <c r="AA133" s="74"/>
      <c r="AB133" s="40"/>
    </row>
    <row r="134" spans="1:28" ht="15.75" customHeight="1" x14ac:dyDescent="0.3">
      <c r="A134" s="70"/>
      <c r="B134" s="48" t="s">
        <v>81</v>
      </c>
      <c r="C134" s="49"/>
      <c r="D134" s="49"/>
      <c r="E134" s="50"/>
      <c r="F134" s="51"/>
      <c r="G134" s="51"/>
      <c r="H134" s="51"/>
      <c r="I134" s="81"/>
      <c r="J134" s="51"/>
      <c r="K134" s="52"/>
      <c r="L134" s="51"/>
      <c r="M134" s="51"/>
      <c r="N134" s="51"/>
      <c r="O134" s="54"/>
      <c r="P134" s="55"/>
      <c r="Q134" s="51"/>
      <c r="R134" s="51"/>
      <c r="S134" s="51"/>
      <c r="T134" s="56"/>
      <c r="U134" s="54"/>
      <c r="V134" s="74"/>
      <c r="W134" s="74"/>
      <c r="X134" s="74"/>
      <c r="Y134" s="74"/>
      <c r="Z134" s="74"/>
      <c r="AA134" s="74"/>
      <c r="AB134" s="40"/>
    </row>
    <row r="135" spans="1:28" ht="15.75" customHeight="1" x14ac:dyDescent="0.3">
      <c r="A135" s="70"/>
      <c r="B135" s="48" t="s">
        <v>81</v>
      </c>
      <c r="C135" s="49"/>
      <c r="D135" s="49"/>
      <c r="E135" s="50"/>
      <c r="F135" s="51"/>
      <c r="G135" s="51"/>
      <c r="H135" s="51"/>
      <c r="I135" s="81"/>
      <c r="J135" s="51"/>
      <c r="K135" s="52"/>
      <c r="L135" s="51"/>
      <c r="M135" s="51"/>
      <c r="N135" s="51"/>
      <c r="O135" s="54"/>
      <c r="P135" s="55"/>
      <c r="Q135" s="51"/>
      <c r="R135" s="51"/>
      <c r="S135" s="51"/>
      <c r="T135" s="56"/>
      <c r="U135" s="54"/>
      <c r="V135" s="74"/>
      <c r="W135" s="74"/>
      <c r="X135" s="74"/>
      <c r="Y135" s="74"/>
      <c r="Z135" s="74"/>
      <c r="AA135" s="74"/>
      <c r="AB135" s="40"/>
    </row>
    <row r="136" spans="1:28" ht="15.75" customHeight="1" x14ac:dyDescent="0.3">
      <c r="A136" s="70"/>
      <c r="B136" s="48" t="s">
        <v>81</v>
      </c>
      <c r="C136" s="49"/>
      <c r="D136" s="49"/>
      <c r="E136" s="50"/>
      <c r="F136" s="51"/>
      <c r="G136" s="51"/>
      <c r="H136" s="51"/>
      <c r="I136" s="81"/>
      <c r="J136" s="51"/>
      <c r="K136" s="52"/>
      <c r="L136" s="51"/>
      <c r="M136" s="51"/>
      <c r="N136" s="51"/>
      <c r="O136" s="54"/>
      <c r="P136" s="55"/>
      <c r="Q136" s="51"/>
      <c r="R136" s="51"/>
      <c r="S136" s="51"/>
      <c r="T136" s="56"/>
      <c r="U136" s="54"/>
      <c r="V136" s="74"/>
      <c r="W136" s="74"/>
      <c r="X136" s="74"/>
      <c r="Y136" s="74"/>
      <c r="Z136" s="74"/>
      <c r="AA136" s="74"/>
      <c r="AB136" s="40"/>
    </row>
    <row r="137" spans="1:28" ht="15.75" customHeight="1" x14ac:dyDescent="0.3">
      <c r="A137" s="70"/>
      <c r="B137" s="48" t="s">
        <v>81</v>
      </c>
      <c r="C137" s="49"/>
      <c r="D137" s="49"/>
      <c r="E137" s="50"/>
      <c r="F137" s="51"/>
      <c r="G137" s="51"/>
      <c r="H137" s="51"/>
      <c r="I137" s="81"/>
      <c r="J137" s="51"/>
      <c r="K137" s="52"/>
      <c r="L137" s="51"/>
      <c r="M137" s="51"/>
      <c r="N137" s="51"/>
      <c r="O137" s="54"/>
      <c r="P137" s="55"/>
      <c r="Q137" s="51"/>
      <c r="R137" s="51"/>
      <c r="S137" s="51"/>
      <c r="T137" s="56"/>
      <c r="U137" s="54"/>
      <c r="V137" s="74"/>
      <c r="W137" s="74"/>
      <c r="X137" s="74"/>
      <c r="Y137" s="74"/>
      <c r="Z137" s="74"/>
      <c r="AA137" s="74"/>
      <c r="AB137" s="40"/>
    </row>
    <row r="138" spans="1:28" ht="15.75" customHeight="1" x14ac:dyDescent="0.3">
      <c r="A138" s="70"/>
      <c r="B138" s="48" t="s">
        <v>81</v>
      </c>
      <c r="C138" s="49"/>
      <c r="D138" s="49"/>
      <c r="E138" s="50"/>
      <c r="F138" s="51"/>
      <c r="G138" s="51"/>
      <c r="H138" s="51"/>
      <c r="I138" s="81"/>
      <c r="J138" s="51"/>
      <c r="K138" s="52"/>
      <c r="L138" s="51"/>
      <c r="M138" s="51"/>
      <c r="N138" s="51"/>
      <c r="O138" s="54"/>
      <c r="P138" s="55"/>
      <c r="Q138" s="51"/>
      <c r="R138" s="51"/>
      <c r="S138" s="51"/>
      <c r="T138" s="56"/>
      <c r="U138" s="54"/>
      <c r="V138" s="74"/>
      <c r="W138" s="74"/>
      <c r="X138" s="74"/>
      <c r="Y138" s="74"/>
      <c r="Z138" s="74"/>
      <c r="AA138" s="74"/>
      <c r="AB138" s="40"/>
    </row>
    <row r="139" spans="1:28" ht="15.75" customHeight="1" x14ac:dyDescent="0.3">
      <c r="A139" s="70"/>
      <c r="B139" s="48" t="s">
        <v>81</v>
      </c>
      <c r="C139" s="49"/>
      <c r="D139" s="49"/>
      <c r="E139" s="50"/>
      <c r="F139" s="51"/>
      <c r="G139" s="51"/>
      <c r="H139" s="51"/>
      <c r="I139" s="81"/>
      <c r="J139" s="51"/>
      <c r="K139" s="52"/>
      <c r="L139" s="51"/>
      <c r="M139" s="51"/>
      <c r="N139" s="51"/>
      <c r="O139" s="54"/>
      <c r="P139" s="55"/>
      <c r="Q139" s="51"/>
      <c r="R139" s="51"/>
      <c r="S139" s="51"/>
      <c r="T139" s="56"/>
      <c r="U139" s="54"/>
      <c r="V139" s="74"/>
      <c r="W139" s="74"/>
      <c r="X139" s="74"/>
      <c r="Y139" s="74"/>
      <c r="Z139" s="74"/>
      <c r="AA139" s="74"/>
      <c r="AB139" s="40"/>
    </row>
    <row r="140" spans="1:28" ht="15.75" customHeight="1" x14ac:dyDescent="0.3">
      <c r="A140" s="70"/>
      <c r="B140" s="48" t="s">
        <v>81</v>
      </c>
      <c r="C140" s="49"/>
      <c r="D140" s="49"/>
      <c r="E140" s="50"/>
      <c r="F140" s="51"/>
      <c r="G140" s="51"/>
      <c r="H140" s="51"/>
      <c r="I140" s="81"/>
      <c r="J140" s="51"/>
      <c r="K140" s="52"/>
      <c r="L140" s="51"/>
      <c r="M140" s="51"/>
      <c r="N140" s="51"/>
      <c r="O140" s="54"/>
      <c r="P140" s="55"/>
      <c r="Q140" s="51"/>
      <c r="R140" s="51"/>
      <c r="S140" s="51"/>
      <c r="T140" s="56"/>
      <c r="U140" s="54"/>
      <c r="V140" s="74"/>
      <c r="W140" s="74"/>
      <c r="X140" s="74"/>
      <c r="Y140" s="74"/>
      <c r="Z140" s="74"/>
      <c r="AA140" s="74"/>
      <c r="AB140" s="40"/>
    </row>
    <row r="141" spans="1:28" ht="15.75" customHeight="1" x14ac:dyDescent="0.3">
      <c r="A141" s="70"/>
      <c r="B141" s="48" t="s">
        <v>81</v>
      </c>
      <c r="C141" s="49"/>
      <c r="D141" s="49"/>
      <c r="E141" s="50"/>
      <c r="F141" s="51"/>
      <c r="G141" s="51"/>
      <c r="H141" s="51"/>
      <c r="I141" s="81"/>
      <c r="J141" s="51"/>
      <c r="K141" s="52"/>
      <c r="L141" s="51"/>
      <c r="M141" s="51"/>
      <c r="N141" s="51"/>
      <c r="O141" s="54"/>
      <c r="P141" s="55"/>
      <c r="Q141" s="51"/>
      <c r="R141" s="51"/>
      <c r="S141" s="51"/>
      <c r="T141" s="56"/>
      <c r="U141" s="54"/>
      <c r="V141" s="74"/>
      <c r="W141" s="74"/>
      <c r="X141" s="74"/>
      <c r="Y141" s="74"/>
      <c r="Z141" s="74"/>
      <c r="AA141" s="74"/>
      <c r="AB141" s="40"/>
    </row>
    <row r="142" spans="1:28" ht="15.75" customHeight="1" x14ac:dyDescent="0.3">
      <c r="A142" s="70"/>
      <c r="B142" s="48" t="s">
        <v>81</v>
      </c>
      <c r="C142" s="49"/>
      <c r="D142" s="49"/>
      <c r="E142" s="50"/>
      <c r="F142" s="51"/>
      <c r="G142" s="51"/>
      <c r="H142" s="51"/>
      <c r="I142" s="81"/>
      <c r="J142" s="51"/>
      <c r="K142" s="52"/>
      <c r="L142" s="51"/>
      <c r="M142" s="51"/>
      <c r="N142" s="51"/>
      <c r="O142" s="54"/>
      <c r="P142" s="55"/>
      <c r="Q142" s="51"/>
      <c r="R142" s="51"/>
      <c r="S142" s="51"/>
      <c r="T142" s="56"/>
      <c r="U142" s="54"/>
      <c r="V142" s="74"/>
      <c r="W142" s="74"/>
      <c r="X142" s="74"/>
      <c r="Y142" s="74"/>
      <c r="Z142" s="74"/>
      <c r="AA142" s="74"/>
      <c r="AB142" s="40"/>
    </row>
    <row r="143" spans="1:28" ht="15.75" customHeight="1" x14ac:dyDescent="0.3">
      <c r="A143" s="70"/>
      <c r="B143" s="48" t="s">
        <v>81</v>
      </c>
      <c r="C143" s="49"/>
      <c r="D143" s="49"/>
      <c r="E143" s="50"/>
      <c r="F143" s="51"/>
      <c r="G143" s="51"/>
      <c r="H143" s="51"/>
      <c r="I143" s="81"/>
      <c r="J143" s="51"/>
      <c r="K143" s="52"/>
      <c r="L143" s="51"/>
      <c r="M143" s="51"/>
      <c r="N143" s="51"/>
      <c r="O143" s="54"/>
      <c r="P143" s="55"/>
      <c r="Q143" s="51"/>
      <c r="R143" s="51"/>
      <c r="S143" s="51"/>
      <c r="T143" s="56"/>
      <c r="U143" s="54"/>
      <c r="V143" s="74"/>
      <c r="W143" s="74"/>
      <c r="X143" s="74"/>
      <c r="Y143" s="74"/>
      <c r="Z143" s="74"/>
      <c r="AA143" s="74"/>
      <c r="AB143" s="40"/>
    </row>
    <row r="144" spans="1:28" ht="15.75" customHeight="1" x14ac:dyDescent="0.3">
      <c r="A144" s="70"/>
      <c r="B144" s="48" t="s">
        <v>81</v>
      </c>
      <c r="C144" s="49"/>
      <c r="D144" s="49"/>
      <c r="E144" s="50"/>
      <c r="F144" s="51"/>
      <c r="G144" s="51"/>
      <c r="H144" s="51"/>
      <c r="I144" s="81"/>
      <c r="J144" s="51"/>
      <c r="K144" s="52"/>
      <c r="L144" s="51"/>
      <c r="M144" s="51"/>
      <c r="N144" s="51"/>
      <c r="O144" s="54"/>
      <c r="P144" s="55"/>
      <c r="Q144" s="51"/>
      <c r="R144" s="51"/>
      <c r="S144" s="51"/>
      <c r="T144" s="56"/>
      <c r="U144" s="54"/>
      <c r="V144" s="74"/>
      <c r="W144" s="74"/>
      <c r="X144" s="74"/>
      <c r="Y144" s="74"/>
      <c r="Z144" s="74"/>
      <c r="AA144" s="74"/>
      <c r="AB144" s="40"/>
    </row>
    <row r="145" spans="1:28" ht="15.75" customHeight="1" x14ac:dyDescent="0.3">
      <c r="A145" s="70"/>
      <c r="B145" s="48" t="s">
        <v>81</v>
      </c>
      <c r="C145" s="49"/>
      <c r="D145" s="49"/>
      <c r="E145" s="50"/>
      <c r="F145" s="51"/>
      <c r="G145" s="51"/>
      <c r="H145" s="51"/>
      <c r="I145" s="81"/>
      <c r="J145" s="51"/>
      <c r="K145" s="52"/>
      <c r="L145" s="51"/>
      <c r="M145" s="51"/>
      <c r="N145" s="51"/>
      <c r="O145" s="54"/>
      <c r="P145" s="55"/>
      <c r="Q145" s="51"/>
      <c r="R145" s="51"/>
      <c r="S145" s="51"/>
      <c r="T145" s="56"/>
      <c r="U145" s="54"/>
      <c r="V145" s="74"/>
      <c r="W145" s="74"/>
      <c r="X145" s="74"/>
      <c r="Y145" s="74"/>
      <c r="Z145" s="74"/>
      <c r="AA145" s="74"/>
      <c r="AB145" s="40"/>
    </row>
    <row r="146" spans="1:28" ht="15.75" customHeight="1" x14ac:dyDescent="0.3">
      <c r="A146" s="70"/>
      <c r="B146" s="48" t="s">
        <v>81</v>
      </c>
      <c r="C146" s="49"/>
      <c r="D146" s="49"/>
      <c r="E146" s="50"/>
      <c r="F146" s="51"/>
      <c r="G146" s="51"/>
      <c r="H146" s="51"/>
      <c r="I146" s="81"/>
      <c r="J146" s="51"/>
      <c r="K146" s="52"/>
      <c r="L146" s="51"/>
      <c r="M146" s="51"/>
      <c r="N146" s="51"/>
      <c r="O146" s="54"/>
      <c r="P146" s="55"/>
      <c r="Q146" s="51"/>
      <c r="R146" s="51"/>
      <c r="S146" s="51"/>
      <c r="T146" s="56"/>
      <c r="U146" s="54"/>
      <c r="V146" s="74"/>
      <c r="W146" s="74"/>
      <c r="X146" s="74"/>
      <c r="Y146" s="74"/>
      <c r="Z146" s="74"/>
      <c r="AA146" s="74"/>
      <c r="AB146" s="40"/>
    </row>
    <row r="147" spans="1:28" ht="15.75" customHeight="1" x14ac:dyDescent="0.3">
      <c r="A147" s="70"/>
      <c r="B147" s="48" t="s">
        <v>81</v>
      </c>
      <c r="C147" s="49"/>
      <c r="D147" s="49"/>
      <c r="E147" s="50"/>
      <c r="F147" s="51"/>
      <c r="G147" s="51"/>
      <c r="H147" s="51"/>
      <c r="I147" s="81"/>
      <c r="J147" s="51"/>
      <c r="K147" s="52"/>
      <c r="L147" s="51"/>
      <c r="M147" s="51"/>
      <c r="N147" s="51"/>
      <c r="O147" s="54"/>
      <c r="P147" s="55"/>
      <c r="Q147" s="51"/>
      <c r="R147" s="51"/>
      <c r="S147" s="51"/>
      <c r="T147" s="56"/>
      <c r="U147" s="54"/>
      <c r="V147" s="74"/>
      <c r="W147" s="74"/>
      <c r="X147" s="74"/>
      <c r="Y147" s="74"/>
      <c r="Z147" s="74"/>
      <c r="AA147" s="74"/>
      <c r="AB147" s="40"/>
    </row>
    <row r="148" spans="1:28" ht="15.75" customHeight="1" x14ac:dyDescent="0.3">
      <c r="A148" s="70"/>
      <c r="B148" s="48" t="s">
        <v>81</v>
      </c>
      <c r="C148" s="49"/>
      <c r="D148" s="49"/>
      <c r="E148" s="50"/>
      <c r="F148" s="51"/>
      <c r="G148" s="51"/>
      <c r="H148" s="51"/>
      <c r="I148" s="81"/>
      <c r="J148" s="51"/>
      <c r="K148" s="52"/>
      <c r="L148" s="51"/>
      <c r="M148" s="51"/>
      <c r="N148" s="51"/>
      <c r="O148" s="54"/>
      <c r="P148" s="55"/>
      <c r="Q148" s="51"/>
      <c r="R148" s="51"/>
      <c r="S148" s="51"/>
      <c r="T148" s="56"/>
      <c r="U148" s="54"/>
      <c r="V148" s="74"/>
      <c r="W148" s="74"/>
      <c r="X148" s="74"/>
      <c r="Y148" s="74"/>
      <c r="Z148" s="74"/>
      <c r="AA148" s="74"/>
      <c r="AB148" s="40"/>
    </row>
    <row r="149" spans="1:28" ht="15.75" customHeight="1" x14ac:dyDescent="0.3">
      <c r="A149" s="70"/>
      <c r="B149" s="48" t="s">
        <v>81</v>
      </c>
      <c r="C149" s="49"/>
      <c r="D149" s="49"/>
      <c r="E149" s="50"/>
      <c r="F149" s="51"/>
      <c r="G149" s="51"/>
      <c r="H149" s="51"/>
      <c r="I149" s="81"/>
      <c r="J149" s="51"/>
      <c r="K149" s="52"/>
      <c r="L149" s="51"/>
      <c r="M149" s="51"/>
      <c r="N149" s="51"/>
      <c r="O149" s="54"/>
      <c r="P149" s="55"/>
      <c r="Q149" s="51"/>
      <c r="R149" s="51"/>
      <c r="S149" s="51"/>
      <c r="T149" s="56"/>
      <c r="U149" s="54"/>
      <c r="V149" s="74"/>
      <c r="W149" s="74"/>
      <c r="X149" s="74"/>
      <c r="Y149" s="74"/>
      <c r="Z149" s="74"/>
      <c r="AA149" s="74"/>
      <c r="AB149" s="40"/>
    </row>
    <row r="150" spans="1:28" ht="15.75" customHeight="1" x14ac:dyDescent="0.3">
      <c r="A150" s="70"/>
      <c r="B150" s="48" t="s">
        <v>81</v>
      </c>
      <c r="C150" s="49"/>
      <c r="D150" s="49"/>
      <c r="E150" s="50"/>
      <c r="F150" s="51"/>
      <c r="G150" s="51"/>
      <c r="H150" s="51"/>
      <c r="I150" s="81"/>
      <c r="J150" s="51"/>
      <c r="K150" s="52"/>
      <c r="L150" s="51"/>
      <c r="M150" s="51"/>
      <c r="N150" s="51"/>
      <c r="O150" s="54"/>
      <c r="P150" s="55"/>
      <c r="Q150" s="51"/>
      <c r="R150" s="51"/>
      <c r="S150" s="51"/>
      <c r="T150" s="56"/>
      <c r="U150" s="54"/>
      <c r="V150" s="74"/>
      <c r="W150" s="74"/>
      <c r="X150" s="74"/>
      <c r="Y150" s="74"/>
      <c r="Z150" s="74"/>
      <c r="AA150" s="74"/>
      <c r="AB150" s="40"/>
    </row>
    <row r="151" spans="1:28" ht="15.75" customHeight="1" x14ac:dyDescent="0.3">
      <c r="A151" s="70"/>
      <c r="B151" s="48" t="s">
        <v>81</v>
      </c>
      <c r="C151" s="49"/>
      <c r="D151" s="49"/>
      <c r="E151" s="50"/>
      <c r="F151" s="51"/>
      <c r="G151" s="51"/>
      <c r="H151" s="51"/>
      <c r="I151" s="81"/>
      <c r="J151" s="51"/>
      <c r="K151" s="52"/>
      <c r="L151" s="51"/>
      <c r="M151" s="51"/>
      <c r="N151" s="51"/>
      <c r="O151" s="54"/>
      <c r="P151" s="55"/>
      <c r="Q151" s="51"/>
      <c r="R151" s="51"/>
      <c r="S151" s="51"/>
      <c r="T151" s="56"/>
      <c r="U151" s="54"/>
      <c r="V151" s="74"/>
      <c r="W151" s="74"/>
      <c r="X151" s="74"/>
      <c r="Y151" s="74"/>
      <c r="Z151" s="74"/>
      <c r="AA151" s="74"/>
      <c r="AB151" s="40"/>
    </row>
    <row r="152" spans="1:28" ht="15.75" customHeight="1" x14ac:dyDescent="0.3">
      <c r="A152" s="70"/>
      <c r="B152" s="48" t="s">
        <v>81</v>
      </c>
      <c r="C152" s="49"/>
      <c r="D152" s="49"/>
      <c r="E152" s="50"/>
      <c r="F152" s="51"/>
      <c r="G152" s="51"/>
      <c r="H152" s="51"/>
      <c r="I152" s="81"/>
      <c r="J152" s="51"/>
      <c r="K152" s="52"/>
      <c r="L152" s="51"/>
      <c r="M152" s="51"/>
      <c r="N152" s="51"/>
      <c r="O152" s="54"/>
      <c r="P152" s="55"/>
      <c r="Q152" s="51"/>
      <c r="R152" s="51"/>
      <c r="S152" s="51"/>
      <c r="T152" s="56"/>
      <c r="U152" s="54"/>
      <c r="V152" s="74"/>
      <c r="W152" s="74"/>
      <c r="X152" s="74"/>
      <c r="Y152" s="74"/>
      <c r="Z152" s="74"/>
      <c r="AA152" s="74"/>
      <c r="AB152" s="40"/>
    </row>
    <row r="153" spans="1:28" ht="15.75" customHeight="1" x14ac:dyDescent="0.3">
      <c r="A153" s="70"/>
      <c r="B153" s="48" t="s">
        <v>81</v>
      </c>
      <c r="C153" s="49"/>
      <c r="D153" s="49"/>
      <c r="E153" s="50"/>
      <c r="F153" s="51"/>
      <c r="G153" s="51"/>
      <c r="H153" s="51"/>
      <c r="I153" s="81"/>
      <c r="J153" s="51"/>
      <c r="K153" s="52"/>
      <c r="L153" s="51"/>
      <c r="M153" s="51"/>
      <c r="N153" s="51"/>
      <c r="O153" s="54"/>
      <c r="P153" s="55"/>
      <c r="Q153" s="51"/>
      <c r="R153" s="51"/>
      <c r="S153" s="51"/>
      <c r="T153" s="56"/>
      <c r="U153" s="54"/>
      <c r="V153" s="74"/>
      <c r="W153" s="74"/>
      <c r="X153" s="74"/>
      <c r="Y153" s="74"/>
      <c r="Z153" s="74"/>
      <c r="AA153" s="74"/>
      <c r="AB153" s="40"/>
    </row>
    <row r="154" spans="1:28" ht="15.75" customHeight="1" x14ac:dyDescent="0.3">
      <c r="A154" s="70"/>
      <c r="B154" s="48" t="s">
        <v>81</v>
      </c>
      <c r="C154" s="49"/>
      <c r="D154" s="49"/>
      <c r="E154" s="50"/>
      <c r="F154" s="51"/>
      <c r="G154" s="51"/>
      <c r="H154" s="51"/>
      <c r="I154" s="81"/>
      <c r="J154" s="51"/>
      <c r="K154" s="52"/>
      <c r="L154" s="51"/>
      <c r="M154" s="51"/>
      <c r="N154" s="51"/>
      <c r="O154" s="54"/>
      <c r="P154" s="55"/>
      <c r="Q154" s="51"/>
      <c r="R154" s="51"/>
      <c r="S154" s="51"/>
      <c r="T154" s="56"/>
      <c r="U154" s="54"/>
      <c r="V154" s="74"/>
      <c r="W154" s="74"/>
      <c r="X154" s="74"/>
      <c r="Y154" s="74"/>
      <c r="Z154" s="74"/>
      <c r="AA154" s="74"/>
      <c r="AB154" s="40"/>
    </row>
    <row r="155" spans="1:28" ht="15.75" customHeight="1" x14ac:dyDescent="0.3">
      <c r="A155" s="70"/>
      <c r="B155" s="48" t="s">
        <v>81</v>
      </c>
      <c r="C155" s="49"/>
      <c r="D155" s="49"/>
      <c r="E155" s="50"/>
      <c r="F155" s="51"/>
      <c r="G155" s="51"/>
      <c r="H155" s="51"/>
      <c r="I155" s="81"/>
      <c r="J155" s="51"/>
      <c r="K155" s="52"/>
      <c r="L155" s="51"/>
      <c r="M155" s="51"/>
      <c r="N155" s="51"/>
      <c r="O155" s="54"/>
      <c r="P155" s="55"/>
      <c r="Q155" s="51"/>
      <c r="R155" s="51"/>
      <c r="S155" s="51"/>
      <c r="T155" s="56"/>
      <c r="U155" s="54"/>
      <c r="V155" s="74"/>
      <c r="W155" s="74"/>
      <c r="X155" s="74"/>
      <c r="Y155" s="74"/>
      <c r="Z155" s="74"/>
      <c r="AA155" s="74"/>
      <c r="AB155" s="40"/>
    </row>
    <row r="156" spans="1:28" ht="15.75" customHeight="1" x14ac:dyDescent="0.3">
      <c r="A156" s="70"/>
      <c r="B156" s="48" t="s">
        <v>81</v>
      </c>
      <c r="C156" s="49"/>
      <c r="D156" s="49"/>
      <c r="E156" s="50"/>
      <c r="F156" s="51"/>
      <c r="G156" s="51"/>
      <c r="H156" s="51"/>
      <c r="I156" s="81"/>
      <c r="J156" s="51"/>
      <c r="K156" s="52"/>
      <c r="L156" s="51"/>
      <c r="M156" s="51"/>
      <c r="N156" s="51"/>
      <c r="O156" s="54"/>
      <c r="P156" s="55"/>
      <c r="Q156" s="51"/>
      <c r="R156" s="51"/>
      <c r="S156" s="51"/>
      <c r="T156" s="56"/>
      <c r="U156" s="54"/>
      <c r="V156" s="74"/>
      <c r="W156" s="74"/>
      <c r="X156" s="74"/>
      <c r="Y156" s="74"/>
      <c r="Z156" s="74"/>
      <c r="AA156" s="74"/>
      <c r="AB156" s="40"/>
    </row>
    <row r="157" spans="1:28" ht="15.75" customHeight="1" x14ac:dyDescent="0.3">
      <c r="A157" s="70"/>
      <c r="B157" s="48" t="s">
        <v>81</v>
      </c>
      <c r="C157" s="49"/>
      <c r="D157" s="49"/>
      <c r="E157" s="50"/>
      <c r="F157" s="51"/>
      <c r="G157" s="51"/>
      <c r="H157" s="51"/>
      <c r="I157" s="81"/>
      <c r="J157" s="51"/>
      <c r="K157" s="52"/>
      <c r="L157" s="51"/>
      <c r="M157" s="51"/>
      <c r="N157" s="51"/>
      <c r="O157" s="54"/>
      <c r="P157" s="55"/>
      <c r="Q157" s="51"/>
      <c r="R157" s="51"/>
      <c r="S157" s="51"/>
      <c r="T157" s="56"/>
      <c r="U157" s="54"/>
      <c r="V157" s="74"/>
      <c r="W157" s="74"/>
      <c r="X157" s="74"/>
      <c r="Y157" s="74"/>
      <c r="Z157" s="74"/>
      <c r="AA157" s="74"/>
      <c r="AB157" s="40"/>
    </row>
    <row r="158" spans="1:28" ht="15.75" customHeight="1" x14ac:dyDescent="0.3">
      <c r="A158" s="70"/>
      <c r="B158" s="48" t="s">
        <v>81</v>
      </c>
      <c r="C158" s="49"/>
      <c r="D158" s="49"/>
      <c r="E158" s="50"/>
      <c r="F158" s="51"/>
      <c r="G158" s="51"/>
      <c r="H158" s="51"/>
      <c r="I158" s="81"/>
      <c r="J158" s="51"/>
      <c r="K158" s="52"/>
      <c r="L158" s="51"/>
      <c r="M158" s="51"/>
      <c r="N158" s="51"/>
      <c r="O158" s="54"/>
      <c r="P158" s="55"/>
      <c r="Q158" s="51"/>
      <c r="R158" s="51"/>
      <c r="S158" s="51"/>
      <c r="T158" s="56"/>
      <c r="U158" s="54"/>
      <c r="V158" s="74"/>
      <c r="W158" s="74"/>
      <c r="X158" s="74"/>
      <c r="Y158" s="74"/>
      <c r="Z158" s="74"/>
      <c r="AA158" s="74"/>
      <c r="AB158" s="40"/>
    </row>
    <row r="159" spans="1:28" ht="15.75" customHeight="1" x14ac:dyDescent="0.3">
      <c r="A159" s="70"/>
      <c r="B159" s="48" t="s">
        <v>81</v>
      </c>
      <c r="C159" s="49"/>
      <c r="D159" s="49"/>
      <c r="E159" s="50"/>
      <c r="F159" s="51"/>
      <c r="G159" s="51"/>
      <c r="H159" s="51"/>
      <c r="I159" s="81"/>
      <c r="J159" s="51"/>
      <c r="K159" s="52"/>
      <c r="L159" s="51"/>
      <c r="M159" s="51"/>
      <c r="N159" s="51"/>
      <c r="O159" s="54"/>
      <c r="P159" s="55"/>
      <c r="Q159" s="51"/>
      <c r="R159" s="51"/>
      <c r="S159" s="51"/>
      <c r="T159" s="56"/>
      <c r="U159" s="54"/>
      <c r="V159" s="74"/>
      <c r="W159" s="74"/>
      <c r="X159" s="74"/>
      <c r="Y159" s="74"/>
      <c r="Z159" s="74"/>
      <c r="AA159" s="74"/>
      <c r="AB159" s="40"/>
    </row>
    <row r="160" spans="1:28" ht="15.75" customHeight="1" x14ac:dyDescent="0.3">
      <c r="A160" s="70"/>
      <c r="B160" s="48" t="s">
        <v>81</v>
      </c>
      <c r="C160" s="49"/>
      <c r="D160" s="49"/>
      <c r="E160" s="50"/>
      <c r="F160" s="51"/>
      <c r="G160" s="51"/>
      <c r="H160" s="51"/>
      <c r="I160" s="81"/>
      <c r="J160" s="51"/>
      <c r="K160" s="52"/>
      <c r="L160" s="51"/>
      <c r="M160" s="51"/>
      <c r="N160" s="51"/>
      <c r="O160" s="54"/>
      <c r="P160" s="55"/>
      <c r="Q160" s="51"/>
      <c r="R160" s="51"/>
      <c r="S160" s="51"/>
      <c r="T160" s="56"/>
      <c r="U160" s="54"/>
      <c r="V160" s="74"/>
      <c r="W160" s="74"/>
      <c r="X160" s="74"/>
      <c r="Y160" s="74"/>
      <c r="Z160" s="74"/>
      <c r="AA160" s="74"/>
      <c r="AB160" s="40"/>
    </row>
    <row r="161" spans="1:28" ht="15.75" customHeight="1" x14ac:dyDescent="0.3">
      <c r="A161" s="70"/>
      <c r="B161" s="48" t="s">
        <v>81</v>
      </c>
      <c r="C161" s="49"/>
      <c r="D161" s="49"/>
      <c r="E161" s="50"/>
      <c r="F161" s="51"/>
      <c r="G161" s="51"/>
      <c r="H161" s="51"/>
      <c r="I161" s="81"/>
      <c r="J161" s="51"/>
      <c r="K161" s="52"/>
      <c r="L161" s="51"/>
      <c r="M161" s="51"/>
      <c r="N161" s="51"/>
      <c r="O161" s="54"/>
      <c r="P161" s="55"/>
      <c r="Q161" s="51"/>
      <c r="R161" s="51"/>
      <c r="S161" s="51"/>
      <c r="T161" s="56"/>
      <c r="U161" s="54"/>
      <c r="V161" s="74"/>
      <c r="W161" s="74"/>
      <c r="X161" s="74"/>
      <c r="Y161" s="74"/>
      <c r="Z161" s="74"/>
      <c r="AA161" s="74"/>
      <c r="AB161" s="40"/>
    </row>
    <row r="162" spans="1:28" ht="15.75" customHeight="1" x14ac:dyDescent="0.3">
      <c r="A162" s="70"/>
      <c r="B162" s="48" t="s">
        <v>81</v>
      </c>
      <c r="C162" s="49"/>
      <c r="D162" s="49"/>
      <c r="E162" s="50"/>
      <c r="F162" s="51"/>
      <c r="G162" s="51"/>
      <c r="H162" s="51"/>
      <c r="I162" s="81"/>
      <c r="J162" s="51"/>
      <c r="K162" s="52"/>
      <c r="L162" s="51"/>
      <c r="M162" s="51"/>
      <c r="N162" s="51"/>
      <c r="O162" s="54"/>
      <c r="P162" s="55"/>
      <c r="Q162" s="51"/>
      <c r="R162" s="51"/>
      <c r="S162" s="51"/>
      <c r="T162" s="56"/>
      <c r="U162" s="54"/>
      <c r="V162" s="74"/>
      <c r="W162" s="74"/>
      <c r="X162" s="74"/>
      <c r="Y162" s="74"/>
      <c r="Z162" s="74"/>
      <c r="AA162" s="74"/>
      <c r="AB162" s="40"/>
    </row>
    <row r="163" spans="1:28" ht="15.75" customHeight="1" x14ac:dyDescent="0.3">
      <c r="A163" s="70"/>
      <c r="B163" s="48" t="s">
        <v>81</v>
      </c>
      <c r="C163" s="49"/>
      <c r="D163" s="49"/>
      <c r="E163" s="50"/>
      <c r="F163" s="51"/>
      <c r="G163" s="51"/>
      <c r="H163" s="51"/>
      <c r="I163" s="81"/>
      <c r="J163" s="51"/>
      <c r="K163" s="52"/>
      <c r="L163" s="51"/>
      <c r="M163" s="51"/>
      <c r="N163" s="51"/>
      <c r="O163" s="54"/>
      <c r="P163" s="55"/>
      <c r="Q163" s="51"/>
      <c r="R163" s="51"/>
      <c r="S163" s="51"/>
      <c r="T163" s="56"/>
      <c r="U163" s="54"/>
      <c r="V163" s="74"/>
      <c r="W163" s="74"/>
      <c r="X163" s="74"/>
      <c r="Y163" s="74"/>
      <c r="Z163" s="74"/>
      <c r="AA163" s="74"/>
      <c r="AB163" s="40"/>
    </row>
    <row r="164" spans="1:28" ht="15.75" customHeight="1" x14ac:dyDescent="0.3">
      <c r="A164" s="70"/>
      <c r="B164" s="48" t="s">
        <v>81</v>
      </c>
      <c r="C164" s="49"/>
      <c r="D164" s="49"/>
      <c r="E164" s="50"/>
      <c r="F164" s="51"/>
      <c r="G164" s="51"/>
      <c r="H164" s="51"/>
      <c r="I164" s="81"/>
      <c r="J164" s="51"/>
      <c r="K164" s="52"/>
      <c r="L164" s="51"/>
      <c r="M164" s="51"/>
      <c r="N164" s="51"/>
      <c r="O164" s="54"/>
      <c r="P164" s="55"/>
      <c r="Q164" s="51"/>
      <c r="R164" s="51"/>
      <c r="S164" s="51"/>
      <c r="T164" s="56"/>
      <c r="U164" s="54"/>
      <c r="V164" s="74"/>
      <c r="W164" s="74"/>
      <c r="X164" s="74"/>
      <c r="Y164" s="74"/>
      <c r="Z164" s="74"/>
      <c r="AA164" s="74"/>
      <c r="AB164" s="40"/>
    </row>
    <row r="165" spans="1:28" ht="15.75" customHeight="1" x14ac:dyDescent="0.3">
      <c r="A165" s="70"/>
      <c r="B165" s="48" t="s">
        <v>81</v>
      </c>
      <c r="C165" s="49"/>
      <c r="D165" s="49"/>
      <c r="E165" s="50"/>
      <c r="F165" s="51"/>
      <c r="G165" s="51"/>
      <c r="H165" s="51"/>
      <c r="I165" s="81"/>
      <c r="J165" s="51"/>
      <c r="K165" s="52"/>
      <c r="L165" s="51"/>
      <c r="M165" s="51"/>
      <c r="N165" s="51"/>
      <c r="O165" s="54"/>
      <c r="P165" s="55"/>
      <c r="Q165" s="51"/>
      <c r="R165" s="51"/>
      <c r="S165" s="51"/>
      <c r="T165" s="56"/>
      <c r="U165" s="54"/>
      <c r="V165" s="74"/>
      <c r="W165" s="74"/>
      <c r="X165" s="74"/>
      <c r="Y165" s="74"/>
      <c r="Z165" s="74"/>
      <c r="AA165" s="74"/>
      <c r="AB165" s="40"/>
    </row>
    <row r="166" spans="1:28" ht="15.75" customHeight="1" x14ac:dyDescent="0.3">
      <c r="A166" s="70"/>
      <c r="B166" s="48" t="s">
        <v>81</v>
      </c>
      <c r="C166" s="49"/>
      <c r="D166" s="49"/>
      <c r="E166" s="50"/>
      <c r="F166" s="51"/>
      <c r="G166" s="51"/>
      <c r="H166" s="51"/>
      <c r="I166" s="81"/>
      <c r="J166" s="51"/>
      <c r="K166" s="52"/>
      <c r="L166" s="51"/>
      <c r="M166" s="51"/>
      <c r="N166" s="51"/>
      <c r="O166" s="54"/>
      <c r="P166" s="55"/>
      <c r="Q166" s="51"/>
      <c r="R166" s="51"/>
      <c r="S166" s="51"/>
      <c r="T166" s="56"/>
      <c r="U166" s="54"/>
      <c r="V166" s="74"/>
      <c r="W166" s="74"/>
      <c r="X166" s="74"/>
      <c r="Y166" s="74"/>
      <c r="Z166" s="74"/>
      <c r="AA166" s="74"/>
      <c r="AB166" s="40"/>
    </row>
    <row r="167" spans="1:28" ht="15.75" customHeight="1" x14ac:dyDescent="0.3">
      <c r="A167" s="70"/>
      <c r="B167" s="48" t="s">
        <v>81</v>
      </c>
      <c r="C167" s="49"/>
      <c r="D167" s="49"/>
      <c r="E167" s="50"/>
      <c r="F167" s="51"/>
      <c r="G167" s="51"/>
      <c r="H167" s="51"/>
      <c r="I167" s="81"/>
      <c r="J167" s="51"/>
      <c r="K167" s="52"/>
      <c r="L167" s="51"/>
      <c r="M167" s="51"/>
      <c r="N167" s="51"/>
      <c r="O167" s="54"/>
      <c r="P167" s="55"/>
      <c r="Q167" s="51"/>
      <c r="R167" s="51"/>
      <c r="S167" s="51"/>
      <c r="T167" s="56"/>
      <c r="U167" s="54"/>
      <c r="V167" s="74"/>
      <c r="W167" s="74"/>
      <c r="X167" s="74"/>
      <c r="Y167" s="74"/>
      <c r="Z167" s="74"/>
      <c r="AA167" s="74"/>
      <c r="AB167" s="40"/>
    </row>
    <row r="168" spans="1:28" ht="15.75" customHeight="1" x14ac:dyDescent="0.3">
      <c r="A168" s="70"/>
      <c r="B168" s="48" t="s">
        <v>81</v>
      </c>
      <c r="C168" s="49"/>
      <c r="D168" s="49"/>
      <c r="E168" s="50"/>
      <c r="F168" s="51"/>
      <c r="G168" s="51"/>
      <c r="H168" s="51"/>
      <c r="I168" s="81"/>
      <c r="J168" s="51"/>
      <c r="K168" s="52"/>
      <c r="L168" s="51"/>
      <c r="M168" s="51"/>
      <c r="N168" s="51"/>
      <c r="O168" s="54"/>
      <c r="P168" s="55"/>
      <c r="Q168" s="51"/>
      <c r="R168" s="51"/>
      <c r="S168" s="51"/>
      <c r="T168" s="56"/>
      <c r="U168" s="54"/>
      <c r="V168" s="74"/>
      <c r="W168" s="74"/>
      <c r="X168" s="74"/>
      <c r="Y168" s="74"/>
      <c r="Z168" s="74"/>
      <c r="AA168" s="74"/>
      <c r="AB168" s="40"/>
    </row>
    <row r="169" spans="1:28" ht="15.75" customHeight="1" x14ac:dyDescent="0.3">
      <c r="A169" s="70"/>
      <c r="B169" s="48" t="s">
        <v>81</v>
      </c>
      <c r="C169" s="49"/>
      <c r="D169" s="49"/>
      <c r="E169" s="50"/>
      <c r="F169" s="51"/>
      <c r="G169" s="51"/>
      <c r="H169" s="51"/>
      <c r="I169" s="81"/>
      <c r="J169" s="51"/>
      <c r="K169" s="52"/>
      <c r="L169" s="51"/>
      <c r="M169" s="51"/>
      <c r="N169" s="51"/>
      <c r="O169" s="54"/>
      <c r="P169" s="55"/>
      <c r="Q169" s="51"/>
      <c r="R169" s="51"/>
      <c r="S169" s="51"/>
      <c r="T169" s="56"/>
      <c r="U169" s="54"/>
      <c r="V169" s="74"/>
      <c r="W169" s="74"/>
      <c r="X169" s="74"/>
      <c r="Y169" s="74"/>
      <c r="Z169" s="74"/>
      <c r="AA169" s="74"/>
      <c r="AB169" s="40"/>
    </row>
    <row r="170" spans="1:28" ht="15.75" customHeight="1" x14ac:dyDescent="0.3">
      <c r="A170" s="70"/>
      <c r="B170" s="48" t="s">
        <v>81</v>
      </c>
      <c r="C170" s="49"/>
      <c r="D170" s="49"/>
      <c r="E170" s="50"/>
      <c r="F170" s="51"/>
      <c r="G170" s="51"/>
      <c r="H170" s="51"/>
      <c r="I170" s="81"/>
      <c r="J170" s="51"/>
      <c r="K170" s="52"/>
      <c r="L170" s="51"/>
      <c r="M170" s="51"/>
      <c r="N170" s="51"/>
      <c r="O170" s="54"/>
      <c r="P170" s="55"/>
      <c r="Q170" s="51"/>
      <c r="R170" s="51"/>
      <c r="S170" s="51"/>
      <c r="T170" s="56"/>
      <c r="U170" s="54"/>
      <c r="V170" s="74"/>
      <c r="W170" s="74"/>
      <c r="X170" s="74"/>
      <c r="Y170" s="74"/>
      <c r="Z170" s="74"/>
      <c r="AA170" s="74"/>
      <c r="AB170" s="40"/>
    </row>
    <row r="171" spans="1:28" ht="15.75" customHeight="1" x14ac:dyDescent="0.3">
      <c r="A171" s="70"/>
      <c r="B171" s="48" t="s">
        <v>81</v>
      </c>
      <c r="C171" s="49"/>
      <c r="D171" s="49"/>
      <c r="E171" s="50"/>
      <c r="F171" s="51"/>
      <c r="G171" s="51"/>
      <c r="H171" s="51"/>
      <c r="I171" s="81"/>
      <c r="J171" s="51"/>
      <c r="K171" s="52"/>
      <c r="L171" s="51"/>
      <c r="M171" s="51"/>
      <c r="N171" s="51"/>
      <c r="O171" s="54"/>
      <c r="P171" s="55"/>
      <c r="Q171" s="51"/>
      <c r="R171" s="51"/>
      <c r="S171" s="51"/>
      <c r="T171" s="56"/>
      <c r="U171" s="54"/>
      <c r="V171" s="74"/>
      <c r="W171" s="74"/>
      <c r="X171" s="74"/>
      <c r="Y171" s="74"/>
      <c r="Z171" s="74"/>
      <c r="AA171" s="74"/>
      <c r="AB171" s="40"/>
    </row>
    <row r="172" spans="1:28" ht="15.75" customHeight="1" x14ac:dyDescent="0.3">
      <c r="A172" s="70"/>
      <c r="B172" s="48" t="s">
        <v>81</v>
      </c>
      <c r="C172" s="49"/>
      <c r="D172" s="49"/>
      <c r="E172" s="50"/>
      <c r="F172" s="51"/>
      <c r="G172" s="51"/>
      <c r="H172" s="51"/>
      <c r="I172" s="81"/>
      <c r="J172" s="51"/>
      <c r="K172" s="52"/>
      <c r="L172" s="51"/>
      <c r="M172" s="51"/>
      <c r="N172" s="51"/>
      <c r="O172" s="54"/>
      <c r="P172" s="55"/>
      <c r="Q172" s="51"/>
      <c r="R172" s="51"/>
      <c r="S172" s="51"/>
      <c r="T172" s="56"/>
      <c r="U172" s="54"/>
      <c r="V172" s="74"/>
      <c r="W172" s="74"/>
      <c r="X172" s="74"/>
      <c r="Y172" s="74"/>
      <c r="Z172" s="74"/>
      <c r="AA172" s="74"/>
      <c r="AB172" s="40"/>
    </row>
    <row r="173" spans="1:28" ht="15.75" customHeight="1" x14ac:dyDescent="0.3">
      <c r="A173" s="70"/>
      <c r="B173" s="48" t="s">
        <v>81</v>
      </c>
      <c r="C173" s="49"/>
      <c r="D173" s="49"/>
      <c r="E173" s="50"/>
      <c r="F173" s="51"/>
      <c r="G173" s="51"/>
      <c r="H173" s="51"/>
      <c r="I173" s="81"/>
      <c r="J173" s="51"/>
      <c r="K173" s="52"/>
      <c r="L173" s="51"/>
      <c r="M173" s="51"/>
      <c r="N173" s="51"/>
      <c r="O173" s="54"/>
      <c r="P173" s="55"/>
      <c r="Q173" s="51"/>
      <c r="R173" s="51"/>
      <c r="S173" s="51"/>
      <c r="T173" s="56"/>
      <c r="U173" s="54"/>
      <c r="V173" s="74"/>
      <c r="W173" s="74"/>
      <c r="X173" s="74"/>
      <c r="Y173" s="74"/>
      <c r="Z173" s="74"/>
      <c r="AA173" s="74"/>
      <c r="AB173" s="40"/>
    </row>
    <row r="174" spans="1:28" ht="15.75" customHeight="1" x14ac:dyDescent="0.3">
      <c r="A174" s="70"/>
      <c r="B174" s="48" t="s">
        <v>81</v>
      </c>
      <c r="C174" s="49"/>
      <c r="D174" s="49"/>
      <c r="E174" s="50"/>
      <c r="F174" s="51"/>
      <c r="G174" s="51"/>
      <c r="H174" s="51"/>
      <c r="I174" s="81"/>
      <c r="J174" s="51"/>
      <c r="K174" s="52"/>
      <c r="L174" s="51"/>
      <c r="M174" s="51"/>
      <c r="N174" s="51"/>
      <c r="O174" s="54"/>
      <c r="P174" s="55"/>
      <c r="Q174" s="51"/>
      <c r="R174" s="51"/>
      <c r="S174" s="51"/>
      <c r="T174" s="56"/>
      <c r="U174" s="54"/>
      <c r="V174" s="74"/>
      <c r="W174" s="74"/>
      <c r="X174" s="74"/>
      <c r="Y174" s="74"/>
      <c r="Z174" s="74"/>
      <c r="AA174" s="74"/>
      <c r="AB174" s="40"/>
    </row>
    <row r="175" spans="1:28" ht="15.75" customHeight="1" x14ac:dyDescent="0.3">
      <c r="A175" s="70"/>
      <c r="B175" s="48" t="s">
        <v>81</v>
      </c>
      <c r="C175" s="49"/>
      <c r="D175" s="49"/>
      <c r="E175" s="50"/>
      <c r="F175" s="51"/>
      <c r="G175" s="51"/>
      <c r="H175" s="51"/>
      <c r="I175" s="81"/>
      <c r="J175" s="51"/>
      <c r="K175" s="52"/>
      <c r="L175" s="51"/>
      <c r="M175" s="51"/>
      <c r="N175" s="51"/>
      <c r="O175" s="54"/>
      <c r="P175" s="55"/>
      <c r="Q175" s="51"/>
      <c r="R175" s="51"/>
      <c r="S175" s="51"/>
      <c r="T175" s="56"/>
      <c r="U175" s="54"/>
      <c r="V175" s="74"/>
      <c r="W175" s="74"/>
      <c r="X175" s="74"/>
      <c r="Y175" s="74"/>
      <c r="Z175" s="74"/>
      <c r="AA175" s="74"/>
      <c r="AB175" s="40"/>
    </row>
    <row r="176" spans="1:28" ht="15.75" customHeight="1" x14ac:dyDescent="0.3">
      <c r="A176" s="70"/>
      <c r="B176" s="48" t="s">
        <v>81</v>
      </c>
      <c r="C176" s="49"/>
      <c r="D176" s="49"/>
      <c r="E176" s="50"/>
      <c r="F176" s="51"/>
      <c r="G176" s="51"/>
      <c r="H176" s="51"/>
      <c r="I176" s="81"/>
      <c r="J176" s="51"/>
      <c r="K176" s="52"/>
      <c r="L176" s="51"/>
      <c r="M176" s="51"/>
      <c r="N176" s="51"/>
      <c r="O176" s="54"/>
      <c r="P176" s="55"/>
      <c r="Q176" s="51"/>
      <c r="R176" s="51"/>
      <c r="S176" s="51"/>
      <c r="T176" s="56"/>
      <c r="U176" s="54"/>
      <c r="V176" s="74"/>
      <c r="W176" s="74"/>
      <c r="X176" s="74"/>
      <c r="Y176" s="74"/>
      <c r="Z176" s="74"/>
      <c r="AA176" s="74"/>
      <c r="AB176" s="40"/>
    </row>
    <row r="177" spans="1:28" ht="15.75" customHeight="1" x14ac:dyDescent="0.3">
      <c r="A177" s="39"/>
      <c r="B177" s="48" t="s">
        <v>81</v>
      </c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62"/>
      <c r="U177" s="39"/>
      <c r="V177" s="39"/>
      <c r="W177" s="39"/>
      <c r="X177" s="39"/>
      <c r="Y177" s="39"/>
      <c r="Z177" s="39"/>
      <c r="AA177" s="39"/>
      <c r="AB177" s="40"/>
    </row>
    <row r="178" spans="1:28" ht="15.75" customHeight="1" x14ac:dyDescent="0.3">
      <c r="A178" s="39"/>
      <c r="B178" s="48" t="s">
        <v>81</v>
      </c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62"/>
      <c r="U178" s="39"/>
      <c r="V178" s="39"/>
      <c r="W178" s="39"/>
      <c r="X178" s="39"/>
      <c r="Y178" s="39"/>
      <c r="Z178" s="39"/>
      <c r="AA178" s="39"/>
      <c r="AB178" s="40"/>
    </row>
    <row r="179" spans="1:28" ht="15.75" customHeight="1" x14ac:dyDescent="0.3">
      <c r="A179" s="39"/>
      <c r="B179" s="48" t="s">
        <v>81</v>
      </c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62"/>
      <c r="U179" s="39"/>
      <c r="V179" s="39"/>
      <c r="W179" s="39"/>
      <c r="X179" s="39"/>
      <c r="Y179" s="39"/>
      <c r="Z179" s="39"/>
      <c r="AA179" s="39"/>
      <c r="AB179" s="40"/>
    </row>
    <row r="180" spans="1:28" ht="15.75" customHeight="1" x14ac:dyDescent="0.3">
      <c r="A180" s="39"/>
      <c r="B180" s="48" t="s">
        <v>81</v>
      </c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62"/>
      <c r="U180" s="39"/>
      <c r="V180" s="39"/>
      <c r="W180" s="39"/>
      <c r="X180" s="39"/>
      <c r="Y180" s="39"/>
      <c r="Z180" s="39"/>
      <c r="AA180" s="39"/>
      <c r="AB180" s="40"/>
    </row>
    <row r="181" spans="1:28" ht="15.75" customHeight="1" x14ac:dyDescent="0.3">
      <c r="A181" s="39"/>
      <c r="B181" s="48" t="s">
        <v>81</v>
      </c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62"/>
      <c r="U181" s="39"/>
      <c r="V181" s="39"/>
      <c r="W181" s="39"/>
      <c r="X181" s="39"/>
      <c r="Y181" s="39"/>
      <c r="Z181" s="39"/>
      <c r="AA181" s="39"/>
      <c r="AB181" s="40"/>
    </row>
    <row r="182" spans="1:28" ht="15.75" customHeight="1" x14ac:dyDescent="0.3">
      <c r="A182" s="39"/>
      <c r="B182" s="48" t="s">
        <v>81</v>
      </c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62"/>
      <c r="U182" s="39"/>
      <c r="V182" s="39"/>
      <c r="W182" s="39"/>
      <c r="X182" s="39"/>
      <c r="Y182" s="39"/>
      <c r="Z182" s="39"/>
      <c r="AA182" s="39"/>
      <c r="AB182" s="40"/>
    </row>
    <row r="183" spans="1:28" ht="15.75" customHeight="1" x14ac:dyDescent="0.3">
      <c r="A183" s="39"/>
      <c r="B183" s="48" t="s">
        <v>81</v>
      </c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62"/>
      <c r="U183" s="39"/>
      <c r="V183" s="39"/>
      <c r="W183" s="39"/>
      <c r="X183" s="39"/>
      <c r="Y183" s="39"/>
      <c r="Z183" s="39"/>
      <c r="AA183" s="39"/>
      <c r="AB183" s="40"/>
    </row>
    <row r="184" spans="1:28" ht="15.75" customHeight="1" x14ac:dyDescent="0.3">
      <c r="A184" s="39"/>
      <c r="B184" s="48" t="s">
        <v>81</v>
      </c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62"/>
      <c r="U184" s="39"/>
      <c r="V184" s="39"/>
      <c r="W184" s="39"/>
      <c r="X184" s="39"/>
      <c r="Y184" s="39"/>
      <c r="Z184" s="39"/>
      <c r="AA184" s="39"/>
      <c r="AB184" s="40"/>
    </row>
    <row r="185" spans="1:28" ht="15.75" customHeight="1" x14ac:dyDescent="0.3">
      <c r="A185" s="39"/>
      <c r="B185" s="48" t="s">
        <v>81</v>
      </c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62"/>
      <c r="U185" s="39"/>
      <c r="V185" s="39"/>
      <c r="W185" s="39"/>
      <c r="X185" s="39"/>
      <c r="Y185" s="39"/>
      <c r="Z185" s="39"/>
      <c r="AA185" s="39"/>
      <c r="AB185" s="40"/>
    </row>
    <row r="186" spans="1:28" ht="15.75" customHeight="1" x14ac:dyDescent="0.3">
      <c r="A186" s="39"/>
      <c r="B186" s="48" t="s">
        <v>81</v>
      </c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62"/>
      <c r="U186" s="39"/>
      <c r="V186" s="39"/>
      <c r="W186" s="39"/>
      <c r="X186" s="39"/>
      <c r="Y186" s="39"/>
      <c r="Z186" s="39"/>
      <c r="AA186" s="39"/>
      <c r="AB186" s="40"/>
    </row>
    <row r="187" spans="1:28" ht="15.75" customHeight="1" x14ac:dyDescent="0.3">
      <c r="A187" s="39"/>
      <c r="B187" s="48" t="s">
        <v>81</v>
      </c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62"/>
      <c r="U187" s="39"/>
      <c r="V187" s="39"/>
      <c r="W187" s="39"/>
      <c r="X187" s="39"/>
      <c r="Y187" s="39"/>
      <c r="Z187" s="39"/>
      <c r="AA187" s="39"/>
      <c r="AB187" s="40"/>
    </row>
    <row r="188" spans="1:28" ht="15.75" customHeight="1" x14ac:dyDescent="0.3">
      <c r="A188" s="39"/>
      <c r="B188" s="48" t="s">
        <v>81</v>
      </c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62"/>
      <c r="U188" s="39"/>
      <c r="V188" s="39"/>
      <c r="W188" s="39"/>
      <c r="X188" s="39"/>
      <c r="Y188" s="39"/>
      <c r="Z188" s="39"/>
      <c r="AA188" s="39"/>
      <c r="AB188" s="40"/>
    </row>
    <row r="189" spans="1:28" ht="15.75" customHeight="1" x14ac:dyDescent="0.3">
      <c r="A189" s="39"/>
      <c r="B189" s="48" t="s">
        <v>81</v>
      </c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62"/>
      <c r="U189" s="39"/>
      <c r="V189" s="39"/>
      <c r="W189" s="39"/>
      <c r="X189" s="39"/>
      <c r="Y189" s="39"/>
      <c r="Z189" s="39"/>
      <c r="AA189" s="39"/>
      <c r="AB189" s="40"/>
    </row>
    <row r="190" spans="1:28" ht="15.75" customHeight="1" x14ac:dyDescent="0.3">
      <c r="A190" s="39"/>
      <c r="B190" s="48" t="s">
        <v>81</v>
      </c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62"/>
      <c r="U190" s="39"/>
      <c r="V190" s="39"/>
      <c r="W190" s="39"/>
      <c r="X190" s="39"/>
      <c r="Y190" s="39"/>
      <c r="Z190" s="39"/>
      <c r="AA190" s="39"/>
      <c r="AB190" s="40"/>
    </row>
    <row r="191" spans="1:28" ht="15.75" customHeight="1" x14ac:dyDescent="0.3">
      <c r="A191" s="39"/>
      <c r="B191" s="48" t="s">
        <v>81</v>
      </c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62"/>
      <c r="U191" s="39"/>
      <c r="V191" s="39"/>
      <c r="W191" s="39"/>
      <c r="X191" s="39"/>
      <c r="Y191" s="39"/>
      <c r="Z191" s="39"/>
      <c r="AA191" s="39"/>
      <c r="AB191" s="40"/>
    </row>
    <row r="192" spans="1:28" ht="15.75" customHeight="1" x14ac:dyDescent="0.3">
      <c r="A192" s="39"/>
      <c r="B192" s="48" t="s">
        <v>81</v>
      </c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62"/>
      <c r="U192" s="39"/>
      <c r="V192" s="39"/>
      <c r="W192" s="39"/>
      <c r="X192" s="39"/>
      <c r="Y192" s="39"/>
      <c r="Z192" s="39"/>
      <c r="AA192" s="39"/>
      <c r="AB192" s="40"/>
    </row>
    <row r="193" spans="1:28" ht="15.75" customHeight="1" x14ac:dyDescent="0.3">
      <c r="A193" s="39"/>
      <c r="B193" s="48" t="s">
        <v>81</v>
      </c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62"/>
      <c r="U193" s="39"/>
      <c r="V193" s="39"/>
      <c r="W193" s="39"/>
      <c r="X193" s="39"/>
      <c r="Y193" s="39"/>
      <c r="Z193" s="39"/>
      <c r="AA193" s="39"/>
      <c r="AB193" s="40"/>
    </row>
    <row r="194" spans="1:28" ht="15.75" customHeight="1" x14ac:dyDescent="0.3">
      <c r="A194" s="39"/>
      <c r="B194" s="48" t="s">
        <v>81</v>
      </c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62"/>
      <c r="U194" s="39"/>
      <c r="V194" s="39"/>
      <c r="W194" s="39"/>
      <c r="X194" s="39"/>
      <c r="Y194" s="39"/>
      <c r="Z194" s="39"/>
      <c r="AA194" s="39"/>
      <c r="AB194" s="40"/>
    </row>
    <row r="195" spans="1:28" ht="15.75" customHeight="1" x14ac:dyDescent="0.3">
      <c r="A195" s="39"/>
      <c r="B195" s="48" t="s">
        <v>81</v>
      </c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62"/>
      <c r="U195" s="39"/>
      <c r="V195" s="39"/>
      <c r="W195" s="39"/>
      <c r="X195" s="39"/>
      <c r="Y195" s="39"/>
      <c r="Z195" s="39"/>
      <c r="AA195" s="39"/>
      <c r="AB195" s="40"/>
    </row>
    <row r="196" spans="1:28" ht="15.75" customHeight="1" x14ac:dyDescent="0.3">
      <c r="A196" s="39"/>
      <c r="B196" s="48" t="s">
        <v>81</v>
      </c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62"/>
      <c r="U196" s="39"/>
      <c r="V196" s="39"/>
      <c r="W196" s="39"/>
      <c r="X196" s="39"/>
      <c r="Y196" s="39"/>
      <c r="Z196" s="39"/>
      <c r="AA196" s="39"/>
      <c r="AB196" s="40"/>
    </row>
    <row r="197" spans="1:28" ht="15.75" customHeight="1" x14ac:dyDescent="0.3">
      <c r="A197" s="39"/>
      <c r="B197" s="48" t="s">
        <v>81</v>
      </c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62"/>
      <c r="U197" s="39"/>
      <c r="V197" s="39"/>
      <c r="W197" s="39"/>
      <c r="X197" s="39"/>
      <c r="Y197" s="39"/>
      <c r="Z197" s="39"/>
      <c r="AA197" s="39"/>
      <c r="AB197" s="40"/>
    </row>
    <row r="198" spans="1:28" ht="15.75" customHeight="1" x14ac:dyDescent="0.3">
      <c r="A198" s="39"/>
      <c r="B198" s="48" t="s">
        <v>81</v>
      </c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62"/>
      <c r="U198" s="39"/>
      <c r="V198" s="39"/>
      <c r="W198" s="39"/>
      <c r="X198" s="39"/>
      <c r="Y198" s="39"/>
      <c r="Z198" s="39"/>
      <c r="AA198" s="39"/>
      <c r="AB198" s="40"/>
    </row>
    <row r="199" spans="1:28" ht="15.75" customHeight="1" x14ac:dyDescent="0.3">
      <c r="A199" s="39"/>
      <c r="B199" s="48" t="s">
        <v>81</v>
      </c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62"/>
      <c r="U199" s="39"/>
      <c r="V199" s="39"/>
      <c r="W199" s="39"/>
      <c r="X199" s="39"/>
      <c r="Y199" s="39"/>
      <c r="Z199" s="39"/>
      <c r="AA199" s="39"/>
      <c r="AB199" s="40"/>
    </row>
    <row r="200" spans="1:28" ht="15.75" customHeight="1" x14ac:dyDescent="0.3">
      <c r="A200" s="39"/>
      <c r="B200" s="48" t="s">
        <v>81</v>
      </c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62"/>
      <c r="U200" s="39"/>
      <c r="V200" s="39"/>
      <c r="W200" s="39"/>
      <c r="X200" s="39"/>
      <c r="Y200" s="39"/>
      <c r="Z200" s="39"/>
      <c r="AA200" s="39"/>
      <c r="AB200" s="40"/>
    </row>
    <row r="201" spans="1:28" ht="15.75" customHeight="1" x14ac:dyDescent="0.3">
      <c r="B201" s="48" t="s">
        <v>81</v>
      </c>
      <c r="T201" s="78"/>
      <c r="AB201" s="79"/>
    </row>
    <row r="202" spans="1:28" ht="15.75" customHeight="1" x14ac:dyDescent="0.3">
      <c r="T202" s="78"/>
      <c r="AB202" s="79"/>
    </row>
    <row r="203" spans="1:28" ht="15.75" customHeight="1" x14ac:dyDescent="0.3">
      <c r="T203" s="78"/>
      <c r="AB203" s="79"/>
    </row>
    <row r="204" spans="1:28" ht="15.75" customHeight="1" x14ac:dyDescent="0.3">
      <c r="T204" s="78"/>
      <c r="AB204" s="79"/>
    </row>
    <row r="205" spans="1:28" ht="15.75" customHeight="1" x14ac:dyDescent="0.3">
      <c r="T205" s="78"/>
      <c r="AB205" s="79"/>
    </row>
    <row r="206" spans="1:28" ht="15.75" customHeight="1" x14ac:dyDescent="0.3">
      <c r="T206" s="78"/>
      <c r="AB206" s="79"/>
    </row>
    <row r="207" spans="1:28" ht="15.75" customHeight="1" x14ac:dyDescent="0.3">
      <c r="T207" s="78"/>
      <c r="AB207" s="79"/>
    </row>
    <row r="208" spans="1:28" ht="15.75" customHeight="1" x14ac:dyDescent="0.3">
      <c r="T208" s="78"/>
      <c r="AB208" s="79"/>
    </row>
    <row r="209" spans="20:28" ht="15.75" customHeight="1" x14ac:dyDescent="0.3">
      <c r="T209" s="78"/>
      <c r="AB209" s="79"/>
    </row>
    <row r="210" spans="20:28" ht="15.75" customHeight="1" x14ac:dyDescent="0.3">
      <c r="T210" s="78"/>
      <c r="AB210" s="79"/>
    </row>
    <row r="211" spans="20:28" ht="15.75" customHeight="1" x14ac:dyDescent="0.3">
      <c r="T211" s="78"/>
      <c r="AB211" s="79"/>
    </row>
    <row r="212" spans="20:28" ht="15.75" customHeight="1" x14ac:dyDescent="0.3">
      <c r="T212" s="78"/>
      <c r="AB212" s="79"/>
    </row>
    <row r="213" spans="20:28" ht="15.75" customHeight="1" x14ac:dyDescent="0.3">
      <c r="T213" s="78"/>
      <c r="AB213" s="79"/>
    </row>
    <row r="214" spans="20:28" ht="15.75" customHeight="1" x14ac:dyDescent="0.3">
      <c r="T214" s="78"/>
      <c r="AB214" s="79"/>
    </row>
    <row r="215" spans="20:28" ht="15.75" customHeight="1" x14ac:dyDescent="0.3">
      <c r="T215" s="78"/>
      <c r="AB215" s="79"/>
    </row>
    <row r="216" spans="20:28" ht="15.75" customHeight="1" x14ac:dyDescent="0.3">
      <c r="T216" s="78"/>
      <c r="AB216" s="79"/>
    </row>
    <row r="217" spans="20:28" ht="15.75" customHeight="1" x14ac:dyDescent="0.3">
      <c r="T217" s="78"/>
      <c r="AB217" s="79"/>
    </row>
    <row r="218" spans="20:28" ht="15.75" customHeight="1" x14ac:dyDescent="0.3">
      <c r="T218" s="78"/>
      <c r="AB218" s="79"/>
    </row>
    <row r="219" spans="20:28" ht="15.75" customHeight="1" x14ac:dyDescent="0.3">
      <c r="T219" s="78"/>
      <c r="AB219" s="79"/>
    </row>
    <row r="220" spans="20:28" ht="15.75" customHeight="1" x14ac:dyDescent="0.3">
      <c r="T220" s="78"/>
      <c r="AB220" s="79"/>
    </row>
    <row r="221" spans="20:28" ht="15.75" customHeight="1" x14ac:dyDescent="0.3">
      <c r="T221" s="78"/>
      <c r="AB221" s="79"/>
    </row>
    <row r="222" spans="20:28" ht="15.75" customHeight="1" x14ac:dyDescent="0.3">
      <c r="T222" s="78"/>
      <c r="AB222" s="79"/>
    </row>
    <row r="223" spans="20:28" ht="15.75" customHeight="1" x14ac:dyDescent="0.3">
      <c r="T223" s="78"/>
      <c r="AB223" s="79"/>
    </row>
    <row r="224" spans="20:28" ht="15.75" customHeight="1" x14ac:dyDescent="0.3">
      <c r="T224" s="78"/>
      <c r="AB224" s="79"/>
    </row>
    <row r="225" spans="20:28" ht="15.75" customHeight="1" x14ac:dyDescent="0.3">
      <c r="T225" s="78"/>
      <c r="AB225" s="79"/>
    </row>
    <row r="226" spans="20:28" ht="15.75" customHeight="1" x14ac:dyDescent="0.3">
      <c r="T226" s="78"/>
      <c r="AB226" s="79"/>
    </row>
    <row r="227" spans="20:28" ht="15.75" customHeight="1" x14ac:dyDescent="0.3">
      <c r="T227" s="78"/>
      <c r="AB227" s="79"/>
    </row>
    <row r="228" spans="20:28" ht="15.75" customHeight="1" x14ac:dyDescent="0.3">
      <c r="T228" s="78"/>
      <c r="AB228" s="79"/>
    </row>
    <row r="229" spans="20:28" ht="15.75" customHeight="1" x14ac:dyDescent="0.3">
      <c r="T229" s="78"/>
      <c r="AB229" s="79"/>
    </row>
    <row r="230" spans="20:28" ht="15.75" customHeight="1" x14ac:dyDescent="0.3">
      <c r="T230" s="78"/>
      <c r="AB230" s="79"/>
    </row>
    <row r="231" spans="20:28" ht="15.75" customHeight="1" x14ac:dyDescent="0.3">
      <c r="T231" s="78"/>
      <c r="AB231" s="79"/>
    </row>
    <row r="232" spans="20:28" ht="15.75" customHeight="1" x14ac:dyDescent="0.3">
      <c r="T232" s="78"/>
      <c r="AB232" s="79"/>
    </row>
    <row r="233" spans="20:28" ht="15.75" customHeight="1" x14ac:dyDescent="0.3">
      <c r="T233" s="78"/>
      <c r="AB233" s="79"/>
    </row>
    <row r="234" spans="20:28" ht="15.75" customHeight="1" x14ac:dyDescent="0.3">
      <c r="T234" s="78"/>
      <c r="AB234" s="79"/>
    </row>
    <row r="235" spans="20:28" ht="15.75" customHeight="1" x14ac:dyDescent="0.3">
      <c r="T235" s="78"/>
      <c r="AB235" s="79"/>
    </row>
    <row r="236" spans="20:28" ht="15.75" customHeight="1" x14ac:dyDescent="0.3">
      <c r="T236" s="78"/>
      <c r="AB236" s="79"/>
    </row>
    <row r="237" spans="20:28" ht="15.75" customHeight="1" x14ac:dyDescent="0.3">
      <c r="T237" s="78"/>
      <c r="AB237" s="79"/>
    </row>
    <row r="238" spans="20:28" ht="15.75" customHeight="1" x14ac:dyDescent="0.3">
      <c r="T238" s="78"/>
      <c r="AB238" s="79"/>
    </row>
    <row r="239" spans="20:28" ht="15.75" customHeight="1" x14ac:dyDescent="0.3">
      <c r="T239" s="78"/>
      <c r="AB239" s="79"/>
    </row>
    <row r="240" spans="20:28" ht="15.75" customHeight="1" x14ac:dyDescent="0.3">
      <c r="T240" s="78"/>
      <c r="AB240" s="79"/>
    </row>
    <row r="241" spans="20:28" ht="15.75" customHeight="1" x14ac:dyDescent="0.3">
      <c r="T241" s="78"/>
      <c r="AB241" s="79"/>
    </row>
    <row r="242" spans="20:28" ht="15.75" customHeight="1" x14ac:dyDescent="0.3">
      <c r="T242" s="78"/>
      <c r="AB242" s="79"/>
    </row>
    <row r="243" spans="20:28" ht="15.75" customHeight="1" x14ac:dyDescent="0.3">
      <c r="T243" s="78"/>
      <c r="AB243" s="79"/>
    </row>
    <row r="244" spans="20:28" ht="15.75" customHeight="1" x14ac:dyDescent="0.3">
      <c r="T244" s="78"/>
      <c r="AB244" s="79"/>
    </row>
    <row r="245" spans="20:28" ht="15.75" customHeight="1" x14ac:dyDescent="0.3">
      <c r="T245" s="78"/>
      <c r="AB245" s="79"/>
    </row>
    <row r="246" spans="20:28" ht="15.75" customHeight="1" x14ac:dyDescent="0.3">
      <c r="T246" s="78"/>
      <c r="AB246" s="79"/>
    </row>
    <row r="247" spans="20:28" ht="15.75" customHeight="1" x14ac:dyDescent="0.3">
      <c r="T247" s="78"/>
      <c r="AB247" s="79"/>
    </row>
    <row r="248" spans="20:28" ht="15.75" customHeight="1" x14ac:dyDescent="0.3">
      <c r="T248" s="78"/>
      <c r="AB248" s="79"/>
    </row>
    <row r="249" spans="20:28" ht="15.75" customHeight="1" x14ac:dyDescent="0.3">
      <c r="T249" s="78"/>
      <c r="AB249" s="79"/>
    </row>
    <row r="250" spans="20:28" ht="15.75" customHeight="1" x14ac:dyDescent="0.3">
      <c r="T250" s="78"/>
      <c r="AB250" s="79"/>
    </row>
    <row r="251" spans="20:28" ht="15.75" customHeight="1" x14ac:dyDescent="0.3">
      <c r="T251" s="78"/>
      <c r="AB251" s="79"/>
    </row>
    <row r="252" spans="20:28" ht="15.75" customHeight="1" x14ac:dyDescent="0.3">
      <c r="T252" s="78"/>
      <c r="AB252" s="79"/>
    </row>
    <row r="253" spans="20:28" ht="15.75" customHeight="1" x14ac:dyDescent="0.3">
      <c r="T253" s="78"/>
      <c r="AB253" s="79"/>
    </row>
    <row r="254" spans="20:28" ht="15.75" customHeight="1" x14ac:dyDescent="0.3">
      <c r="T254" s="78"/>
      <c r="AB254" s="79"/>
    </row>
    <row r="255" spans="20:28" ht="15.75" customHeight="1" x14ac:dyDescent="0.3">
      <c r="T255" s="78"/>
      <c r="AB255" s="79"/>
    </row>
    <row r="256" spans="20:28" ht="15.75" customHeight="1" x14ac:dyDescent="0.3">
      <c r="T256" s="78"/>
      <c r="AB256" s="79"/>
    </row>
    <row r="257" spans="20:28" ht="15.75" customHeight="1" x14ac:dyDescent="0.3">
      <c r="T257" s="78"/>
      <c r="AB257" s="79"/>
    </row>
    <row r="258" spans="20:28" ht="15.75" customHeight="1" x14ac:dyDescent="0.3">
      <c r="T258" s="78"/>
      <c r="AB258" s="79"/>
    </row>
    <row r="259" spans="20:28" ht="15.75" customHeight="1" x14ac:dyDescent="0.3">
      <c r="T259" s="78"/>
      <c r="AB259" s="79"/>
    </row>
    <row r="260" spans="20:28" ht="15.75" customHeight="1" x14ac:dyDescent="0.3">
      <c r="T260" s="78"/>
      <c r="AB260" s="79"/>
    </row>
    <row r="261" spans="20:28" ht="15.75" customHeight="1" x14ac:dyDescent="0.3">
      <c r="T261" s="78"/>
      <c r="AB261" s="79"/>
    </row>
    <row r="262" spans="20:28" ht="15.75" customHeight="1" x14ac:dyDescent="0.3">
      <c r="T262" s="78"/>
      <c r="AB262" s="79"/>
    </row>
    <row r="263" spans="20:28" ht="15.75" customHeight="1" x14ac:dyDescent="0.3">
      <c r="T263" s="78"/>
      <c r="AB263" s="79"/>
    </row>
    <row r="264" spans="20:28" ht="15.75" customHeight="1" x14ac:dyDescent="0.3">
      <c r="T264" s="78"/>
      <c r="AB264" s="79"/>
    </row>
    <row r="265" spans="20:28" ht="15.75" customHeight="1" x14ac:dyDescent="0.3">
      <c r="T265" s="78"/>
      <c r="AB265" s="79"/>
    </row>
    <row r="266" spans="20:28" ht="15.75" customHeight="1" x14ac:dyDescent="0.3">
      <c r="T266" s="78"/>
      <c r="AB266" s="79"/>
    </row>
    <row r="267" spans="20:28" ht="15.75" customHeight="1" x14ac:dyDescent="0.3">
      <c r="T267" s="78"/>
      <c r="AB267" s="79"/>
    </row>
    <row r="268" spans="20:28" ht="15.75" customHeight="1" x14ac:dyDescent="0.3">
      <c r="T268" s="78"/>
      <c r="AB268" s="79"/>
    </row>
    <row r="269" spans="20:28" ht="15.75" customHeight="1" x14ac:dyDescent="0.3">
      <c r="T269" s="78"/>
      <c r="AB269" s="79"/>
    </row>
    <row r="270" spans="20:28" ht="15.75" customHeight="1" x14ac:dyDescent="0.3">
      <c r="T270" s="78"/>
      <c r="AB270" s="79"/>
    </row>
    <row r="271" spans="20:28" ht="15.75" customHeight="1" x14ac:dyDescent="0.3">
      <c r="T271" s="78"/>
      <c r="AB271" s="79"/>
    </row>
    <row r="272" spans="20:28" ht="15.75" customHeight="1" x14ac:dyDescent="0.3">
      <c r="T272" s="78"/>
      <c r="AB272" s="79"/>
    </row>
    <row r="273" spans="20:28" ht="15.75" customHeight="1" x14ac:dyDescent="0.3">
      <c r="T273" s="78"/>
      <c r="AB273" s="79"/>
    </row>
    <row r="274" spans="20:28" ht="15.75" customHeight="1" x14ac:dyDescent="0.3">
      <c r="T274" s="78"/>
      <c r="AB274" s="79"/>
    </row>
    <row r="275" spans="20:28" ht="15.75" customHeight="1" x14ac:dyDescent="0.3">
      <c r="T275" s="78"/>
      <c r="AB275" s="79"/>
    </row>
    <row r="276" spans="20:28" ht="15.75" customHeight="1" x14ac:dyDescent="0.3">
      <c r="T276" s="78"/>
      <c r="AB276" s="79"/>
    </row>
    <row r="277" spans="20:28" ht="15.75" customHeight="1" x14ac:dyDescent="0.3">
      <c r="T277" s="78"/>
      <c r="AB277" s="79"/>
    </row>
    <row r="278" spans="20:28" ht="15.75" customHeight="1" x14ac:dyDescent="0.3">
      <c r="T278" s="78"/>
      <c r="AB278" s="79"/>
    </row>
    <row r="279" spans="20:28" ht="15.75" customHeight="1" x14ac:dyDescent="0.3">
      <c r="T279" s="78"/>
      <c r="AB279" s="79"/>
    </row>
    <row r="280" spans="20:28" ht="15.75" customHeight="1" x14ac:dyDescent="0.3">
      <c r="T280" s="78"/>
      <c r="AB280" s="79"/>
    </row>
    <row r="281" spans="20:28" ht="15.75" customHeight="1" x14ac:dyDescent="0.3">
      <c r="T281" s="78"/>
      <c r="AB281" s="79"/>
    </row>
    <row r="282" spans="20:28" ht="15.75" customHeight="1" x14ac:dyDescent="0.3">
      <c r="T282" s="78"/>
      <c r="AB282" s="79"/>
    </row>
    <row r="283" spans="20:28" ht="15.75" customHeight="1" x14ac:dyDescent="0.3">
      <c r="T283" s="78"/>
      <c r="AB283" s="79"/>
    </row>
    <row r="284" spans="20:28" ht="15.75" customHeight="1" x14ac:dyDescent="0.3">
      <c r="T284" s="78"/>
      <c r="AB284" s="79"/>
    </row>
    <row r="285" spans="20:28" ht="15.75" customHeight="1" x14ac:dyDescent="0.3">
      <c r="T285" s="78"/>
      <c r="AB285" s="79"/>
    </row>
    <row r="286" spans="20:28" ht="15.75" customHeight="1" x14ac:dyDescent="0.3">
      <c r="T286" s="78"/>
      <c r="AB286" s="79"/>
    </row>
    <row r="287" spans="20:28" ht="15.75" customHeight="1" x14ac:dyDescent="0.3">
      <c r="T287" s="78"/>
      <c r="AB287" s="79"/>
    </row>
    <row r="288" spans="20:28" ht="15.75" customHeight="1" x14ac:dyDescent="0.3">
      <c r="T288" s="78"/>
      <c r="AB288" s="79"/>
    </row>
    <row r="289" spans="20:28" ht="15.75" customHeight="1" x14ac:dyDescent="0.3">
      <c r="T289" s="78"/>
      <c r="AB289" s="79"/>
    </row>
    <row r="290" spans="20:28" ht="15.75" customHeight="1" x14ac:dyDescent="0.3">
      <c r="T290" s="78"/>
      <c r="AB290" s="79"/>
    </row>
    <row r="291" spans="20:28" ht="15.75" customHeight="1" x14ac:dyDescent="0.3">
      <c r="T291" s="78"/>
      <c r="AB291" s="79"/>
    </row>
    <row r="292" spans="20:28" ht="15.75" customHeight="1" x14ac:dyDescent="0.3">
      <c r="T292" s="78"/>
      <c r="AB292" s="79"/>
    </row>
    <row r="293" spans="20:28" ht="15.75" customHeight="1" x14ac:dyDescent="0.3">
      <c r="T293" s="78"/>
      <c r="AB293" s="79"/>
    </row>
    <row r="294" spans="20:28" ht="15.75" customHeight="1" x14ac:dyDescent="0.3">
      <c r="T294" s="78"/>
      <c r="AB294" s="79"/>
    </row>
    <row r="295" spans="20:28" ht="15.75" customHeight="1" x14ac:dyDescent="0.3">
      <c r="T295" s="78"/>
      <c r="AB295" s="79"/>
    </row>
    <row r="296" spans="20:28" ht="15.75" customHeight="1" x14ac:dyDescent="0.3">
      <c r="T296" s="78"/>
      <c r="AB296" s="79"/>
    </row>
    <row r="297" spans="20:28" ht="15.75" customHeight="1" x14ac:dyDescent="0.3">
      <c r="T297" s="78"/>
      <c r="AB297" s="79"/>
    </row>
    <row r="298" spans="20:28" ht="15.75" customHeight="1" x14ac:dyDescent="0.3">
      <c r="T298" s="78"/>
      <c r="AB298" s="79"/>
    </row>
    <row r="299" spans="20:28" ht="15.75" customHeight="1" x14ac:dyDescent="0.3">
      <c r="T299" s="78"/>
      <c r="AB299" s="79"/>
    </row>
    <row r="300" spans="20:28" ht="15.75" customHeight="1" x14ac:dyDescent="0.3">
      <c r="T300" s="78"/>
      <c r="AB300" s="79"/>
    </row>
    <row r="301" spans="20:28" ht="15.75" customHeight="1" x14ac:dyDescent="0.3">
      <c r="T301" s="78"/>
      <c r="AB301" s="79"/>
    </row>
    <row r="302" spans="20:28" ht="15.75" customHeight="1" x14ac:dyDescent="0.3">
      <c r="T302" s="78"/>
      <c r="AB302" s="79"/>
    </row>
    <row r="303" spans="20:28" ht="15.75" customHeight="1" x14ac:dyDescent="0.3">
      <c r="T303" s="78"/>
      <c r="AB303" s="79"/>
    </row>
    <row r="304" spans="20:28" ht="15.75" customHeight="1" x14ac:dyDescent="0.3">
      <c r="T304" s="78"/>
      <c r="AB304" s="79"/>
    </row>
    <row r="305" spans="20:28" ht="15.75" customHeight="1" x14ac:dyDescent="0.3">
      <c r="T305" s="78"/>
      <c r="AB305" s="79"/>
    </row>
    <row r="306" spans="20:28" ht="15.75" customHeight="1" x14ac:dyDescent="0.3">
      <c r="T306" s="78"/>
      <c r="AB306" s="79"/>
    </row>
    <row r="307" spans="20:28" ht="15.75" customHeight="1" x14ac:dyDescent="0.3">
      <c r="T307" s="78"/>
      <c r="AB307" s="79"/>
    </row>
    <row r="308" spans="20:28" ht="15.75" customHeight="1" x14ac:dyDescent="0.3">
      <c r="T308" s="78"/>
      <c r="AB308" s="79"/>
    </row>
    <row r="309" spans="20:28" ht="15.75" customHeight="1" x14ac:dyDescent="0.3">
      <c r="T309" s="78"/>
      <c r="AB309" s="79"/>
    </row>
    <row r="310" spans="20:28" ht="15.75" customHeight="1" x14ac:dyDescent="0.3">
      <c r="T310" s="78"/>
      <c r="AB310" s="79"/>
    </row>
    <row r="311" spans="20:28" ht="15.75" customHeight="1" x14ac:dyDescent="0.3">
      <c r="T311" s="78"/>
      <c r="AB311" s="79"/>
    </row>
    <row r="312" spans="20:28" ht="15.75" customHeight="1" x14ac:dyDescent="0.3">
      <c r="T312" s="78"/>
      <c r="AB312" s="79"/>
    </row>
    <row r="313" spans="20:28" ht="15.75" customHeight="1" x14ac:dyDescent="0.3">
      <c r="T313" s="78"/>
      <c r="AB313" s="79"/>
    </row>
    <row r="314" spans="20:28" ht="15.75" customHeight="1" x14ac:dyDescent="0.3">
      <c r="T314" s="78"/>
      <c r="AB314" s="79"/>
    </row>
    <row r="315" spans="20:28" ht="15.75" customHeight="1" x14ac:dyDescent="0.3">
      <c r="T315" s="78"/>
      <c r="AB315" s="79"/>
    </row>
    <row r="316" spans="20:28" ht="15.75" customHeight="1" x14ac:dyDescent="0.3">
      <c r="T316" s="78"/>
      <c r="AB316" s="79"/>
    </row>
    <row r="317" spans="20:28" ht="15.75" customHeight="1" x14ac:dyDescent="0.3">
      <c r="T317" s="78"/>
      <c r="AB317" s="79"/>
    </row>
    <row r="318" spans="20:28" ht="15.75" customHeight="1" x14ac:dyDescent="0.3">
      <c r="T318" s="78"/>
      <c r="AB318" s="79"/>
    </row>
    <row r="319" spans="20:28" ht="15.75" customHeight="1" x14ac:dyDescent="0.3">
      <c r="T319" s="78"/>
      <c r="AB319" s="79"/>
    </row>
    <row r="320" spans="20:28" ht="15.75" customHeight="1" x14ac:dyDescent="0.3">
      <c r="T320" s="78"/>
      <c r="AB320" s="79"/>
    </row>
    <row r="321" spans="20:28" ht="15.75" customHeight="1" x14ac:dyDescent="0.3">
      <c r="T321" s="78"/>
      <c r="AB321" s="79"/>
    </row>
    <row r="322" spans="20:28" ht="15.75" customHeight="1" x14ac:dyDescent="0.3">
      <c r="T322" s="78"/>
      <c r="AB322" s="79"/>
    </row>
    <row r="323" spans="20:28" ht="15.75" customHeight="1" x14ac:dyDescent="0.3">
      <c r="T323" s="78"/>
      <c r="AB323" s="79"/>
    </row>
    <row r="324" spans="20:28" ht="15.75" customHeight="1" x14ac:dyDescent="0.3">
      <c r="T324" s="78"/>
      <c r="AB324" s="79"/>
    </row>
    <row r="325" spans="20:28" ht="15.75" customHeight="1" x14ac:dyDescent="0.3">
      <c r="T325" s="78"/>
      <c r="AB325" s="79"/>
    </row>
    <row r="326" spans="20:28" ht="15.75" customHeight="1" x14ac:dyDescent="0.3">
      <c r="T326" s="78"/>
      <c r="AB326" s="79"/>
    </row>
    <row r="327" spans="20:28" ht="15.75" customHeight="1" x14ac:dyDescent="0.3">
      <c r="T327" s="78"/>
      <c r="AB327" s="79"/>
    </row>
    <row r="328" spans="20:28" ht="15.75" customHeight="1" x14ac:dyDescent="0.3">
      <c r="T328" s="78"/>
      <c r="AB328" s="79"/>
    </row>
    <row r="329" spans="20:28" ht="15.75" customHeight="1" x14ac:dyDescent="0.3">
      <c r="T329" s="78"/>
      <c r="AB329" s="79"/>
    </row>
    <row r="330" spans="20:28" ht="15.75" customHeight="1" x14ac:dyDescent="0.3">
      <c r="T330" s="78"/>
      <c r="AB330" s="79"/>
    </row>
    <row r="331" spans="20:28" ht="15.75" customHeight="1" x14ac:dyDescent="0.3">
      <c r="T331" s="78"/>
      <c r="AB331" s="79"/>
    </row>
    <row r="332" spans="20:28" ht="15.75" customHeight="1" x14ac:dyDescent="0.3">
      <c r="T332" s="78"/>
      <c r="AB332" s="79"/>
    </row>
    <row r="333" spans="20:28" ht="15.75" customHeight="1" x14ac:dyDescent="0.3">
      <c r="T333" s="78"/>
      <c r="AB333" s="79"/>
    </row>
    <row r="334" spans="20:28" ht="15.75" customHeight="1" x14ac:dyDescent="0.3">
      <c r="T334" s="78"/>
      <c r="AB334" s="79"/>
    </row>
    <row r="335" spans="20:28" ht="15.75" customHeight="1" x14ac:dyDescent="0.3">
      <c r="T335" s="78"/>
      <c r="AB335" s="79"/>
    </row>
    <row r="336" spans="20:28" ht="15.75" customHeight="1" x14ac:dyDescent="0.3">
      <c r="T336" s="78"/>
      <c r="AB336" s="79"/>
    </row>
    <row r="337" spans="20:28" ht="15.75" customHeight="1" x14ac:dyDescent="0.3">
      <c r="T337" s="78"/>
      <c r="AB337" s="79"/>
    </row>
    <row r="338" spans="20:28" ht="15.75" customHeight="1" x14ac:dyDescent="0.3">
      <c r="T338" s="78"/>
      <c r="AB338" s="79"/>
    </row>
    <row r="339" spans="20:28" ht="15.75" customHeight="1" x14ac:dyDescent="0.3">
      <c r="T339" s="78"/>
      <c r="AB339" s="79"/>
    </row>
    <row r="340" spans="20:28" ht="15.75" customHeight="1" x14ac:dyDescent="0.3">
      <c r="T340" s="78"/>
      <c r="AB340" s="79"/>
    </row>
    <row r="341" spans="20:28" ht="15.75" customHeight="1" x14ac:dyDescent="0.3">
      <c r="T341" s="78"/>
      <c r="AB341" s="79"/>
    </row>
    <row r="342" spans="20:28" ht="15.75" customHeight="1" x14ac:dyDescent="0.3">
      <c r="T342" s="78"/>
      <c r="AB342" s="79"/>
    </row>
    <row r="343" spans="20:28" ht="15.75" customHeight="1" x14ac:dyDescent="0.3">
      <c r="T343" s="78"/>
      <c r="AB343" s="79"/>
    </row>
    <row r="344" spans="20:28" ht="15.75" customHeight="1" x14ac:dyDescent="0.3">
      <c r="T344" s="78"/>
      <c r="AB344" s="79"/>
    </row>
    <row r="345" spans="20:28" ht="15.75" customHeight="1" x14ac:dyDescent="0.3">
      <c r="T345" s="78"/>
      <c r="AB345" s="79"/>
    </row>
    <row r="346" spans="20:28" ht="15.75" customHeight="1" x14ac:dyDescent="0.3">
      <c r="T346" s="78"/>
      <c r="AB346" s="79"/>
    </row>
    <row r="347" spans="20:28" ht="15.75" customHeight="1" x14ac:dyDescent="0.3">
      <c r="T347" s="78"/>
      <c r="AB347" s="79"/>
    </row>
    <row r="348" spans="20:28" ht="15.75" customHeight="1" x14ac:dyDescent="0.3">
      <c r="T348" s="78"/>
      <c r="AB348" s="79"/>
    </row>
    <row r="349" spans="20:28" ht="15.75" customHeight="1" x14ac:dyDescent="0.3">
      <c r="T349" s="78"/>
      <c r="AB349" s="79"/>
    </row>
    <row r="350" spans="20:28" ht="15.75" customHeight="1" x14ac:dyDescent="0.3">
      <c r="T350" s="78"/>
      <c r="AB350" s="79"/>
    </row>
    <row r="351" spans="20:28" ht="15.75" customHeight="1" x14ac:dyDescent="0.3">
      <c r="T351" s="78"/>
      <c r="AB351" s="79"/>
    </row>
    <row r="352" spans="20:28" ht="15.75" customHeight="1" x14ac:dyDescent="0.3">
      <c r="T352" s="78"/>
      <c r="AB352" s="79"/>
    </row>
    <row r="353" spans="20:28" ht="15.75" customHeight="1" x14ac:dyDescent="0.3">
      <c r="T353" s="78"/>
      <c r="AB353" s="79"/>
    </row>
    <row r="354" spans="20:28" ht="15.75" customHeight="1" x14ac:dyDescent="0.3">
      <c r="T354" s="78"/>
      <c r="AB354" s="79"/>
    </row>
    <row r="355" spans="20:28" ht="15.75" customHeight="1" x14ac:dyDescent="0.3">
      <c r="T355" s="78"/>
      <c r="AB355" s="79"/>
    </row>
    <row r="356" spans="20:28" ht="15.75" customHeight="1" x14ac:dyDescent="0.3">
      <c r="T356" s="78"/>
      <c r="AB356" s="79"/>
    </row>
    <row r="357" spans="20:28" ht="15.75" customHeight="1" x14ac:dyDescent="0.3">
      <c r="T357" s="78"/>
      <c r="AB357" s="79"/>
    </row>
    <row r="358" spans="20:28" ht="15.75" customHeight="1" x14ac:dyDescent="0.3">
      <c r="T358" s="78"/>
      <c r="AB358" s="79"/>
    </row>
    <row r="359" spans="20:28" ht="15.75" customHeight="1" x14ac:dyDescent="0.3">
      <c r="T359" s="78"/>
      <c r="AB359" s="79"/>
    </row>
    <row r="360" spans="20:28" ht="15.75" customHeight="1" x14ac:dyDescent="0.3">
      <c r="T360" s="78"/>
      <c r="AB360" s="79"/>
    </row>
    <row r="361" spans="20:28" ht="15.75" customHeight="1" x14ac:dyDescent="0.3">
      <c r="T361" s="78"/>
      <c r="AB361" s="79"/>
    </row>
    <row r="362" spans="20:28" ht="15.75" customHeight="1" x14ac:dyDescent="0.3">
      <c r="T362" s="78"/>
      <c r="AB362" s="79"/>
    </row>
    <row r="363" spans="20:28" ht="15.75" customHeight="1" x14ac:dyDescent="0.3">
      <c r="T363" s="78"/>
      <c r="AB363" s="79"/>
    </row>
    <row r="364" spans="20:28" ht="15.75" customHeight="1" x14ac:dyDescent="0.3">
      <c r="T364" s="78"/>
      <c r="AB364" s="79"/>
    </row>
    <row r="365" spans="20:28" ht="15.75" customHeight="1" x14ac:dyDescent="0.3">
      <c r="T365" s="78"/>
      <c r="AB365" s="79"/>
    </row>
    <row r="366" spans="20:28" ht="15.75" customHeight="1" x14ac:dyDescent="0.3">
      <c r="T366" s="78"/>
      <c r="AB366" s="79"/>
    </row>
    <row r="367" spans="20:28" ht="15.75" customHeight="1" x14ac:dyDescent="0.3">
      <c r="T367" s="78"/>
      <c r="AB367" s="79"/>
    </row>
    <row r="368" spans="20:28" ht="15.75" customHeight="1" x14ac:dyDescent="0.3">
      <c r="T368" s="78"/>
      <c r="AB368" s="79"/>
    </row>
    <row r="369" spans="20:28" ht="15.75" customHeight="1" x14ac:dyDescent="0.3">
      <c r="T369" s="78"/>
      <c r="AB369" s="79"/>
    </row>
    <row r="370" spans="20:28" ht="15.75" customHeight="1" x14ac:dyDescent="0.3">
      <c r="T370" s="78"/>
      <c r="AB370" s="79"/>
    </row>
    <row r="371" spans="20:28" ht="15.75" customHeight="1" x14ac:dyDescent="0.3">
      <c r="T371" s="78"/>
      <c r="AB371" s="79"/>
    </row>
    <row r="372" spans="20:28" ht="15.75" customHeight="1" x14ac:dyDescent="0.3">
      <c r="T372" s="78"/>
      <c r="AB372" s="79"/>
    </row>
    <row r="373" spans="20:28" ht="15.75" customHeight="1" x14ac:dyDescent="0.3">
      <c r="T373" s="78"/>
      <c r="AB373" s="79"/>
    </row>
    <row r="374" spans="20:28" ht="15.75" customHeight="1" x14ac:dyDescent="0.3">
      <c r="T374" s="78"/>
      <c r="AB374" s="79"/>
    </row>
    <row r="375" spans="20:28" ht="15.75" customHeight="1" x14ac:dyDescent="0.3">
      <c r="T375" s="78"/>
      <c r="AB375" s="79"/>
    </row>
    <row r="376" spans="20:28" ht="15.75" customHeight="1" x14ac:dyDescent="0.3">
      <c r="T376" s="78"/>
      <c r="AB376" s="79"/>
    </row>
    <row r="377" spans="20:28" ht="15.75" customHeight="1" x14ac:dyDescent="0.3">
      <c r="T377" s="78"/>
      <c r="AB377" s="79"/>
    </row>
    <row r="378" spans="20:28" ht="15.75" customHeight="1" x14ac:dyDescent="0.3">
      <c r="T378" s="78"/>
      <c r="AB378" s="79"/>
    </row>
    <row r="379" spans="20:28" ht="15.75" customHeight="1" x14ac:dyDescent="0.3">
      <c r="T379" s="78"/>
      <c r="AB379" s="79"/>
    </row>
    <row r="380" spans="20:28" ht="15.75" customHeight="1" x14ac:dyDescent="0.3">
      <c r="T380" s="78"/>
      <c r="AB380" s="79"/>
    </row>
    <row r="381" spans="20:28" ht="15.75" customHeight="1" x14ac:dyDescent="0.3">
      <c r="T381" s="78"/>
      <c r="AB381" s="79"/>
    </row>
    <row r="382" spans="20:28" ht="15.75" customHeight="1" x14ac:dyDescent="0.3">
      <c r="T382" s="78"/>
      <c r="AB382" s="79"/>
    </row>
    <row r="383" spans="20:28" ht="15.75" customHeight="1" x14ac:dyDescent="0.3">
      <c r="T383" s="78"/>
      <c r="AB383" s="79"/>
    </row>
    <row r="384" spans="20:28" ht="15.75" customHeight="1" x14ac:dyDescent="0.3">
      <c r="T384" s="78"/>
      <c r="AB384" s="79"/>
    </row>
    <row r="385" spans="20:28" ht="15.75" customHeight="1" x14ac:dyDescent="0.3">
      <c r="T385" s="78"/>
      <c r="AB385" s="79"/>
    </row>
    <row r="386" spans="20:28" ht="15.75" customHeight="1" x14ac:dyDescent="0.3">
      <c r="T386" s="78"/>
      <c r="AB386" s="79"/>
    </row>
    <row r="387" spans="20:28" ht="15.75" customHeight="1" x14ac:dyDescent="0.3">
      <c r="T387" s="78"/>
      <c r="AB387" s="79"/>
    </row>
    <row r="388" spans="20:28" ht="15.75" customHeight="1" x14ac:dyDescent="0.3">
      <c r="T388" s="78"/>
      <c r="AB388" s="79"/>
    </row>
    <row r="389" spans="20:28" ht="15.75" customHeight="1" x14ac:dyDescent="0.3">
      <c r="T389" s="78"/>
      <c r="AB389" s="79"/>
    </row>
    <row r="390" spans="20:28" ht="15.75" customHeight="1" x14ac:dyDescent="0.3">
      <c r="T390" s="78"/>
      <c r="AB390" s="79"/>
    </row>
    <row r="391" spans="20:28" ht="15.75" customHeight="1" x14ac:dyDescent="0.3">
      <c r="T391" s="78"/>
      <c r="AB391" s="79"/>
    </row>
    <row r="392" spans="20:28" ht="15.75" customHeight="1" x14ac:dyDescent="0.3">
      <c r="T392" s="78"/>
      <c r="AB392" s="79"/>
    </row>
    <row r="393" spans="20:28" ht="15.75" customHeight="1" x14ac:dyDescent="0.3">
      <c r="T393" s="78"/>
      <c r="AB393" s="79"/>
    </row>
    <row r="394" spans="20:28" ht="15.75" customHeight="1" x14ac:dyDescent="0.3">
      <c r="T394" s="78"/>
      <c r="AB394" s="79"/>
    </row>
    <row r="395" spans="20:28" ht="15.75" customHeight="1" x14ac:dyDescent="0.3">
      <c r="T395" s="78"/>
      <c r="AB395" s="79"/>
    </row>
    <row r="396" spans="20:28" ht="15.75" customHeight="1" x14ac:dyDescent="0.3">
      <c r="T396" s="78"/>
      <c r="AB396" s="79"/>
    </row>
    <row r="397" spans="20:28" ht="15.75" customHeight="1" x14ac:dyDescent="0.3">
      <c r="T397" s="78"/>
      <c r="AB397" s="79"/>
    </row>
    <row r="398" spans="20:28" ht="15.75" customHeight="1" x14ac:dyDescent="0.3">
      <c r="T398" s="78"/>
      <c r="AB398" s="79"/>
    </row>
    <row r="399" spans="20:28" ht="15.75" customHeight="1" x14ac:dyDescent="0.3">
      <c r="T399" s="78"/>
      <c r="AB399" s="79"/>
    </row>
    <row r="400" spans="20:28" ht="15.75" customHeight="1" x14ac:dyDescent="0.3">
      <c r="T400" s="78"/>
      <c r="AB400" s="79"/>
    </row>
    <row r="401" spans="20:28" ht="15.75" customHeight="1" x14ac:dyDescent="0.3">
      <c r="T401" s="78"/>
      <c r="AB401" s="79"/>
    </row>
    <row r="402" spans="20:28" ht="15.75" customHeight="1" x14ac:dyDescent="0.3">
      <c r="T402" s="78"/>
      <c r="AB402" s="79"/>
    </row>
    <row r="403" spans="20:28" ht="15.75" customHeight="1" x14ac:dyDescent="0.3">
      <c r="T403" s="78"/>
      <c r="AB403" s="79"/>
    </row>
    <row r="404" spans="20:28" ht="15.75" customHeight="1" x14ac:dyDescent="0.3">
      <c r="T404" s="78"/>
      <c r="AB404" s="79"/>
    </row>
    <row r="405" spans="20:28" ht="15.75" customHeight="1" x14ac:dyDescent="0.3">
      <c r="T405" s="78"/>
      <c r="AB405" s="79"/>
    </row>
    <row r="406" spans="20:28" ht="15.75" customHeight="1" x14ac:dyDescent="0.3">
      <c r="T406" s="78"/>
      <c r="AB406" s="79"/>
    </row>
    <row r="407" spans="20:28" ht="15.75" customHeight="1" x14ac:dyDescent="0.3">
      <c r="T407" s="78"/>
      <c r="AB407" s="79"/>
    </row>
    <row r="408" spans="20:28" ht="15.75" customHeight="1" x14ac:dyDescent="0.3">
      <c r="T408" s="78"/>
      <c r="AB408" s="79"/>
    </row>
    <row r="409" spans="20:28" ht="15.75" customHeight="1" x14ac:dyDescent="0.3">
      <c r="T409" s="78"/>
      <c r="AB409" s="79"/>
    </row>
    <row r="410" spans="20:28" ht="15.75" customHeight="1" x14ac:dyDescent="0.3">
      <c r="T410" s="78"/>
      <c r="AB410" s="79"/>
    </row>
    <row r="411" spans="20:28" ht="15.75" customHeight="1" x14ac:dyDescent="0.3">
      <c r="T411" s="78"/>
      <c r="AB411" s="79"/>
    </row>
    <row r="412" spans="20:28" ht="15.75" customHeight="1" x14ac:dyDescent="0.3">
      <c r="T412" s="78"/>
      <c r="AB412" s="79"/>
    </row>
    <row r="413" spans="20:28" ht="15.75" customHeight="1" x14ac:dyDescent="0.3">
      <c r="T413" s="78"/>
      <c r="AB413" s="79"/>
    </row>
    <row r="414" spans="20:28" ht="15.75" customHeight="1" x14ac:dyDescent="0.3">
      <c r="T414" s="78"/>
      <c r="AB414" s="79"/>
    </row>
    <row r="415" spans="20:28" ht="15.75" customHeight="1" x14ac:dyDescent="0.3">
      <c r="T415" s="78"/>
      <c r="AB415" s="79"/>
    </row>
    <row r="416" spans="20:28" ht="15.75" customHeight="1" x14ac:dyDescent="0.3">
      <c r="T416" s="78"/>
      <c r="AB416" s="79"/>
    </row>
    <row r="417" spans="20:28" ht="15.75" customHeight="1" x14ac:dyDescent="0.3">
      <c r="T417" s="78"/>
      <c r="AB417" s="79"/>
    </row>
    <row r="418" spans="20:28" ht="15.75" customHeight="1" x14ac:dyDescent="0.3">
      <c r="T418" s="78"/>
      <c r="AB418" s="79"/>
    </row>
    <row r="419" spans="20:28" ht="15.75" customHeight="1" x14ac:dyDescent="0.3">
      <c r="T419" s="78"/>
      <c r="AB419" s="79"/>
    </row>
    <row r="420" spans="20:28" ht="15.75" customHeight="1" x14ac:dyDescent="0.3">
      <c r="T420" s="78"/>
      <c r="AB420" s="79"/>
    </row>
    <row r="421" spans="20:28" ht="15.75" customHeight="1" x14ac:dyDescent="0.3">
      <c r="T421" s="78"/>
      <c r="AB421" s="79"/>
    </row>
    <row r="422" spans="20:28" ht="15.75" customHeight="1" x14ac:dyDescent="0.3">
      <c r="T422" s="78"/>
      <c r="AB422" s="79"/>
    </row>
    <row r="423" spans="20:28" ht="15.75" customHeight="1" x14ac:dyDescent="0.3">
      <c r="T423" s="78"/>
      <c r="AB423" s="79"/>
    </row>
    <row r="424" spans="20:28" ht="15.75" customHeight="1" x14ac:dyDescent="0.3">
      <c r="T424" s="78"/>
      <c r="AB424" s="79"/>
    </row>
    <row r="425" spans="20:28" ht="15.75" customHeight="1" x14ac:dyDescent="0.3">
      <c r="T425" s="78"/>
      <c r="AB425" s="79"/>
    </row>
    <row r="426" spans="20:28" ht="15.75" customHeight="1" x14ac:dyDescent="0.3">
      <c r="T426" s="78"/>
      <c r="AB426" s="79"/>
    </row>
    <row r="427" spans="20:28" ht="15.75" customHeight="1" x14ac:dyDescent="0.3">
      <c r="T427" s="78"/>
      <c r="AB427" s="79"/>
    </row>
    <row r="428" spans="20:28" ht="15.75" customHeight="1" x14ac:dyDescent="0.3">
      <c r="T428" s="78"/>
      <c r="AB428" s="79"/>
    </row>
    <row r="429" spans="20:28" ht="15.75" customHeight="1" x14ac:dyDescent="0.3">
      <c r="T429" s="78"/>
      <c r="AB429" s="79"/>
    </row>
    <row r="430" spans="20:28" ht="15.75" customHeight="1" x14ac:dyDescent="0.3">
      <c r="T430" s="78"/>
      <c r="AB430" s="79"/>
    </row>
    <row r="431" spans="20:28" ht="15.75" customHeight="1" x14ac:dyDescent="0.3">
      <c r="T431" s="78"/>
      <c r="AB431" s="79"/>
    </row>
    <row r="432" spans="20:28" ht="15.75" customHeight="1" x14ac:dyDescent="0.3">
      <c r="T432" s="78"/>
      <c r="AB432" s="79"/>
    </row>
    <row r="433" spans="20:28" ht="15.75" customHeight="1" x14ac:dyDescent="0.3">
      <c r="T433" s="78"/>
      <c r="AB433" s="79"/>
    </row>
    <row r="434" spans="20:28" ht="15.75" customHeight="1" x14ac:dyDescent="0.3">
      <c r="T434" s="78"/>
      <c r="AB434" s="79"/>
    </row>
    <row r="435" spans="20:28" ht="15.75" customHeight="1" x14ac:dyDescent="0.3">
      <c r="T435" s="78"/>
      <c r="AB435" s="79"/>
    </row>
    <row r="436" spans="20:28" ht="15.75" customHeight="1" x14ac:dyDescent="0.3">
      <c r="T436" s="78"/>
      <c r="AB436" s="79"/>
    </row>
    <row r="437" spans="20:28" ht="15.75" customHeight="1" x14ac:dyDescent="0.3">
      <c r="T437" s="78"/>
      <c r="AB437" s="79"/>
    </row>
    <row r="438" spans="20:28" ht="15.75" customHeight="1" x14ac:dyDescent="0.3">
      <c r="T438" s="78"/>
      <c r="AB438" s="79"/>
    </row>
    <row r="439" spans="20:28" ht="15.75" customHeight="1" x14ac:dyDescent="0.3">
      <c r="T439" s="78"/>
      <c r="AB439" s="79"/>
    </row>
    <row r="440" spans="20:28" ht="15.75" customHeight="1" x14ac:dyDescent="0.3">
      <c r="T440" s="78"/>
      <c r="AB440" s="79"/>
    </row>
    <row r="441" spans="20:28" ht="15.75" customHeight="1" x14ac:dyDescent="0.3">
      <c r="T441" s="78"/>
      <c r="AB441" s="79"/>
    </row>
    <row r="442" spans="20:28" ht="15.75" customHeight="1" x14ac:dyDescent="0.3">
      <c r="T442" s="78"/>
      <c r="AB442" s="79"/>
    </row>
    <row r="443" spans="20:28" ht="15.75" customHeight="1" x14ac:dyDescent="0.3">
      <c r="T443" s="78"/>
      <c r="AB443" s="79"/>
    </row>
    <row r="444" spans="20:28" ht="15.75" customHeight="1" x14ac:dyDescent="0.3">
      <c r="T444" s="78"/>
      <c r="AB444" s="79"/>
    </row>
    <row r="445" spans="20:28" ht="15.75" customHeight="1" x14ac:dyDescent="0.3">
      <c r="T445" s="78"/>
      <c r="AB445" s="79"/>
    </row>
    <row r="446" spans="20:28" ht="15.75" customHeight="1" x14ac:dyDescent="0.3">
      <c r="T446" s="78"/>
      <c r="AB446" s="79"/>
    </row>
    <row r="447" spans="20:28" ht="15.75" customHeight="1" x14ac:dyDescent="0.3">
      <c r="T447" s="78"/>
      <c r="AB447" s="79"/>
    </row>
    <row r="448" spans="20:28" ht="15.75" customHeight="1" x14ac:dyDescent="0.3">
      <c r="T448" s="78"/>
      <c r="AB448" s="79"/>
    </row>
    <row r="449" spans="20:28" ht="15.75" customHeight="1" x14ac:dyDescent="0.3">
      <c r="T449" s="78"/>
      <c r="AB449" s="79"/>
    </row>
    <row r="450" spans="20:28" ht="15.75" customHeight="1" x14ac:dyDescent="0.3">
      <c r="T450" s="78"/>
      <c r="AB450" s="79"/>
    </row>
    <row r="451" spans="20:28" ht="15.75" customHeight="1" x14ac:dyDescent="0.3">
      <c r="T451" s="78"/>
      <c r="AB451" s="79"/>
    </row>
    <row r="452" spans="20:28" ht="15.75" customHeight="1" x14ac:dyDescent="0.3">
      <c r="T452" s="78"/>
      <c r="AB452" s="79"/>
    </row>
    <row r="453" spans="20:28" ht="15.75" customHeight="1" x14ac:dyDescent="0.3">
      <c r="T453" s="78"/>
      <c r="AB453" s="79"/>
    </row>
    <row r="454" spans="20:28" ht="15.75" customHeight="1" x14ac:dyDescent="0.3">
      <c r="T454" s="78"/>
      <c r="AB454" s="79"/>
    </row>
    <row r="455" spans="20:28" ht="15.75" customHeight="1" x14ac:dyDescent="0.3">
      <c r="T455" s="78"/>
      <c r="AB455" s="79"/>
    </row>
    <row r="456" spans="20:28" ht="15.75" customHeight="1" x14ac:dyDescent="0.3">
      <c r="T456" s="78"/>
      <c r="AB456" s="79"/>
    </row>
    <row r="457" spans="20:28" ht="15.75" customHeight="1" x14ac:dyDescent="0.3">
      <c r="T457" s="78"/>
      <c r="AB457" s="79"/>
    </row>
    <row r="458" spans="20:28" ht="15.75" customHeight="1" x14ac:dyDescent="0.3">
      <c r="T458" s="78"/>
      <c r="AB458" s="79"/>
    </row>
    <row r="459" spans="20:28" ht="15.75" customHeight="1" x14ac:dyDescent="0.3">
      <c r="T459" s="78"/>
      <c r="AB459" s="79"/>
    </row>
    <row r="460" spans="20:28" ht="15.75" customHeight="1" x14ac:dyDescent="0.3">
      <c r="T460" s="78"/>
      <c r="AB460" s="79"/>
    </row>
    <row r="461" spans="20:28" ht="15.75" customHeight="1" x14ac:dyDescent="0.3">
      <c r="T461" s="78"/>
      <c r="AB461" s="79"/>
    </row>
    <row r="462" spans="20:28" ht="15.75" customHeight="1" x14ac:dyDescent="0.3">
      <c r="T462" s="78"/>
      <c r="AB462" s="79"/>
    </row>
    <row r="463" spans="20:28" ht="15.75" customHeight="1" x14ac:dyDescent="0.3">
      <c r="T463" s="78"/>
      <c r="AB463" s="79"/>
    </row>
    <row r="464" spans="20:28" ht="15.75" customHeight="1" x14ac:dyDescent="0.3">
      <c r="T464" s="78"/>
      <c r="AB464" s="79"/>
    </row>
    <row r="465" spans="20:28" ht="15.75" customHeight="1" x14ac:dyDescent="0.3">
      <c r="T465" s="78"/>
      <c r="AB465" s="79"/>
    </row>
    <row r="466" spans="20:28" ht="15.75" customHeight="1" x14ac:dyDescent="0.3">
      <c r="T466" s="78"/>
      <c r="AB466" s="79"/>
    </row>
    <row r="467" spans="20:28" ht="15.75" customHeight="1" x14ac:dyDescent="0.3">
      <c r="T467" s="78"/>
      <c r="AB467" s="79"/>
    </row>
    <row r="468" spans="20:28" ht="15.75" customHeight="1" x14ac:dyDescent="0.3">
      <c r="T468" s="78"/>
      <c r="AB468" s="79"/>
    </row>
    <row r="469" spans="20:28" ht="15.75" customHeight="1" x14ac:dyDescent="0.3">
      <c r="T469" s="78"/>
      <c r="AB469" s="79"/>
    </row>
    <row r="470" spans="20:28" ht="15.75" customHeight="1" x14ac:dyDescent="0.3">
      <c r="T470" s="78"/>
      <c r="AB470" s="79"/>
    </row>
    <row r="471" spans="20:28" ht="15.75" customHeight="1" x14ac:dyDescent="0.3">
      <c r="T471" s="78"/>
      <c r="AB471" s="79"/>
    </row>
    <row r="472" spans="20:28" ht="15.75" customHeight="1" x14ac:dyDescent="0.3">
      <c r="T472" s="78"/>
      <c r="AB472" s="79"/>
    </row>
    <row r="473" spans="20:28" ht="15.75" customHeight="1" x14ac:dyDescent="0.3">
      <c r="T473" s="78"/>
      <c r="AB473" s="79"/>
    </row>
    <row r="474" spans="20:28" ht="15.75" customHeight="1" x14ac:dyDescent="0.3">
      <c r="T474" s="78"/>
      <c r="AB474" s="79"/>
    </row>
    <row r="475" spans="20:28" ht="15.75" customHeight="1" x14ac:dyDescent="0.3">
      <c r="T475" s="78"/>
      <c r="AB475" s="79"/>
    </row>
    <row r="476" spans="20:28" ht="15.75" customHeight="1" x14ac:dyDescent="0.3">
      <c r="T476" s="78"/>
      <c r="AB476" s="79"/>
    </row>
    <row r="477" spans="20:28" ht="15.75" customHeight="1" x14ac:dyDescent="0.3">
      <c r="T477" s="78"/>
      <c r="AB477" s="79"/>
    </row>
    <row r="478" spans="20:28" ht="15.75" customHeight="1" x14ac:dyDescent="0.3">
      <c r="T478" s="78"/>
      <c r="AB478" s="79"/>
    </row>
    <row r="479" spans="20:28" ht="15.75" customHeight="1" x14ac:dyDescent="0.3">
      <c r="T479" s="78"/>
      <c r="AB479" s="79"/>
    </row>
    <row r="480" spans="20:28" ht="15.75" customHeight="1" x14ac:dyDescent="0.3">
      <c r="T480" s="78"/>
      <c r="AB480" s="79"/>
    </row>
    <row r="481" spans="20:28" ht="15.75" customHeight="1" x14ac:dyDescent="0.3">
      <c r="T481" s="78"/>
      <c r="AB481" s="79"/>
    </row>
    <row r="482" spans="20:28" ht="15.75" customHeight="1" x14ac:dyDescent="0.3">
      <c r="T482" s="78"/>
      <c r="AB482" s="79"/>
    </row>
    <row r="483" spans="20:28" ht="15.75" customHeight="1" x14ac:dyDescent="0.3">
      <c r="T483" s="78"/>
      <c r="AB483" s="79"/>
    </row>
    <row r="484" spans="20:28" ht="15.75" customHeight="1" x14ac:dyDescent="0.3">
      <c r="T484" s="78"/>
      <c r="AB484" s="79"/>
    </row>
    <row r="485" spans="20:28" ht="15.75" customHeight="1" x14ac:dyDescent="0.3">
      <c r="T485" s="78"/>
      <c r="AB485" s="79"/>
    </row>
    <row r="486" spans="20:28" ht="15.75" customHeight="1" x14ac:dyDescent="0.3">
      <c r="T486" s="78"/>
      <c r="AB486" s="79"/>
    </row>
    <row r="487" spans="20:28" ht="15.75" customHeight="1" x14ac:dyDescent="0.3">
      <c r="T487" s="78"/>
      <c r="AB487" s="79"/>
    </row>
    <row r="488" spans="20:28" ht="15.75" customHeight="1" x14ac:dyDescent="0.3">
      <c r="T488" s="78"/>
      <c r="AB488" s="79"/>
    </row>
    <row r="489" spans="20:28" ht="15.75" customHeight="1" x14ac:dyDescent="0.3">
      <c r="T489" s="78"/>
      <c r="AB489" s="79"/>
    </row>
    <row r="490" spans="20:28" ht="15.75" customHeight="1" x14ac:dyDescent="0.3">
      <c r="T490" s="78"/>
      <c r="AB490" s="79"/>
    </row>
    <row r="491" spans="20:28" ht="15.75" customHeight="1" x14ac:dyDescent="0.3">
      <c r="T491" s="78"/>
      <c r="AB491" s="79"/>
    </row>
    <row r="492" spans="20:28" ht="15.75" customHeight="1" x14ac:dyDescent="0.3">
      <c r="T492" s="78"/>
      <c r="AB492" s="79"/>
    </row>
    <row r="493" spans="20:28" ht="15.75" customHeight="1" x14ac:dyDescent="0.3">
      <c r="T493" s="78"/>
      <c r="AB493" s="79"/>
    </row>
    <row r="494" spans="20:28" ht="15.75" customHeight="1" x14ac:dyDescent="0.3">
      <c r="T494" s="78"/>
      <c r="AB494" s="79"/>
    </row>
    <row r="495" spans="20:28" ht="15.75" customHeight="1" x14ac:dyDescent="0.3">
      <c r="T495" s="78"/>
      <c r="AB495" s="79"/>
    </row>
    <row r="496" spans="20:28" ht="15.75" customHeight="1" x14ac:dyDescent="0.3">
      <c r="T496" s="78"/>
      <c r="AB496" s="79"/>
    </row>
    <row r="497" spans="20:28" ht="15.75" customHeight="1" x14ac:dyDescent="0.3">
      <c r="T497" s="78"/>
      <c r="AB497" s="79"/>
    </row>
    <row r="498" spans="20:28" ht="15.75" customHeight="1" x14ac:dyDescent="0.3">
      <c r="T498" s="78"/>
      <c r="AB498" s="79"/>
    </row>
    <row r="499" spans="20:28" ht="15.75" customHeight="1" x14ac:dyDescent="0.3">
      <c r="T499" s="78"/>
      <c r="AB499" s="79"/>
    </row>
    <row r="500" spans="20:28" ht="15.75" customHeight="1" x14ac:dyDescent="0.3">
      <c r="T500" s="78"/>
      <c r="AB500" s="79"/>
    </row>
    <row r="501" spans="20:28" ht="15.75" customHeight="1" x14ac:dyDescent="0.3">
      <c r="T501" s="78"/>
      <c r="AB501" s="79"/>
    </row>
    <row r="502" spans="20:28" ht="15.75" customHeight="1" x14ac:dyDescent="0.3">
      <c r="T502" s="78"/>
      <c r="AB502" s="79"/>
    </row>
    <row r="503" spans="20:28" ht="15.75" customHeight="1" x14ac:dyDescent="0.3">
      <c r="T503" s="78"/>
      <c r="AB503" s="79"/>
    </row>
    <row r="504" spans="20:28" ht="15.75" customHeight="1" x14ac:dyDescent="0.3">
      <c r="T504" s="78"/>
      <c r="AB504" s="79"/>
    </row>
    <row r="505" spans="20:28" ht="15.75" customHeight="1" x14ac:dyDescent="0.3">
      <c r="T505" s="78"/>
      <c r="AB505" s="79"/>
    </row>
    <row r="506" spans="20:28" ht="15.75" customHeight="1" x14ac:dyDescent="0.3">
      <c r="T506" s="78"/>
      <c r="AB506" s="79"/>
    </row>
    <row r="507" spans="20:28" ht="15.75" customHeight="1" x14ac:dyDescent="0.3">
      <c r="T507" s="78"/>
      <c r="AB507" s="79"/>
    </row>
    <row r="508" spans="20:28" ht="15.75" customHeight="1" x14ac:dyDescent="0.3">
      <c r="T508" s="78"/>
      <c r="AB508" s="79"/>
    </row>
    <row r="509" spans="20:28" ht="15.75" customHeight="1" x14ac:dyDescent="0.3">
      <c r="T509" s="78"/>
      <c r="AB509" s="79"/>
    </row>
    <row r="510" spans="20:28" ht="15.75" customHeight="1" x14ac:dyDescent="0.3">
      <c r="T510" s="78"/>
      <c r="AB510" s="79"/>
    </row>
    <row r="511" spans="20:28" ht="15.75" customHeight="1" x14ac:dyDescent="0.3">
      <c r="T511" s="78"/>
      <c r="AB511" s="79"/>
    </row>
    <row r="512" spans="20:28" ht="15.75" customHeight="1" x14ac:dyDescent="0.3">
      <c r="T512" s="78"/>
      <c r="AB512" s="79"/>
    </row>
    <row r="513" spans="20:28" ht="15.75" customHeight="1" x14ac:dyDescent="0.3">
      <c r="T513" s="78"/>
      <c r="AB513" s="79"/>
    </row>
    <row r="514" spans="20:28" ht="15.75" customHeight="1" x14ac:dyDescent="0.3">
      <c r="T514" s="78"/>
      <c r="AB514" s="79"/>
    </row>
    <row r="515" spans="20:28" ht="15.75" customHeight="1" x14ac:dyDescent="0.3">
      <c r="T515" s="78"/>
      <c r="AB515" s="79"/>
    </row>
    <row r="516" spans="20:28" ht="15.75" customHeight="1" x14ac:dyDescent="0.3">
      <c r="T516" s="78"/>
      <c r="AB516" s="79"/>
    </row>
    <row r="517" spans="20:28" ht="15.75" customHeight="1" x14ac:dyDescent="0.3">
      <c r="T517" s="78"/>
      <c r="AB517" s="79"/>
    </row>
    <row r="518" spans="20:28" ht="15.75" customHeight="1" x14ac:dyDescent="0.3">
      <c r="T518" s="78"/>
      <c r="AB518" s="79"/>
    </row>
    <row r="519" spans="20:28" ht="15.75" customHeight="1" x14ac:dyDescent="0.3">
      <c r="T519" s="78"/>
      <c r="AB519" s="79"/>
    </row>
    <row r="520" spans="20:28" ht="15.75" customHeight="1" x14ac:dyDescent="0.3">
      <c r="T520" s="78"/>
      <c r="AB520" s="79"/>
    </row>
    <row r="521" spans="20:28" ht="15.75" customHeight="1" x14ac:dyDescent="0.3">
      <c r="T521" s="78"/>
      <c r="AB521" s="79"/>
    </row>
    <row r="522" spans="20:28" ht="15.75" customHeight="1" x14ac:dyDescent="0.3">
      <c r="T522" s="78"/>
      <c r="AB522" s="79"/>
    </row>
    <row r="523" spans="20:28" ht="15.75" customHeight="1" x14ac:dyDescent="0.3">
      <c r="T523" s="78"/>
      <c r="AB523" s="79"/>
    </row>
    <row r="524" spans="20:28" ht="15.75" customHeight="1" x14ac:dyDescent="0.3">
      <c r="T524" s="78"/>
      <c r="AB524" s="79"/>
    </row>
    <row r="525" spans="20:28" ht="15.75" customHeight="1" x14ac:dyDescent="0.3">
      <c r="T525" s="78"/>
      <c r="AB525" s="79"/>
    </row>
    <row r="526" spans="20:28" ht="15.75" customHeight="1" x14ac:dyDescent="0.3">
      <c r="T526" s="78"/>
      <c r="AB526" s="79"/>
    </row>
    <row r="527" spans="20:28" ht="15.75" customHeight="1" x14ac:dyDescent="0.3">
      <c r="T527" s="78"/>
      <c r="AB527" s="79"/>
    </row>
    <row r="528" spans="20:28" ht="15.75" customHeight="1" x14ac:dyDescent="0.3">
      <c r="T528" s="78"/>
      <c r="AB528" s="79"/>
    </row>
    <row r="529" spans="20:28" ht="15.75" customHeight="1" x14ac:dyDescent="0.3">
      <c r="T529" s="78"/>
      <c r="AB529" s="79"/>
    </row>
    <row r="530" spans="20:28" ht="15.75" customHeight="1" x14ac:dyDescent="0.3">
      <c r="T530" s="78"/>
      <c r="AB530" s="79"/>
    </row>
    <row r="531" spans="20:28" ht="15.75" customHeight="1" x14ac:dyDescent="0.3">
      <c r="T531" s="78"/>
      <c r="AB531" s="79"/>
    </row>
    <row r="532" spans="20:28" ht="15.75" customHeight="1" x14ac:dyDescent="0.3">
      <c r="T532" s="78"/>
      <c r="AB532" s="79"/>
    </row>
    <row r="533" spans="20:28" ht="15.75" customHeight="1" x14ac:dyDescent="0.3">
      <c r="T533" s="78"/>
      <c r="AB533" s="79"/>
    </row>
    <row r="534" spans="20:28" ht="15.75" customHeight="1" x14ac:dyDescent="0.3">
      <c r="T534" s="78"/>
      <c r="AB534" s="79"/>
    </row>
    <row r="535" spans="20:28" ht="15.75" customHeight="1" x14ac:dyDescent="0.3">
      <c r="T535" s="78"/>
      <c r="AB535" s="79"/>
    </row>
    <row r="536" spans="20:28" ht="15.75" customHeight="1" x14ac:dyDescent="0.3">
      <c r="T536" s="78"/>
      <c r="AB536" s="79"/>
    </row>
    <row r="537" spans="20:28" ht="15.75" customHeight="1" x14ac:dyDescent="0.3">
      <c r="T537" s="78"/>
      <c r="AB537" s="79"/>
    </row>
    <row r="538" spans="20:28" ht="15.75" customHeight="1" x14ac:dyDescent="0.3">
      <c r="T538" s="78"/>
      <c r="AB538" s="79"/>
    </row>
    <row r="539" spans="20:28" ht="15.75" customHeight="1" x14ac:dyDescent="0.3">
      <c r="T539" s="78"/>
      <c r="AB539" s="79"/>
    </row>
    <row r="540" spans="20:28" ht="15.75" customHeight="1" x14ac:dyDescent="0.3">
      <c r="T540" s="78"/>
      <c r="AB540" s="79"/>
    </row>
    <row r="541" spans="20:28" ht="15.75" customHeight="1" x14ac:dyDescent="0.3">
      <c r="T541" s="78"/>
      <c r="AB541" s="79"/>
    </row>
    <row r="542" spans="20:28" ht="15.75" customHeight="1" x14ac:dyDescent="0.3">
      <c r="T542" s="78"/>
      <c r="AB542" s="79"/>
    </row>
    <row r="543" spans="20:28" ht="15.75" customHeight="1" x14ac:dyDescent="0.3">
      <c r="T543" s="78"/>
      <c r="AB543" s="79"/>
    </row>
    <row r="544" spans="20:28" ht="15.75" customHeight="1" x14ac:dyDescent="0.3">
      <c r="T544" s="78"/>
      <c r="AB544" s="79"/>
    </row>
    <row r="545" spans="20:28" ht="15.75" customHeight="1" x14ac:dyDescent="0.3">
      <c r="T545" s="78"/>
      <c r="AB545" s="79"/>
    </row>
    <row r="546" spans="20:28" ht="15.75" customHeight="1" x14ac:dyDescent="0.3">
      <c r="T546" s="78"/>
      <c r="AB546" s="79"/>
    </row>
    <row r="547" spans="20:28" ht="15.75" customHeight="1" x14ac:dyDescent="0.3">
      <c r="T547" s="78"/>
      <c r="AB547" s="79"/>
    </row>
    <row r="548" spans="20:28" ht="15.75" customHeight="1" x14ac:dyDescent="0.3">
      <c r="T548" s="78"/>
      <c r="AB548" s="79"/>
    </row>
    <row r="549" spans="20:28" ht="15.75" customHeight="1" x14ac:dyDescent="0.3">
      <c r="T549" s="78"/>
      <c r="AB549" s="79"/>
    </row>
    <row r="550" spans="20:28" ht="15.75" customHeight="1" x14ac:dyDescent="0.3">
      <c r="T550" s="78"/>
      <c r="AB550" s="79"/>
    </row>
    <row r="551" spans="20:28" ht="15.75" customHeight="1" x14ac:dyDescent="0.3">
      <c r="T551" s="78"/>
      <c r="AB551" s="79"/>
    </row>
    <row r="552" spans="20:28" ht="15.75" customHeight="1" x14ac:dyDescent="0.3">
      <c r="T552" s="78"/>
      <c r="AB552" s="79"/>
    </row>
    <row r="553" spans="20:28" ht="15.75" customHeight="1" x14ac:dyDescent="0.3">
      <c r="T553" s="78"/>
      <c r="AB553" s="79"/>
    </row>
    <row r="554" spans="20:28" ht="15.75" customHeight="1" x14ac:dyDescent="0.3">
      <c r="T554" s="78"/>
      <c r="AB554" s="79"/>
    </row>
    <row r="555" spans="20:28" ht="15.75" customHeight="1" x14ac:dyDescent="0.3">
      <c r="T555" s="78"/>
      <c r="AB555" s="79"/>
    </row>
    <row r="556" spans="20:28" ht="15.75" customHeight="1" x14ac:dyDescent="0.3">
      <c r="T556" s="78"/>
      <c r="AB556" s="79"/>
    </row>
    <row r="557" spans="20:28" ht="15.75" customHeight="1" x14ac:dyDescent="0.3">
      <c r="T557" s="78"/>
      <c r="AB557" s="79"/>
    </row>
    <row r="558" spans="20:28" ht="15.75" customHeight="1" x14ac:dyDescent="0.3">
      <c r="T558" s="78"/>
      <c r="AB558" s="79"/>
    </row>
    <row r="559" spans="20:28" ht="15.75" customHeight="1" x14ac:dyDescent="0.3">
      <c r="T559" s="78"/>
      <c r="AB559" s="79"/>
    </row>
    <row r="560" spans="20:28" ht="15.75" customHeight="1" x14ac:dyDescent="0.3">
      <c r="T560" s="78"/>
      <c r="AB560" s="79"/>
    </row>
    <row r="561" spans="20:28" ht="15.75" customHeight="1" x14ac:dyDescent="0.3">
      <c r="T561" s="78"/>
      <c r="AB561" s="79"/>
    </row>
    <row r="562" spans="20:28" ht="15.75" customHeight="1" x14ac:dyDescent="0.3">
      <c r="T562" s="78"/>
      <c r="AB562" s="79"/>
    </row>
    <row r="563" spans="20:28" ht="15.75" customHeight="1" x14ac:dyDescent="0.3">
      <c r="T563" s="78"/>
      <c r="AB563" s="79"/>
    </row>
    <row r="564" spans="20:28" ht="15.75" customHeight="1" x14ac:dyDescent="0.3">
      <c r="T564" s="78"/>
      <c r="AB564" s="79"/>
    </row>
    <row r="565" spans="20:28" ht="15.75" customHeight="1" x14ac:dyDescent="0.3">
      <c r="T565" s="78"/>
      <c r="AB565" s="79"/>
    </row>
    <row r="566" spans="20:28" ht="15.75" customHeight="1" x14ac:dyDescent="0.3">
      <c r="T566" s="78"/>
      <c r="AB566" s="79"/>
    </row>
    <row r="567" spans="20:28" ht="15.75" customHeight="1" x14ac:dyDescent="0.3">
      <c r="T567" s="78"/>
      <c r="AB567" s="79"/>
    </row>
    <row r="568" spans="20:28" ht="15.75" customHeight="1" x14ac:dyDescent="0.3">
      <c r="T568" s="78"/>
      <c r="AB568" s="79"/>
    </row>
    <row r="569" spans="20:28" ht="15.75" customHeight="1" x14ac:dyDescent="0.3">
      <c r="T569" s="78"/>
      <c r="AB569" s="79"/>
    </row>
    <row r="570" spans="20:28" ht="15.75" customHeight="1" x14ac:dyDescent="0.3">
      <c r="T570" s="78"/>
      <c r="AB570" s="79"/>
    </row>
    <row r="571" spans="20:28" ht="15.75" customHeight="1" x14ac:dyDescent="0.3">
      <c r="T571" s="78"/>
      <c r="AB571" s="79"/>
    </row>
    <row r="572" spans="20:28" ht="15.75" customHeight="1" x14ac:dyDescent="0.3">
      <c r="T572" s="78"/>
      <c r="AB572" s="79"/>
    </row>
    <row r="573" spans="20:28" ht="15.75" customHeight="1" x14ac:dyDescent="0.3">
      <c r="T573" s="78"/>
      <c r="AB573" s="79"/>
    </row>
    <row r="574" spans="20:28" ht="15.75" customHeight="1" x14ac:dyDescent="0.3">
      <c r="T574" s="78"/>
      <c r="AB574" s="79"/>
    </row>
    <row r="575" spans="20:28" ht="15.75" customHeight="1" x14ac:dyDescent="0.3">
      <c r="T575" s="78"/>
      <c r="AB575" s="79"/>
    </row>
    <row r="576" spans="20:28" ht="15.75" customHeight="1" x14ac:dyDescent="0.3">
      <c r="T576" s="78"/>
      <c r="AB576" s="79"/>
    </row>
    <row r="577" spans="20:28" ht="15.75" customHeight="1" x14ac:dyDescent="0.3">
      <c r="T577" s="78"/>
      <c r="AB577" s="79"/>
    </row>
    <row r="578" spans="20:28" ht="15.75" customHeight="1" x14ac:dyDescent="0.3">
      <c r="T578" s="78"/>
      <c r="AB578" s="79"/>
    </row>
    <row r="579" spans="20:28" ht="15.75" customHeight="1" x14ac:dyDescent="0.3">
      <c r="T579" s="78"/>
      <c r="AB579" s="79"/>
    </row>
    <row r="580" spans="20:28" ht="15.75" customHeight="1" x14ac:dyDescent="0.3">
      <c r="T580" s="78"/>
      <c r="AB580" s="79"/>
    </row>
    <row r="581" spans="20:28" ht="15.75" customHeight="1" x14ac:dyDescent="0.3">
      <c r="T581" s="78"/>
      <c r="AB581" s="79"/>
    </row>
    <row r="582" spans="20:28" ht="15.75" customHeight="1" x14ac:dyDescent="0.3">
      <c r="T582" s="78"/>
      <c r="AB582" s="79"/>
    </row>
    <row r="583" spans="20:28" ht="15.75" customHeight="1" x14ac:dyDescent="0.3">
      <c r="T583" s="78"/>
      <c r="AB583" s="79"/>
    </row>
    <row r="584" spans="20:28" ht="15.75" customHeight="1" x14ac:dyDescent="0.3">
      <c r="T584" s="78"/>
      <c r="AB584" s="79"/>
    </row>
    <row r="585" spans="20:28" ht="15.75" customHeight="1" x14ac:dyDescent="0.3">
      <c r="T585" s="78"/>
      <c r="AB585" s="79"/>
    </row>
    <row r="586" spans="20:28" ht="15.75" customHeight="1" x14ac:dyDescent="0.3">
      <c r="T586" s="78"/>
      <c r="AB586" s="79"/>
    </row>
    <row r="587" spans="20:28" ht="15.75" customHeight="1" x14ac:dyDescent="0.3">
      <c r="T587" s="78"/>
      <c r="AB587" s="79"/>
    </row>
    <row r="588" spans="20:28" ht="15.75" customHeight="1" x14ac:dyDescent="0.3">
      <c r="T588" s="78"/>
      <c r="AB588" s="79"/>
    </row>
    <row r="589" spans="20:28" ht="15.75" customHeight="1" x14ac:dyDescent="0.3">
      <c r="T589" s="78"/>
      <c r="AB589" s="79"/>
    </row>
    <row r="590" spans="20:28" ht="15.75" customHeight="1" x14ac:dyDescent="0.3">
      <c r="T590" s="78"/>
      <c r="AB590" s="79"/>
    </row>
    <row r="591" spans="20:28" ht="15.75" customHeight="1" x14ac:dyDescent="0.3">
      <c r="T591" s="78"/>
      <c r="AB591" s="79"/>
    </row>
    <row r="592" spans="20:28" ht="15.75" customHeight="1" x14ac:dyDescent="0.3">
      <c r="T592" s="78"/>
      <c r="AB592" s="79"/>
    </row>
    <row r="593" spans="20:28" ht="15.75" customHeight="1" x14ac:dyDescent="0.3">
      <c r="T593" s="78"/>
      <c r="AB593" s="79"/>
    </row>
    <row r="594" spans="20:28" ht="15.75" customHeight="1" x14ac:dyDescent="0.3">
      <c r="T594" s="78"/>
      <c r="AB594" s="79"/>
    </row>
    <row r="595" spans="20:28" ht="15.75" customHeight="1" x14ac:dyDescent="0.3">
      <c r="T595" s="78"/>
      <c r="AB595" s="79"/>
    </row>
    <row r="596" spans="20:28" ht="15.75" customHeight="1" x14ac:dyDescent="0.3">
      <c r="T596" s="78"/>
      <c r="AB596" s="79"/>
    </row>
    <row r="597" spans="20:28" ht="15.75" customHeight="1" x14ac:dyDescent="0.3">
      <c r="T597" s="78"/>
      <c r="AB597" s="79"/>
    </row>
    <row r="598" spans="20:28" ht="15.75" customHeight="1" x14ac:dyDescent="0.3">
      <c r="T598" s="78"/>
      <c r="AB598" s="79"/>
    </row>
    <row r="599" spans="20:28" ht="15.75" customHeight="1" x14ac:dyDescent="0.3">
      <c r="T599" s="78"/>
      <c r="AB599" s="79"/>
    </row>
    <row r="600" spans="20:28" ht="15.75" customHeight="1" x14ac:dyDescent="0.3">
      <c r="T600" s="78"/>
      <c r="AB600" s="79"/>
    </row>
    <row r="601" spans="20:28" ht="15.75" customHeight="1" x14ac:dyDescent="0.3">
      <c r="T601" s="78"/>
      <c r="AB601" s="79"/>
    </row>
    <row r="602" spans="20:28" ht="15.75" customHeight="1" x14ac:dyDescent="0.3">
      <c r="T602" s="78"/>
      <c r="AB602" s="79"/>
    </row>
    <row r="603" spans="20:28" ht="15.75" customHeight="1" x14ac:dyDescent="0.3">
      <c r="T603" s="78"/>
      <c r="AB603" s="79"/>
    </row>
    <row r="604" spans="20:28" ht="15.75" customHeight="1" x14ac:dyDescent="0.3">
      <c r="T604" s="78"/>
      <c r="AB604" s="79"/>
    </row>
    <row r="605" spans="20:28" ht="15.75" customHeight="1" x14ac:dyDescent="0.3">
      <c r="T605" s="78"/>
      <c r="AB605" s="79"/>
    </row>
    <row r="606" spans="20:28" ht="15.75" customHeight="1" x14ac:dyDescent="0.3">
      <c r="T606" s="78"/>
      <c r="AB606" s="79"/>
    </row>
    <row r="607" spans="20:28" ht="15.75" customHeight="1" x14ac:dyDescent="0.3">
      <c r="T607" s="78"/>
      <c r="AB607" s="79"/>
    </row>
    <row r="608" spans="20:28" ht="15.75" customHeight="1" x14ac:dyDescent="0.3">
      <c r="T608" s="78"/>
      <c r="AB608" s="79"/>
    </row>
    <row r="609" spans="20:28" ht="15.75" customHeight="1" x14ac:dyDescent="0.3">
      <c r="T609" s="78"/>
      <c r="AB609" s="79"/>
    </row>
    <row r="610" spans="20:28" ht="15.75" customHeight="1" x14ac:dyDescent="0.3">
      <c r="T610" s="78"/>
      <c r="AB610" s="79"/>
    </row>
    <row r="611" spans="20:28" ht="15.75" customHeight="1" x14ac:dyDescent="0.3">
      <c r="T611" s="78"/>
      <c r="AB611" s="79"/>
    </row>
    <row r="612" spans="20:28" ht="15.75" customHeight="1" x14ac:dyDescent="0.3">
      <c r="T612" s="78"/>
      <c r="AB612" s="79"/>
    </row>
    <row r="613" spans="20:28" ht="15.75" customHeight="1" x14ac:dyDescent="0.3">
      <c r="T613" s="78"/>
      <c r="AB613" s="79"/>
    </row>
    <row r="614" spans="20:28" ht="15.75" customHeight="1" x14ac:dyDescent="0.3">
      <c r="T614" s="78"/>
      <c r="AB614" s="79"/>
    </row>
    <row r="615" spans="20:28" ht="15.75" customHeight="1" x14ac:dyDescent="0.3">
      <c r="T615" s="78"/>
      <c r="AB615" s="79"/>
    </row>
    <row r="616" spans="20:28" ht="15.75" customHeight="1" x14ac:dyDescent="0.3">
      <c r="T616" s="78"/>
      <c r="AB616" s="79"/>
    </row>
    <row r="617" spans="20:28" ht="15.75" customHeight="1" x14ac:dyDescent="0.3">
      <c r="T617" s="78"/>
      <c r="AB617" s="79"/>
    </row>
    <row r="618" spans="20:28" ht="15.75" customHeight="1" x14ac:dyDescent="0.3">
      <c r="T618" s="78"/>
      <c r="AB618" s="79"/>
    </row>
    <row r="619" spans="20:28" ht="15.75" customHeight="1" x14ac:dyDescent="0.3">
      <c r="T619" s="78"/>
      <c r="AB619" s="79"/>
    </row>
    <row r="620" spans="20:28" ht="15.75" customHeight="1" x14ac:dyDescent="0.3">
      <c r="T620" s="78"/>
      <c r="AB620" s="79"/>
    </row>
    <row r="621" spans="20:28" ht="15.75" customHeight="1" x14ac:dyDescent="0.3">
      <c r="T621" s="78"/>
      <c r="AB621" s="79"/>
    </row>
    <row r="622" spans="20:28" ht="15.75" customHeight="1" x14ac:dyDescent="0.3">
      <c r="T622" s="78"/>
      <c r="AB622" s="79"/>
    </row>
    <row r="623" spans="20:28" ht="15.75" customHeight="1" x14ac:dyDescent="0.3">
      <c r="T623" s="78"/>
      <c r="AB623" s="79"/>
    </row>
    <row r="624" spans="20:28" ht="15.75" customHeight="1" x14ac:dyDescent="0.3">
      <c r="T624" s="78"/>
      <c r="AB624" s="79"/>
    </row>
    <row r="625" spans="20:28" ht="15.75" customHeight="1" x14ac:dyDescent="0.3">
      <c r="T625" s="78"/>
      <c r="AB625" s="79"/>
    </row>
    <row r="626" spans="20:28" ht="15.75" customHeight="1" x14ac:dyDescent="0.3">
      <c r="T626" s="78"/>
      <c r="AB626" s="79"/>
    </row>
    <row r="627" spans="20:28" ht="15.75" customHeight="1" x14ac:dyDescent="0.3">
      <c r="T627" s="78"/>
      <c r="AB627" s="79"/>
    </row>
    <row r="628" spans="20:28" ht="15.75" customHeight="1" x14ac:dyDescent="0.3">
      <c r="T628" s="78"/>
      <c r="AB628" s="79"/>
    </row>
    <row r="629" spans="20:28" ht="15.75" customHeight="1" x14ac:dyDescent="0.3">
      <c r="T629" s="78"/>
      <c r="AB629" s="79"/>
    </row>
    <row r="630" spans="20:28" ht="15.75" customHeight="1" x14ac:dyDescent="0.3">
      <c r="T630" s="78"/>
      <c r="AB630" s="79"/>
    </row>
    <row r="631" spans="20:28" ht="15.75" customHeight="1" x14ac:dyDescent="0.3">
      <c r="T631" s="78"/>
      <c r="AB631" s="79"/>
    </row>
    <row r="632" spans="20:28" ht="15.75" customHeight="1" x14ac:dyDescent="0.3">
      <c r="T632" s="78"/>
      <c r="AB632" s="79"/>
    </row>
    <row r="633" spans="20:28" ht="15.75" customHeight="1" x14ac:dyDescent="0.3">
      <c r="T633" s="78"/>
      <c r="AB633" s="79"/>
    </row>
    <row r="634" spans="20:28" ht="15.75" customHeight="1" x14ac:dyDescent="0.3">
      <c r="T634" s="78"/>
      <c r="AB634" s="79"/>
    </row>
    <row r="635" spans="20:28" ht="15.75" customHeight="1" x14ac:dyDescent="0.3">
      <c r="T635" s="78"/>
      <c r="AB635" s="79"/>
    </row>
    <row r="636" spans="20:28" ht="15.75" customHeight="1" x14ac:dyDescent="0.3">
      <c r="T636" s="78"/>
      <c r="AB636" s="79"/>
    </row>
    <row r="637" spans="20:28" ht="15.75" customHeight="1" x14ac:dyDescent="0.3">
      <c r="T637" s="78"/>
      <c r="AB637" s="79"/>
    </row>
    <row r="638" spans="20:28" ht="15.75" customHeight="1" x14ac:dyDescent="0.3">
      <c r="T638" s="78"/>
      <c r="AB638" s="79"/>
    </row>
    <row r="639" spans="20:28" ht="15.75" customHeight="1" x14ac:dyDescent="0.3">
      <c r="T639" s="78"/>
      <c r="AB639" s="79"/>
    </row>
    <row r="640" spans="20:28" ht="15.75" customHeight="1" x14ac:dyDescent="0.3">
      <c r="T640" s="78"/>
      <c r="AB640" s="79"/>
    </row>
    <row r="641" spans="20:28" ht="15.75" customHeight="1" x14ac:dyDescent="0.3">
      <c r="T641" s="78"/>
      <c r="AB641" s="79"/>
    </row>
    <row r="642" spans="20:28" ht="15.75" customHeight="1" x14ac:dyDescent="0.3">
      <c r="T642" s="78"/>
      <c r="AB642" s="79"/>
    </row>
    <row r="643" spans="20:28" ht="15.75" customHeight="1" x14ac:dyDescent="0.3">
      <c r="T643" s="78"/>
      <c r="AB643" s="79"/>
    </row>
    <row r="644" spans="20:28" ht="15.75" customHeight="1" x14ac:dyDescent="0.3">
      <c r="T644" s="78"/>
      <c r="AB644" s="79"/>
    </row>
    <row r="645" spans="20:28" ht="15.75" customHeight="1" x14ac:dyDescent="0.3">
      <c r="T645" s="78"/>
      <c r="AB645" s="79"/>
    </row>
    <row r="646" spans="20:28" ht="15.75" customHeight="1" x14ac:dyDescent="0.3">
      <c r="T646" s="78"/>
      <c r="AB646" s="79"/>
    </row>
    <row r="647" spans="20:28" ht="15.75" customHeight="1" x14ac:dyDescent="0.3">
      <c r="T647" s="78"/>
      <c r="AB647" s="79"/>
    </row>
    <row r="648" spans="20:28" ht="15.75" customHeight="1" x14ac:dyDescent="0.3">
      <c r="T648" s="78"/>
      <c r="AB648" s="79"/>
    </row>
    <row r="649" spans="20:28" ht="15.75" customHeight="1" x14ac:dyDescent="0.3">
      <c r="T649" s="78"/>
      <c r="AB649" s="79"/>
    </row>
    <row r="650" spans="20:28" ht="15.75" customHeight="1" x14ac:dyDescent="0.3">
      <c r="T650" s="78"/>
      <c r="AB650" s="79"/>
    </row>
    <row r="651" spans="20:28" ht="15.75" customHeight="1" x14ac:dyDescent="0.3">
      <c r="T651" s="78"/>
      <c r="AB651" s="79"/>
    </row>
    <row r="652" spans="20:28" ht="15.75" customHeight="1" x14ac:dyDescent="0.3">
      <c r="T652" s="78"/>
      <c r="AB652" s="79"/>
    </row>
    <row r="653" spans="20:28" ht="15.75" customHeight="1" x14ac:dyDescent="0.3">
      <c r="T653" s="78"/>
      <c r="AB653" s="79"/>
    </row>
    <row r="654" spans="20:28" ht="15.75" customHeight="1" x14ac:dyDescent="0.3">
      <c r="T654" s="78"/>
      <c r="AB654" s="79"/>
    </row>
    <row r="655" spans="20:28" ht="15.75" customHeight="1" x14ac:dyDescent="0.3">
      <c r="T655" s="78"/>
      <c r="AB655" s="79"/>
    </row>
    <row r="656" spans="20:28" ht="15.75" customHeight="1" x14ac:dyDescent="0.3">
      <c r="T656" s="78"/>
      <c r="AB656" s="79"/>
    </row>
    <row r="657" spans="20:28" ht="15.75" customHeight="1" x14ac:dyDescent="0.3">
      <c r="T657" s="78"/>
      <c r="AB657" s="79"/>
    </row>
    <row r="658" spans="20:28" ht="15.75" customHeight="1" x14ac:dyDescent="0.3">
      <c r="T658" s="78"/>
      <c r="AB658" s="79"/>
    </row>
    <row r="659" spans="20:28" ht="15.75" customHeight="1" x14ac:dyDescent="0.3">
      <c r="T659" s="78"/>
      <c r="AB659" s="79"/>
    </row>
    <row r="660" spans="20:28" ht="15.75" customHeight="1" x14ac:dyDescent="0.3">
      <c r="T660" s="78"/>
      <c r="AB660" s="79"/>
    </row>
    <row r="661" spans="20:28" ht="15.75" customHeight="1" x14ac:dyDescent="0.3">
      <c r="T661" s="78"/>
      <c r="AB661" s="79"/>
    </row>
    <row r="662" spans="20:28" ht="15.75" customHeight="1" x14ac:dyDescent="0.3">
      <c r="T662" s="78"/>
      <c r="AB662" s="79"/>
    </row>
    <row r="663" spans="20:28" ht="15.75" customHeight="1" x14ac:dyDescent="0.3">
      <c r="T663" s="78"/>
      <c r="AB663" s="79"/>
    </row>
    <row r="664" spans="20:28" ht="15.75" customHeight="1" x14ac:dyDescent="0.3">
      <c r="T664" s="78"/>
      <c r="AB664" s="79"/>
    </row>
    <row r="665" spans="20:28" ht="15.75" customHeight="1" x14ac:dyDescent="0.3">
      <c r="T665" s="78"/>
      <c r="AB665" s="79"/>
    </row>
    <row r="666" spans="20:28" ht="15.75" customHeight="1" x14ac:dyDescent="0.3">
      <c r="T666" s="78"/>
      <c r="AB666" s="79"/>
    </row>
    <row r="667" spans="20:28" ht="15.75" customHeight="1" x14ac:dyDescent="0.3">
      <c r="T667" s="78"/>
      <c r="AB667" s="79"/>
    </row>
    <row r="668" spans="20:28" ht="15.75" customHeight="1" x14ac:dyDescent="0.3">
      <c r="T668" s="78"/>
      <c r="AB668" s="79"/>
    </row>
    <row r="669" spans="20:28" ht="15.75" customHeight="1" x14ac:dyDescent="0.3">
      <c r="T669" s="78"/>
      <c r="AB669" s="79"/>
    </row>
    <row r="670" spans="20:28" ht="15.75" customHeight="1" x14ac:dyDescent="0.3">
      <c r="T670" s="78"/>
      <c r="AB670" s="79"/>
    </row>
    <row r="671" spans="20:28" ht="15.75" customHeight="1" x14ac:dyDescent="0.3">
      <c r="T671" s="78"/>
      <c r="AB671" s="79"/>
    </row>
    <row r="672" spans="20:28" ht="15.75" customHeight="1" x14ac:dyDescent="0.3">
      <c r="T672" s="78"/>
      <c r="AB672" s="79"/>
    </row>
    <row r="673" spans="20:28" ht="15.75" customHeight="1" x14ac:dyDescent="0.3">
      <c r="T673" s="78"/>
      <c r="AB673" s="79"/>
    </row>
    <row r="674" spans="20:28" ht="15.75" customHeight="1" x14ac:dyDescent="0.3">
      <c r="T674" s="78"/>
      <c r="AB674" s="79"/>
    </row>
    <row r="675" spans="20:28" ht="15.75" customHeight="1" x14ac:dyDescent="0.3">
      <c r="T675" s="78"/>
      <c r="AB675" s="79"/>
    </row>
    <row r="676" spans="20:28" ht="15.75" customHeight="1" x14ac:dyDescent="0.3">
      <c r="T676" s="78"/>
      <c r="AB676" s="79"/>
    </row>
    <row r="677" spans="20:28" ht="15.75" customHeight="1" x14ac:dyDescent="0.3">
      <c r="T677" s="78"/>
      <c r="AB677" s="79"/>
    </row>
    <row r="678" spans="20:28" ht="15.75" customHeight="1" x14ac:dyDescent="0.3">
      <c r="T678" s="78"/>
      <c r="AB678" s="79"/>
    </row>
    <row r="679" spans="20:28" ht="15.75" customHeight="1" x14ac:dyDescent="0.3">
      <c r="T679" s="78"/>
      <c r="AB679" s="79"/>
    </row>
    <row r="680" spans="20:28" ht="15.75" customHeight="1" x14ac:dyDescent="0.3">
      <c r="T680" s="78"/>
      <c r="AB680" s="79"/>
    </row>
    <row r="681" spans="20:28" ht="15.75" customHeight="1" x14ac:dyDescent="0.3">
      <c r="T681" s="78"/>
      <c r="AB681" s="79"/>
    </row>
    <row r="682" spans="20:28" ht="15.75" customHeight="1" x14ac:dyDescent="0.3">
      <c r="T682" s="78"/>
      <c r="AB682" s="79"/>
    </row>
    <row r="683" spans="20:28" ht="15.75" customHeight="1" x14ac:dyDescent="0.3">
      <c r="T683" s="78"/>
      <c r="AB683" s="79"/>
    </row>
    <row r="684" spans="20:28" ht="15.75" customHeight="1" x14ac:dyDescent="0.3">
      <c r="T684" s="78"/>
      <c r="AB684" s="79"/>
    </row>
    <row r="685" spans="20:28" ht="15.75" customHeight="1" x14ac:dyDescent="0.3">
      <c r="T685" s="78"/>
      <c r="AB685" s="79"/>
    </row>
    <row r="686" spans="20:28" ht="15.75" customHeight="1" x14ac:dyDescent="0.3">
      <c r="T686" s="78"/>
      <c r="AB686" s="79"/>
    </row>
    <row r="687" spans="20:28" ht="15.75" customHeight="1" x14ac:dyDescent="0.3">
      <c r="T687" s="78"/>
      <c r="AB687" s="79"/>
    </row>
    <row r="688" spans="20:28" ht="15.75" customHeight="1" x14ac:dyDescent="0.3">
      <c r="T688" s="78"/>
      <c r="AB688" s="79"/>
    </row>
    <row r="689" spans="20:28" ht="15.75" customHeight="1" x14ac:dyDescent="0.3">
      <c r="T689" s="78"/>
      <c r="AB689" s="79"/>
    </row>
    <row r="690" spans="20:28" ht="15.75" customHeight="1" x14ac:dyDescent="0.3">
      <c r="T690" s="78"/>
      <c r="AB690" s="79"/>
    </row>
    <row r="691" spans="20:28" ht="15.75" customHeight="1" x14ac:dyDescent="0.3">
      <c r="T691" s="78"/>
      <c r="AB691" s="79"/>
    </row>
    <row r="692" spans="20:28" ht="15.75" customHeight="1" x14ac:dyDescent="0.3">
      <c r="T692" s="78"/>
      <c r="AB692" s="79"/>
    </row>
    <row r="693" spans="20:28" ht="15.75" customHeight="1" x14ac:dyDescent="0.3">
      <c r="T693" s="78"/>
      <c r="AB693" s="79"/>
    </row>
    <row r="694" spans="20:28" ht="15.75" customHeight="1" x14ac:dyDescent="0.3">
      <c r="T694" s="78"/>
      <c r="AB694" s="79"/>
    </row>
    <row r="695" spans="20:28" ht="15.75" customHeight="1" x14ac:dyDescent="0.3">
      <c r="T695" s="78"/>
      <c r="AB695" s="79"/>
    </row>
    <row r="696" spans="20:28" ht="15.75" customHeight="1" x14ac:dyDescent="0.3">
      <c r="T696" s="78"/>
      <c r="AB696" s="79"/>
    </row>
    <row r="697" spans="20:28" ht="15.75" customHeight="1" x14ac:dyDescent="0.3">
      <c r="T697" s="78"/>
      <c r="AB697" s="79"/>
    </row>
    <row r="698" spans="20:28" ht="15.75" customHeight="1" x14ac:dyDescent="0.3">
      <c r="T698" s="78"/>
      <c r="AB698" s="79"/>
    </row>
    <row r="699" spans="20:28" ht="15.75" customHeight="1" x14ac:dyDescent="0.3">
      <c r="T699" s="78"/>
      <c r="AB699" s="79"/>
    </row>
    <row r="700" spans="20:28" ht="15.75" customHeight="1" x14ac:dyDescent="0.3">
      <c r="T700" s="78"/>
      <c r="AB700" s="79"/>
    </row>
    <row r="701" spans="20:28" ht="15.75" customHeight="1" x14ac:dyDescent="0.3">
      <c r="T701" s="78"/>
      <c r="AB701" s="79"/>
    </row>
    <row r="702" spans="20:28" ht="15.75" customHeight="1" x14ac:dyDescent="0.3">
      <c r="T702" s="78"/>
      <c r="AB702" s="79"/>
    </row>
    <row r="703" spans="20:28" ht="15.75" customHeight="1" x14ac:dyDescent="0.3">
      <c r="T703" s="78"/>
      <c r="AB703" s="79"/>
    </row>
    <row r="704" spans="20:28" ht="15.75" customHeight="1" x14ac:dyDescent="0.3">
      <c r="T704" s="78"/>
      <c r="AB704" s="79"/>
    </row>
    <row r="705" spans="20:28" ht="15.75" customHeight="1" x14ac:dyDescent="0.3">
      <c r="T705" s="78"/>
      <c r="AB705" s="79"/>
    </row>
    <row r="706" spans="20:28" ht="15.75" customHeight="1" x14ac:dyDescent="0.3">
      <c r="T706" s="78"/>
      <c r="AB706" s="79"/>
    </row>
    <row r="707" spans="20:28" ht="15.75" customHeight="1" x14ac:dyDescent="0.3">
      <c r="T707" s="78"/>
      <c r="AB707" s="79"/>
    </row>
    <row r="708" spans="20:28" ht="15.75" customHeight="1" x14ac:dyDescent="0.3">
      <c r="T708" s="78"/>
      <c r="AB708" s="79"/>
    </row>
    <row r="709" spans="20:28" ht="15.75" customHeight="1" x14ac:dyDescent="0.3">
      <c r="T709" s="78"/>
      <c r="AB709" s="79"/>
    </row>
    <row r="710" spans="20:28" ht="15.75" customHeight="1" x14ac:dyDescent="0.3">
      <c r="T710" s="78"/>
      <c r="AB710" s="79"/>
    </row>
    <row r="711" spans="20:28" ht="15.75" customHeight="1" x14ac:dyDescent="0.3">
      <c r="T711" s="78"/>
      <c r="AB711" s="79"/>
    </row>
    <row r="712" spans="20:28" ht="15.75" customHeight="1" x14ac:dyDescent="0.3">
      <c r="T712" s="78"/>
      <c r="AB712" s="79"/>
    </row>
    <row r="713" spans="20:28" ht="15.75" customHeight="1" x14ac:dyDescent="0.3">
      <c r="T713" s="78"/>
      <c r="AB713" s="79"/>
    </row>
    <row r="714" spans="20:28" ht="15.75" customHeight="1" x14ac:dyDescent="0.3">
      <c r="T714" s="78"/>
      <c r="AB714" s="79"/>
    </row>
    <row r="715" spans="20:28" ht="15.75" customHeight="1" x14ac:dyDescent="0.3">
      <c r="T715" s="78"/>
      <c r="AB715" s="79"/>
    </row>
    <row r="716" spans="20:28" ht="15.75" customHeight="1" x14ac:dyDescent="0.3">
      <c r="T716" s="78"/>
      <c r="AB716" s="79"/>
    </row>
    <row r="717" spans="20:28" ht="15.75" customHeight="1" x14ac:dyDescent="0.3">
      <c r="T717" s="78"/>
      <c r="AB717" s="79"/>
    </row>
    <row r="718" spans="20:28" ht="15.75" customHeight="1" x14ac:dyDescent="0.3">
      <c r="T718" s="78"/>
      <c r="AB718" s="79"/>
    </row>
    <row r="719" spans="20:28" ht="15.75" customHeight="1" x14ac:dyDescent="0.3">
      <c r="T719" s="78"/>
      <c r="AB719" s="79"/>
    </row>
    <row r="720" spans="20:28" ht="15.75" customHeight="1" x14ac:dyDescent="0.3">
      <c r="T720" s="78"/>
      <c r="AB720" s="79"/>
    </row>
    <row r="721" spans="20:28" ht="15.75" customHeight="1" x14ac:dyDescent="0.3">
      <c r="T721" s="78"/>
      <c r="AB721" s="79"/>
    </row>
    <row r="722" spans="20:28" ht="15.75" customHeight="1" x14ac:dyDescent="0.3">
      <c r="T722" s="78"/>
      <c r="AB722" s="79"/>
    </row>
    <row r="723" spans="20:28" ht="15.75" customHeight="1" x14ac:dyDescent="0.3">
      <c r="T723" s="78"/>
      <c r="AB723" s="79"/>
    </row>
    <row r="724" spans="20:28" ht="15.75" customHeight="1" x14ac:dyDescent="0.3">
      <c r="T724" s="78"/>
      <c r="AB724" s="79"/>
    </row>
    <row r="725" spans="20:28" ht="15.75" customHeight="1" x14ac:dyDescent="0.3">
      <c r="T725" s="78"/>
      <c r="AB725" s="79"/>
    </row>
    <row r="726" spans="20:28" ht="15.75" customHeight="1" x14ac:dyDescent="0.3">
      <c r="T726" s="78"/>
      <c r="AB726" s="79"/>
    </row>
    <row r="727" spans="20:28" ht="15.75" customHeight="1" x14ac:dyDescent="0.3">
      <c r="T727" s="78"/>
      <c r="AB727" s="79"/>
    </row>
    <row r="728" spans="20:28" ht="15.75" customHeight="1" x14ac:dyDescent="0.3">
      <c r="T728" s="78"/>
      <c r="AB728" s="79"/>
    </row>
    <row r="729" spans="20:28" ht="15.75" customHeight="1" x14ac:dyDescent="0.3">
      <c r="T729" s="78"/>
      <c r="AB729" s="79"/>
    </row>
    <row r="730" spans="20:28" ht="15.75" customHeight="1" x14ac:dyDescent="0.3">
      <c r="T730" s="78"/>
      <c r="AB730" s="79"/>
    </row>
    <row r="731" spans="20:28" ht="15.75" customHeight="1" x14ac:dyDescent="0.3">
      <c r="T731" s="78"/>
      <c r="AB731" s="79"/>
    </row>
    <row r="732" spans="20:28" ht="15.75" customHeight="1" x14ac:dyDescent="0.3">
      <c r="T732" s="78"/>
      <c r="AB732" s="79"/>
    </row>
    <row r="733" spans="20:28" ht="15.75" customHeight="1" x14ac:dyDescent="0.3">
      <c r="T733" s="78"/>
      <c r="AB733" s="79"/>
    </row>
    <row r="734" spans="20:28" ht="15.75" customHeight="1" x14ac:dyDescent="0.3">
      <c r="T734" s="78"/>
      <c r="AB734" s="79"/>
    </row>
    <row r="735" spans="20:28" ht="15.75" customHeight="1" x14ac:dyDescent="0.3">
      <c r="T735" s="78"/>
      <c r="AB735" s="79"/>
    </row>
    <row r="736" spans="20:28" ht="15.75" customHeight="1" x14ac:dyDescent="0.3">
      <c r="T736" s="78"/>
      <c r="AB736" s="79"/>
    </row>
    <row r="737" spans="20:28" ht="15.75" customHeight="1" x14ac:dyDescent="0.3">
      <c r="T737" s="78"/>
      <c r="AB737" s="79"/>
    </row>
    <row r="738" spans="20:28" ht="15.75" customHeight="1" x14ac:dyDescent="0.3">
      <c r="T738" s="78"/>
      <c r="AB738" s="79"/>
    </row>
    <row r="739" spans="20:28" ht="15.75" customHeight="1" x14ac:dyDescent="0.3">
      <c r="T739" s="78"/>
      <c r="AB739" s="79"/>
    </row>
    <row r="740" spans="20:28" ht="15.75" customHeight="1" x14ac:dyDescent="0.3">
      <c r="T740" s="78"/>
      <c r="AB740" s="79"/>
    </row>
    <row r="741" spans="20:28" ht="15.75" customHeight="1" x14ac:dyDescent="0.3">
      <c r="T741" s="78"/>
      <c r="AB741" s="79"/>
    </row>
    <row r="742" spans="20:28" ht="15.75" customHeight="1" x14ac:dyDescent="0.3">
      <c r="T742" s="78"/>
      <c r="AB742" s="79"/>
    </row>
    <row r="743" spans="20:28" ht="15.75" customHeight="1" x14ac:dyDescent="0.3">
      <c r="T743" s="78"/>
      <c r="AB743" s="79"/>
    </row>
    <row r="744" spans="20:28" ht="15.75" customHeight="1" x14ac:dyDescent="0.3">
      <c r="T744" s="78"/>
      <c r="AB744" s="79"/>
    </row>
    <row r="745" spans="20:28" ht="15.75" customHeight="1" x14ac:dyDescent="0.3">
      <c r="T745" s="78"/>
      <c r="AB745" s="79"/>
    </row>
    <row r="746" spans="20:28" ht="15.75" customHeight="1" x14ac:dyDescent="0.3">
      <c r="T746" s="78"/>
      <c r="AB746" s="79"/>
    </row>
    <row r="747" spans="20:28" ht="15.75" customHeight="1" x14ac:dyDescent="0.3">
      <c r="T747" s="78"/>
      <c r="AB747" s="79"/>
    </row>
    <row r="748" spans="20:28" ht="15.75" customHeight="1" x14ac:dyDescent="0.3">
      <c r="T748" s="78"/>
      <c r="AB748" s="79"/>
    </row>
    <row r="749" spans="20:28" ht="15.75" customHeight="1" x14ac:dyDescent="0.3">
      <c r="T749" s="78"/>
      <c r="AB749" s="79"/>
    </row>
    <row r="750" spans="20:28" ht="15.75" customHeight="1" x14ac:dyDescent="0.3">
      <c r="T750" s="78"/>
      <c r="AB750" s="79"/>
    </row>
    <row r="751" spans="20:28" ht="15.75" customHeight="1" x14ac:dyDescent="0.3">
      <c r="T751" s="78"/>
      <c r="AB751" s="79"/>
    </row>
    <row r="752" spans="20:28" ht="15.75" customHeight="1" x14ac:dyDescent="0.3">
      <c r="T752" s="78"/>
      <c r="AB752" s="79"/>
    </row>
    <row r="753" spans="20:28" ht="15.75" customHeight="1" x14ac:dyDescent="0.3">
      <c r="T753" s="78"/>
      <c r="AB753" s="79"/>
    </row>
    <row r="754" spans="20:28" ht="15.75" customHeight="1" x14ac:dyDescent="0.3">
      <c r="T754" s="78"/>
      <c r="AB754" s="79"/>
    </row>
    <row r="755" spans="20:28" ht="15.75" customHeight="1" x14ac:dyDescent="0.3">
      <c r="T755" s="78"/>
      <c r="AB755" s="79"/>
    </row>
    <row r="756" spans="20:28" ht="15.75" customHeight="1" x14ac:dyDescent="0.3">
      <c r="T756" s="78"/>
      <c r="AB756" s="79"/>
    </row>
    <row r="757" spans="20:28" ht="15.75" customHeight="1" x14ac:dyDescent="0.3">
      <c r="T757" s="78"/>
      <c r="AB757" s="79"/>
    </row>
    <row r="758" spans="20:28" ht="15.75" customHeight="1" x14ac:dyDescent="0.3">
      <c r="T758" s="78"/>
      <c r="AB758" s="79"/>
    </row>
    <row r="759" spans="20:28" ht="15.75" customHeight="1" x14ac:dyDescent="0.3">
      <c r="T759" s="78"/>
      <c r="AB759" s="79"/>
    </row>
    <row r="760" spans="20:28" ht="15.75" customHeight="1" x14ac:dyDescent="0.3">
      <c r="T760" s="78"/>
      <c r="AB760" s="79"/>
    </row>
    <row r="761" spans="20:28" ht="15.75" customHeight="1" x14ac:dyDescent="0.3">
      <c r="T761" s="78"/>
      <c r="AB761" s="79"/>
    </row>
    <row r="762" spans="20:28" ht="15.75" customHeight="1" x14ac:dyDescent="0.3">
      <c r="T762" s="78"/>
      <c r="AB762" s="79"/>
    </row>
    <row r="763" spans="20:28" ht="15.75" customHeight="1" x14ac:dyDescent="0.3">
      <c r="T763" s="78"/>
      <c r="AB763" s="79"/>
    </row>
    <row r="764" spans="20:28" ht="15.75" customHeight="1" x14ac:dyDescent="0.3">
      <c r="T764" s="78"/>
      <c r="AB764" s="79"/>
    </row>
    <row r="765" spans="20:28" ht="15.75" customHeight="1" x14ac:dyDescent="0.3">
      <c r="T765" s="78"/>
      <c r="AB765" s="79"/>
    </row>
    <row r="766" spans="20:28" ht="15.75" customHeight="1" x14ac:dyDescent="0.3">
      <c r="T766" s="78"/>
      <c r="AB766" s="79"/>
    </row>
    <row r="767" spans="20:28" ht="15.75" customHeight="1" x14ac:dyDescent="0.3">
      <c r="T767" s="78"/>
      <c r="AB767" s="79"/>
    </row>
    <row r="768" spans="20:28" ht="15.75" customHeight="1" x14ac:dyDescent="0.3">
      <c r="T768" s="78"/>
      <c r="AB768" s="79"/>
    </row>
    <row r="769" spans="20:28" ht="15.75" customHeight="1" x14ac:dyDescent="0.3">
      <c r="T769" s="78"/>
      <c r="AB769" s="79"/>
    </row>
    <row r="770" spans="20:28" ht="15.75" customHeight="1" x14ac:dyDescent="0.3">
      <c r="T770" s="78"/>
      <c r="AB770" s="79"/>
    </row>
    <row r="771" spans="20:28" ht="15.75" customHeight="1" x14ac:dyDescent="0.3">
      <c r="T771" s="78"/>
      <c r="AB771" s="79"/>
    </row>
    <row r="772" spans="20:28" ht="15.75" customHeight="1" x14ac:dyDescent="0.3">
      <c r="T772" s="78"/>
      <c r="AB772" s="79"/>
    </row>
    <row r="773" spans="20:28" ht="15.75" customHeight="1" x14ac:dyDescent="0.3">
      <c r="T773" s="78"/>
      <c r="AB773" s="79"/>
    </row>
    <row r="774" spans="20:28" ht="15.75" customHeight="1" x14ac:dyDescent="0.3">
      <c r="T774" s="78"/>
      <c r="AB774" s="79"/>
    </row>
    <row r="775" spans="20:28" ht="15.75" customHeight="1" x14ac:dyDescent="0.3">
      <c r="T775" s="78"/>
      <c r="AB775" s="79"/>
    </row>
    <row r="776" spans="20:28" ht="15.75" customHeight="1" x14ac:dyDescent="0.3">
      <c r="T776" s="78"/>
      <c r="AB776" s="79"/>
    </row>
    <row r="777" spans="20:28" ht="15.75" customHeight="1" x14ac:dyDescent="0.3">
      <c r="T777" s="78"/>
      <c r="AB777" s="79"/>
    </row>
    <row r="778" spans="20:28" ht="15.75" customHeight="1" x14ac:dyDescent="0.3">
      <c r="T778" s="78"/>
      <c r="AB778" s="79"/>
    </row>
    <row r="779" spans="20:28" ht="15.75" customHeight="1" x14ac:dyDescent="0.3">
      <c r="T779" s="78"/>
      <c r="AB779" s="79"/>
    </row>
    <row r="780" spans="20:28" ht="15.75" customHeight="1" x14ac:dyDescent="0.3">
      <c r="T780" s="78"/>
      <c r="AB780" s="79"/>
    </row>
    <row r="781" spans="20:28" ht="15.75" customHeight="1" x14ac:dyDescent="0.3">
      <c r="T781" s="78"/>
      <c r="AB781" s="79"/>
    </row>
    <row r="782" spans="20:28" ht="15.75" customHeight="1" x14ac:dyDescent="0.3">
      <c r="T782" s="78"/>
      <c r="AB782" s="79"/>
    </row>
    <row r="783" spans="20:28" ht="15.75" customHeight="1" x14ac:dyDescent="0.3">
      <c r="T783" s="78"/>
      <c r="AB783" s="79"/>
    </row>
    <row r="784" spans="20:28" ht="15.75" customHeight="1" x14ac:dyDescent="0.3">
      <c r="T784" s="78"/>
      <c r="AB784" s="79"/>
    </row>
    <row r="785" spans="20:28" ht="15.75" customHeight="1" x14ac:dyDescent="0.3">
      <c r="T785" s="78"/>
      <c r="AB785" s="79"/>
    </row>
    <row r="786" spans="20:28" ht="15.75" customHeight="1" x14ac:dyDescent="0.3">
      <c r="T786" s="78"/>
      <c r="AB786" s="79"/>
    </row>
    <row r="787" spans="20:28" ht="15.75" customHeight="1" x14ac:dyDescent="0.3">
      <c r="T787" s="78"/>
      <c r="AB787" s="79"/>
    </row>
    <row r="788" spans="20:28" ht="15.75" customHeight="1" x14ac:dyDescent="0.3">
      <c r="T788" s="78"/>
      <c r="AB788" s="79"/>
    </row>
    <row r="789" spans="20:28" ht="15.75" customHeight="1" x14ac:dyDescent="0.3">
      <c r="T789" s="78"/>
      <c r="AB789" s="79"/>
    </row>
    <row r="790" spans="20:28" ht="15.75" customHeight="1" x14ac:dyDescent="0.3">
      <c r="T790" s="78"/>
      <c r="AB790" s="79"/>
    </row>
    <row r="791" spans="20:28" ht="15.75" customHeight="1" x14ac:dyDescent="0.3">
      <c r="T791" s="78"/>
      <c r="AB791" s="79"/>
    </row>
    <row r="792" spans="20:28" ht="15.75" customHeight="1" x14ac:dyDescent="0.3">
      <c r="T792" s="78"/>
      <c r="AB792" s="79"/>
    </row>
    <row r="793" spans="20:28" ht="15.75" customHeight="1" x14ac:dyDescent="0.3">
      <c r="T793" s="78"/>
      <c r="AB793" s="79"/>
    </row>
    <row r="794" spans="20:28" ht="15.75" customHeight="1" x14ac:dyDescent="0.3">
      <c r="T794" s="78"/>
      <c r="AB794" s="79"/>
    </row>
    <row r="795" spans="20:28" ht="15.75" customHeight="1" x14ac:dyDescent="0.3">
      <c r="T795" s="78"/>
      <c r="AB795" s="79"/>
    </row>
    <row r="796" spans="20:28" ht="15.75" customHeight="1" x14ac:dyDescent="0.3">
      <c r="T796" s="78"/>
      <c r="AB796" s="79"/>
    </row>
    <row r="797" spans="20:28" ht="15.75" customHeight="1" x14ac:dyDescent="0.3">
      <c r="T797" s="78"/>
      <c r="AB797" s="79"/>
    </row>
    <row r="798" spans="20:28" ht="15.75" customHeight="1" x14ac:dyDescent="0.3">
      <c r="T798" s="78"/>
      <c r="AB798" s="79"/>
    </row>
    <row r="799" spans="20:28" ht="15.75" customHeight="1" x14ac:dyDescent="0.3">
      <c r="T799" s="78"/>
      <c r="AB799" s="79"/>
    </row>
    <row r="800" spans="20:28" ht="15.75" customHeight="1" x14ac:dyDescent="0.3">
      <c r="T800" s="78"/>
      <c r="AB800" s="79"/>
    </row>
    <row r="801" spans="20:28" ht="15.75" customHeight="1" x14ac:dyDescent="0.3">
      <c r="T801" s="78"/>
      <c r="AB801" s="79"/>
    </row>
    <row r="802" spans="20:28" ht="15.75" customHeight="1" x14ac:dyDescent="0.3">
      <c r="T802" s="78"/>
      <c r="AB802" s="79"/>
    </row>
    <row r="803" spans="20:28" ht="15.75" customHeight="1" x14ac:dyDescent="0.3">
      <c r="T803" s="78"/>
      <c r="AB803" s="79"/>
    </row>
    <row r="804" spans="20:28" ht="15.75" customHeight="1" x14ac:dyDescent="0.3">
      <c r="T804" s="78"/>
      <c r="AB804" s="79"/>
    </row>
    <row r="805" spans="20:28" ht="15.75" customHeight="1" x14ac:dyDescent="0.3">
      <c r="T805" s="78"/>
      <c r="AB805" s="79"/>
    </row>
    <row r="806" spans="20:28" ht="15.75" customHeight="1" x14ac:dyDescent="0.3">
      <c r="T806" s="78"/>
      <c r="AB806" s="79"/>
    </row>
    <row r="807" spans="20:28" ht="15.75" customHeight="1" x14ac:dyDescent="0.3">
      <c r="T807" s="78"/>
      <c r="AB807" s="79"/>
    </row>
    <row r="808" spans="20:28" ht="15.75" customHeight="1" x14ac:dyDescent="0.3">
      <c r="T808" s="78"/>
      <c r="AB808" s="79"/>
    </row>
    <row r="809" spans="20:28" ht="15.75" customHeight="1" x14ac:dyDescent="0.3">
      <c r="T809" s="78"/>
      <c r="AB809" s="79"/>
    </row>
    <row r="810" spans="20:28" ht="15.75" customHeight="1" x14ac:dyDescent="0.3">
      <c r="T810" s="78"/>
      <c r="AB810" s="79"/>
    </row>
    <row r="811" spans="20:28" ht="15.75" customHeight="1" x14ac:dyDescent="0.3">
      <c r="T811" s="78"/>
      <c r="AB811" s="79"/>
    </row>
    <row r="812" spans="20:28" ht="15.75" customHeight="1" x14ac:dyDescent="0.3">
      <c r="T812" s="78"/>
      <c r="AB812" s="79"/>
    </row>
    <row r="813" spans="20:28" ht="15.75" customHeight="1" x14ac:dyDescent="0.3">
      <c r="T813" s="78"/>
      <c r="AB813" s="79"/>
    </row>
    <row r="814" spans="20:28" ht="15.75" customHeight="1" x14ac:dyDescent="0.3">
      <c r="T814" s="78"/>
      <c r="AB814" s="79"/>
    </row>
    <row r="815" spans="20:28" ht="15.75" customHeight="1" x14ac:dyDescent="0.3">
      <c r="T815" s="78"/>
      <c r="AB815" s="79"/>
    </row>
    <row r="816" spans="20:28" ht="15.75" customHeight="1" x14ac:dyDescent="0.3">
      <c r="T816" s="78"/>
      <c r="AB816" s="79"/>
    </row>
    <row r="817" spans="20:28" ht="15.75" customHeight="1" x14ac:dyDescent="0.3">
      <c r="T817" s="78"/>
      <c r="AB817" s="79"/>
    </row>
    <row r="818" spans="20:28" ht="15.75" customHeight="1" x14ac:dyDescent="0.3">
      <c r="T818" s="78"/>
      <c r="AB818" s="79"/>
    </row>
    <row r="819" spans="20:28" ht="15.75" customHeight="1" x14ac:dyDescent="0.3">
      <c r="T819" s="78"/>
      <c r="AB819" s="79"/>
    </row>
    <row r="820" spans="20:28" ht="15.75" customHeight="1" x14ac:dyDescent="0.3">
      <c r="T820" s="78"/>
      <c r="AB820" s="79"/>
    </row>
    <row r="821" spans="20:28" ht="15.75" customHeight="1" x14ac:dyDescent="0.3">
      <c r="T821" s="78"/>
      <c r="AB821" s="79"/>
    </row>
    <row r="822" spans="20:28" ht="15.75" customHeight="1" x14ac:dyDescent="0.3">
      <c r="T822" s="78"/>
      <c r="AB822" s="79"/>
    </row>
    <row r="823" spans="20:28" ht="15.75" customHeight="1" x14ac:dyDescent="0.3">
      <c r="T823" s="78"/>
      <c r="AB823" s="79"/>
    </row>
    <row r="824" spans="20:28" ht="15.75" customHeight="1" x14ac:dyDescent="0.3">
      <c r="T824" s="78"/>
      <c r="AB824" s="79"/>
    </row>
    <row r="825" spans="20:28" ht="15.75" customHeight="1" x14ac:dyDescent="0.3">
      <c r="T825" s="78"/>
      <c r="AB825" s="79"/>
    </row>
    <row r="826" spans="20:28" ht="15.75" customHeight="1" x14ac:dyDescent="0.3">
      <c r="T826" s="78"/>
      <c r="AB826" s="79"/>
    </row>
    <row r="827" spans="20:28" ht="15.75" customHeight="1" x14ac:dyDescent="0.3">
      <c r="T827" s="78"/>
      <c r="AB827" s="79"/>
    </row>
    <row r="828" spans="20:28" ht="15.75" customHeight="1" x14ac:dyDescent="0.3">
      <c r="T828" s="78"/>
      <c r="AB828" s="79"/>
    </row>
    <row r="829" spans="20:28" ht="15.75" customHeight="1" x14ac:dyDescent="0.3">
      <c r="T829" s="78"/>
      <c r="AB829" s="79"/>
    </row>
    <row r="830" spans="20:28" ht="15.75" customHeight="1" x14ac:dyDescent="0.3">
      <c r="T830" s="78"/>
      <c r="AB830" s="79"/>
    </row>
    <row r="831" spans="20:28" ht="15.75" customHeight="1" x14ac:dyDescent="0.3">
      <c r="T831" s="78"/>
      <c r="AB831" s="79"/>
    </row>
    <row r="832" spans="20:28" ht="15.75" customHeight="1" x14ac:dyDescent="0.3">
      <c r="T832" s="78"/>
      <c r="AB832" s="79"/>
    </row>
    <row r="833" spans="20:28" ht="15.75" customHeight="1" x14ac:dyDescent="0.3">
      <c r="T833" s="78"/>
      <c r="AB833" s="79"/>
    </row>
    <row r="834" spans="20:28" ht="15.75" customHeight="1" x14ac:dyDescent="0.3">
      <c r="T834" s="78"/>
      <c r="AB834" s="79"/>
    </row>
    <row r="835" spans="20:28" ht="15.75" customHeight="1" x14ac:dyDescent="0.3">
      <c r="T835" s="78"/>
      <c r="AB835" s="79"/>
    </row>
    <row r="836" spans="20:28" ht="15.75" customHeight="1" x14ac:dyDescent="0.3">
      <c r="T836" s="78"/>
      <c r="AB836" s="79"/>
    </row>
    <row r="837" spans="20:28" ht="15.75" customHeight="1" x14ac:dyDescent="0.3">
      <c r="T837" s="78"/>
      <c r="AB837" s="79"/>
    </row>
    <row r="838" spans="20:28" ht="15.75" customHeight="1" x14ac:dyDescent="0.3">
      <c r="T838" s="78"/>
      <c r="AB838" s="79"/>
    </row>
    <row r="839" spans="20:28" ht="15.75" customHeight="1" x14ac:dyDescent="0.3">
      <c r="T839" s="78"/>
      <c r="AB839" s="79"/>
    </row>
    <row r="840" spans="20:28" ht="15.75" customHeight="1" x14ac:dyDescent="0.3">
      <c r="T840" s="78"/>
      <c r="AB840" s="79"/>
    </row>
    <row r="841" spans="20:28" ht="15.75" customHeight="1" x14ac:dyDescent="0.3">
      <c r="T841" s="78"/>
      <c r="AB841" s="79"/>
    </row>
    <row r="842" spans="20:28" ht="15.75" customHeight="1" x14ac:dyDescent="0.3">
      <c r="T842" s="78"/>
      <c r="AB842" s="79"/>
    </row>
    <row r="843" spans="20:28" ht="15.75" customHeight="1" x14ac:dyDescent="0.3">
      <c r="T843" s="78"/>
      <c r="AB843" s="79"/>
    </row>
    <row r="844" spans="20:28" ht="15.75" customHeight="1" x14ac:dyDescent="0.3">
      <c r="T844" s="78"/>
      <c r="AB844" s="79"/>
    </row>
    <row r="845" spans="20:28" ht="15.75" customHeight="1" x14ac:dyDescent="0.3">
      <c r="T845" s="78"/>
      <c r="AB845" s="79"/>
    </row>
    <row r="846" spans="20:28" ht="15.75" customHeight="1" x14ac:dyDescent="0.3">
      <c r="T846" s="78"/>
      <c r="AB846" s="79"/>
    </row>
    <row r="847" spans="20:28" ht="15.75" customHeight="1" x14ac:dyDescent="0.3">
      <c r="T847" s="78"/>
      <c r="AB847" s="79"/>
    </row>
    <row r="848" spans="20:28" ht="15.75" customHeight="1" x14ac:dyDescent="0.3">
      <c r="T848" s="78"/>
      <c r="AB848" s="79"/>
    </row>
    <row r="849" spans="20:28" ht="15.75" customHeight="1" x14ac:dyDescent="0.3">
      <c r="T849" s="78"/>
      <c r="AB849" s="79"/>
    </row>
    <row r="850" spans="20:28" ht="15.75" customHeight="1" x14ac:dyDescent="0.3">
      <c r="T850" s="78"/>
      <c r="AB850" s="79"/>
    </row>
    <row r="851" spans="20:28" ht="15.75" customHeight="1" x14ac:dyDescent="0.3">
      <c r="T851" s="78"/>
      <c r="AB851" s="79"/>
    </row>
    <row r="852" spans="20:28" ht="15.75" customHeight="1" x14ac:dyDescent="0.3">
      <c r="T852" s="78"/>
      <c r="AB852" s="79"/>
    </row>
    <row r="853" spans="20:28" ht="15.75" customHeight="1" x14ac:dyDescent="0.3">
      <c r="T853" s="78"/>
      <c r="AB853" s="79"/>
    </row>
    <row r="854" spans="20:28" ht="15.75" customHeight="1" x14ac:dyDescent="0.3">
      <c r="T854" s="78"/>
      <c r="AB854" s="79"/>
    </row>
    <row r="855" spans="20:28" ht="15.75" customHeight="1" x14ac:dyDescent="0.3">
      <c r="T855" s="78"/>
      <c r="AB855" s="79"/>
    </row>
    <row r="856" spans="20:28" ht="15.75" customHeight="1" x14ac:dyDescent="0.3">
      <c r="T856" s="78"/>
      <c r="AB856" s="79"/>
    </row>
    <row r="857" spans="20:28" ht="15.75" customHeight="1" x14ac:dyDescent="0.3">
      <c r="T857" s="78"/>
      <c r="AB857" s="79"/>
    </row>
    <row r="858" spans="20:28" ht="15.75" customHeight="1" x14ac:dyDescent="0.3">
      <c r="T858" s="78"/>
      <c r="AB858" s="79"/>
    </row>
    <row r="859" spans="20:28" ht="15.75" customHeight="1" x14ac:dyDescent="0.3">
      <c r="T859" s="78"/>
      <c r="AB859" s="79"/>
    </row>
    <row r="860" spans="20:28" ht="15.75" customHeight="1" x14ac:dyDescent="0.3">
      <c r="T860" s="78"/>
      <c r="AB860" s="79"/>
    </row>
    <row r="861" spans="20:28" ht="15.75" customHeight="1" x14ac:dyDescent="0.3">
      <c r="T861" s="78"/>
      <c r="AB861" s="79"/>
    </row>
    <row r="862" spans="20:28" ht="15.75" customHeight="1" x14ac:dyDescent="0.3">
      <c r="T862" s="78"/>
      <c r="AB862" s="79"/>
    </row>
    <row r="863" spans="20:28" ht="15.75" customHeight="1" x14ac:dyDescent="0.3">
      <c r="T863" s="78"/>
      <c r="AB863" s="79"/>
    </row>
    <row r="864" spans="20:28" ht="15.75" customHeight="1" x14ac:dyDescent="0.3">
      <c r="T864" s="78"/>
      <c r="AB864" s="79"/>
    </row>
    <row r="865" spans="20:28" ht="15.75" customHeight="1" x14ac:dyDescent="0.3">
      <c r="T865" s="78"/>
      <c r="AB865" s="79"/>
    </row>
    <row r="866" spans="20:28" ht="15.75" customHeight="1" x14ac:dyDescent="0.3">
      <c r="T866" s="78"/>
      <c r="AB866" s="79"/>
    </row>
    <row r="867" spans="20:28" ht="15.75" customHeight="1" x14ac:dyDescent="0.3">
      <c r="T867" s="78"/>
      <c r="AB867" s="79"/>
    </row>
    <row r="868" spans="20:28" ht="15.75" customHeight="1" x14ac:dyDescent="0.3">
      <c r="T868" s="78"/>
      <c r="AB868" s="79"/>
    </row>
    <row r="869" spans="20:28" ht="15.75" customHeight="1" x14ac:dyDescent="0.3">
      <c r="T869" s="78"/>
      <c r="AB869" s="79"/>
    </row>
    <row r="870" spans="20:28" ht="15.75" customHeight="1" x14ac:dyDescent="0.3">
      <c r="T870" s="78"/>
      <c r="AB870" s="79"/>
    </row>
    <row r="871" spans="20:28" ht="15.75" customHeight="1" x14ac:dyDescent="0.3">
      <c r="T871" s="78"/>
      <c r="AB871" s="79"/>
    </row>
    <row r="872" spans="20:28" ht="15.75" customHeight="1" x14ac:dyDescent="0.3">
      <c r="T872" s="78"/>
      <c r="AB872" s="79"/>
    </row>
    <row r="873" spans="20:28" ht="15.75" customHeight="1" x14ac:dyDescent="0.3">
      <c r="T873" s="78"/>
      <c r="AB873" s="79"/>
    </row>
    <row r="874" spans="20:28" ht="15.75" customHeight="1" x14ac:dyDescent="0.3">
      <c r="T874" s="78"/>
      <c r="AB874" s="79"/>
    </row>
    <row r="875" spans="20:28" ht="15.75" customHeight="1" x14ac:dyDescent="0.3">
      <c r="T875" s="78"/>
      <c r="AB875" s="79"/>
    </row>
    <row r="876" spans="20:28" ht="15.75" customHeight="1" x14ac:dyDescent="0.3">
      <c r="T876" s="78"/>
      <c r="AB876" s="79"/>
    </row>
    <row r="877" spans="20:28" ht="15.75" customHeight="1" x14ac:dyDescent="0.3">
      <c r="T877" s="78"/>
      <c r="AB877" s="79"/>
    </row>
    <row r="878" spans="20:28" ht="15.75" customHeight="1" x14ac:dyDescent="0.3">
      <c r="T878" s="78"/>
      <c r="AB878" s="79"/>
    </row>
    <row r="879" spans="20:28" ht="15.75" customHeight="1" x14ac:dyDescent="0.3">
      <c r="T879" s="78"/>
      <c r="AB879" s="79"/>
    </row>
    <row r="880" spans="20:28" ht="15.75" customHeight="1" x14ac:dyDescent="0.3">
      <c r="T880" s="78"/>
      <c r="AB880" s="79"/>
    </row>
    <row r="881" spans="20:28" ht="15.75" customHeight="1" x14ac:dyDescent="0.3">
      <c r="T881" s="78"/>
      <c r="AB881" s="79"/>
    </row>
    <row r="882" spans="20:28" ht="15.75" customHeight="1" x14ac:dyDescent="0.3">
      <c r="T882" s="78"/>
      <c r="AB882" s="79"/>
    </row>
    <row r="883" spans="20:28" ht="15.75" customHeight="1" x14ac:dyDescent="0.3">
      <c r="T883" s="78"/>
      <c r="AB883" s="79"/>
    </row>
    <row r="884" spans="20:28" ht="15.75" customHeight="1" x14ac:dyDescent="0.3">
      <c r="T884" s="78"/>
      <c r="AB884" s="79"/>
    </row>
    <row r="885" spans="20:28" ht="15.75" customHeight="1" x14ac:dyDescent="0.3">
      <c r="T885" s="78"/>
      <c r="AB885" s="79"/>
    </row>
    <row r="886" spans="20:28" ht="15.75" customHeight="1" x14ac:dyDescent="0.3">
      <c r="T886" s="78"/>
      <c r="AB886" s="79"/>
    </row>
    <row r="887" spans="20:28" ht="15.75" customHeight="1" x14ac:dyDescent="0.3">
      <c r="T887" s="78"/>
      <c r="AB887" s="79"/>
    </row>
    <row r="888" spans="20:28" ht="15.75" customHeight="1" x14ac:dyDescent="0.3">
      <c r="T888" s="78"/>
      <c r="AB888" s="79"/>
    </row>
    <row r="889" spans="20:28" ht="15.75" customHeight="1" x14ac:dyDescent="0.3">
      <c r="T889" s="78"/>
      <c r="AB889" s="79"/>
    </row>
    <row r="890" spans="20:28" ht="15.75" customHeight="1" x14ac:dyDescent="0.3">
      <c r="T890" s="78"/>
      <c r="AB890" s="79"/>
    </row>
    <row r="891" spans="20:28" ht="15.75" customHeight="1" x14ac:dyDescent="0.3">
      <c r="T891" s="78"/>
      <c r="AB891" s="79"/>
    </row>
    <row r="892" spans="20:28" ht="15.75" customHeight="1" x14ac:dyDescent="0.3">
      <c r="T892" s="78"/>
      <c r="AB892" s="79"/>
    </row>
    <row r="893" spans="20:28" ht="15.75" customHeight="1" x14ac:dyDescent="0.3">
      <c r="T893" s="78"/>
      <c r="AB893" s="79"/>
    </row>
    <row r="894" spans="20:28" ht="15.75" customHeight="1" x14ac:dyDescent="0.3">
      <c r="T894" s="78"/>
      <c r="AB894" s="79"/>
    </row>
    <row r="895" spans="20:28" ht="15.75" customHeight="1" x14ac:dyDescent="0.3">
      <c r="T895" s="78"/>
      <c r="AB895" s="79"/>
    </row>
    <row r="896" spans="20:28" ht="15.75" customHeight="1" x14ac:dyDescent="0.3">
      <c r="T896" s="78"/>
      <c r="AB896" s="79"/>
    </row>
    <row r="897" spans="20:28" ht="15.75" customHeight="1" x14ac:dyDescent="0.3">
      <c r="T897" s="78"/>
      <c r="AB897" s="79"/>
    </row>
    <row r="898" spans="20:28" ht="15.75" customHeight="1" x14ac:dyDescent="0.3">
      <c r="T898" s="78"/>
      <c r="AB898" s="79"/>
    </row>
    <row r="899" spans="20:28" ht="15.75" customHeight="1" x14ac:dyDescent="0.3">
      <c r="T899" s="78"/>
      <c r="AB899" s="79"/>
    </row>
    <row r="900" spans="20:28" ht="15.75" customHeight="1" x14ac:dyDescent="0.3">
      <c r="T900" s="78"/>
      <c r="AB900" s="79"/>
    </row>
    <row r="901" spans="20:28" ht="15.75" customHeight="1" x14ac:dyDescent="0.3">
      <c r="T901" s="78"/>
      <c r="AB901" s="79"/>
    </row>
    <row r="902" spans="20:28" ht="15.75" customHeight="1" x14ac:dyDescent="0.3">
      <c r="T902" s="78"/>
      <c r="AB902" s="79"/>
    </row>
    <row r="903" spans="20:28" ht="15.75" customHeight="1" x14ac:dyDescent="0.3">
      <c r="T903" s="78"/>
      <c r="AB903" s="79"/>
    </row>
    <row r="904" spans="20:28" ht="15.75" customHeight="1" x14ac:dyDescent="0.3">
      <c r="T904" s="78"/>
      <c r="AB904" s="79"/>
    </row>
    <row r="905" spans="20:28" ht="15.75" customHeight="1" x14ac:dyDescent="0.3">
      <c r="T905" s="78"/>
      <c r="AB905" s="79"/>
    </row>
    <row r="906" spans="20:28" ht="15.75" customHeight="1" x14ac:dyDescent="0.3">
      <c r="T906" s="78"/>
      <c r="AB906" s="79"/>
    </row>
    <row r="907" spans="20:28" ht="15.75" customHeight="1" x14ac:dyDescent="0.3">
      <c r="T907" s="78"/>
      <c r="AB907" s="79"/>
    </row>
    <row r="908" spans="20:28" ht="15.75" customHeight="1" x14ac:dyDescent="0.3">
      <c r="T908" s="78"/>
      <c r="AB908" s="79"/>
    </row>
    <row r="909" spans="20:28" ht="15.75" customHeight="1" x14ac:dyDescent="0.3">
      <c r="T909" s="78"/>
      <c r="AB909" s="79"/>
    </row>
    <row r="910" spans="20:28" ht="15.75" customHeight="1" x14ac:dyDescent="0.3">
      <c r="T910" s="78"/>
      <c r="AB910" s="79"/>
    </row>
    <row r="911" spans="20:28" ht="15.75" customHeight="1" x14ac:dyDescent="0.3">
      <c r="T911" s="78"/>
      <c r="AB911" s="79"/>
    </row>
    <row r="912" spans="20:28" ht="15.75" customHeight="1" x14ac:dyDescent="0.3">
      <c r="T912" s="78"/>
      <c r="AB912" s="79"/>
    </row>
    <row r="913" spans="20:28" ht="15.75" customHeight="1" x14ac:dyDescent="0.3">
      <c r="T913" s="78"/>
      <c r="AB913" s="79"/>
    </row>
    <row r="914" spans="20:28" ht="15.75" customHeight="1" x14ac:dyDescent="0.3">
      <c r="T914" s="78"/>
      <c r="AB914" s="79"/>
    </row>
    <row r="915" spans="20:28" ht="15.75" customHeight="1" x14ac:dyDescent="0.3">
      <c r="T915" s="78"/>
      <c r="AB915" s="79"/>
    </row>
    <row r="916" spans="20:28" ht="15.75" customHeight="1" x14ac:dyDescent="0.3">
      <c r="T916" s="78"/>
      <c r="AB916" s="79"/>
    </row>
    <row r="917" spans="20:28" ht="15.75" customHeight="1" x14ac:dyDescent="0.3">
      <c r="T917" s="78"/>
      <c r="AB917" s="79"/>
    </row>
    <row r="918" spans="20:28" ht="15.75" customHeight="1" x14ac:dyDescent="0.3">
      <c r="T918" s="78"/>
      <c r="AB918" s="79"/>
    </row>
    <row r="919" spans="20:28" ht="15.75" customHeight="1" x14ac:dyDescent="0.3">
      <c r="T919" s="78"/>
      <c r="AB919" s="79"/>
    </row>
    <row r="920" spans="20:28" ht="15.75" customHeight="1" x14ac:dyDescent="0.3">
      <c r="T920" s="78"/>
      <c r="AB920" s="79"/>
    </row>
    <row r="921" spans="20:28" ht="15.75" customHeight="1" x14ac:dyDescent="0.3">
      <c r="T921" s="78"/>
      <c r="AB921" s="79"/>
    </row>
    <row r="922" spans="20:28" ht="15.75" customHeight="1" x14ac:dyDescent="0.3">
      <c r="T922" s="78"/>
      <c r="AB922" s="79"/>
    </row>
    <row r="923" spans="20:28" ht="15.75" customHeight="1" x14ac:dyDescent="0.3">
      <c r="T923" s="78"/>
      <c r="AB923" s="79"/>
    </row>
    <row r="924" spans="20:28" ht="15.75" customHeight="1" x14ac:dyDescent="0.3">
      <c r="T924" s="78"/>
      <c r="AB924" s="79"/>
    </row>
    <row r="925" spans="20:28" ht="15.75" customHeight="1" x14ac:dyDescent="0.3">
      <c r="T925" s="78"/>
      <c r="AB925" s="79"/>
    </row>
    <row r="926" spans="20:28" ht="15.75" customHeight="1" x14ac:dyDescent="0.3">
      <c r="T926" s="78"/>
      <c r="AB926" s="79"/>
    </row>
    <row r="927" spans="20:28" ht="15.75" customHeight="1" x14ac:dyDescent="0.3">
      <c r="T927" s="78"/>
      <c r="AB927" s="79"/>
    </row>
    <row r="928" spans="20:28" ht="15.75" customHeight="1" x14ac:dyDescent="0.3">
      <c r="T928" s="78"/>
      <c r="AB928" s="79"/>
    </row>
    <row r="929" spans="20:28" ht="15.75" customHeight="1" x14ac:dyDescent="0.3">
      <c r="T929" s="78"/>
      <c r="AB929" s="79"/>
    </row>
    <row r="930" spans="20:28" ht="15.75" customHeight="1" x14ac:dyDescent="0.3">
      <c r="T930" s="78"/>
      <c r="AB930" s="79"/>
    </row>
    <row r="931" spans="20:28" ht="15.75" customHeight="1" x14ac:dyDescent="0.3">
      <c r="T931" s="78"/>
      <c r="AB931" s="79"/>
    </row>
    <row r="932" spans="20:28" ht="15.75" customHeight="1" x14ac:dyDescent="0.3">
      <c r="T932" s="78"/>
      <c r="AB932" s="79"/>
    </row>
    <row r="933" spans="20:28" ht="15.75" customHeight="1" x14ac:dyDescent="0.3">
      <c r="T933" s="78"/>
      <c r="AB933" s="79"/>
    </row>
    <row r="934" spans="20:28" ht="15.75" customHeight="1" x14ac:dyDescent="0.3">
      <c r="T934" s="78"/>
      <c r="AB934" s="79"/>
    </row>
    <row r="935" spans="20:28" ht="15.75" customHeight="1" x14ac:dyDescent="0.3">
      <c r="T935" s="78"/>
      <c r="AB935" s="79"/>
    </row>
    <row r="936" spans="20:28" ht="15.75" customHeight="1" x14ac:dyDescent="0.3">
      <c r="T936" s="78"/>
      <c r="AB936" s="79"/>
    </row>
    <row r="937" spans="20:28" ht="15.75" customHeight="1" x14ac:dyDescent="0.3">
      <c r="T937" s="78"/>
      <c r="AB937" s="79"/>
    </row>
    <row r="938" spans="20:28" ht="15.75" customHeight="1" x14ac:dyDescent="0.3">
      <c r="T938" s="78"/>
      <c r="AB938" s="79"/>
    </row>
    <row r="939" spans="20:28" ht="15.75" customHeight="1" x14ac:dyDescent="0.3">
      <c r="T939" s="78"/>
      <c r="AB939" s="79"/>
    </row>
    <row r="940" spans="20:28" ht="15.75" customHeight="1" x14ac:dyDescent="0.3">
      <c r="T940" s="78"/>
      <c r="AB940" s="79"/>
    </row>
    <row r="941" spans="20:28" ht="15.75" customHeight="1" x14ac:dyDescent="0.3">
      <c r="T941" s="78"/>
      <c r="AB941" s="79"/>
    </row>
    <row r="942" spans="20:28" ht="15.75" customHeight="1" x14ac:dyDescent="0.3">
      <c r="T942" s="78"/>
      <c r="AB942" s="79"/>
    </row>
    <row r="943" spans="20:28" ht="15.75" customHeight="1" x14ac:dyDescent="0.3">
      <c r="T943" s="78"/>
      <c r="AB943" s="79"/>
    </row>
    <row r="944" spans="20:28" ht="15.75" customHeight="1" x14ac:dyDescent="0.3">
      <c r="T944" s="78"/>
      <c r="AB944" s="79"/>
    </row>
    <row r="945" spans="20:28" ht="15.75" customHeight="1" x14ac:dyDescent="0.3">
      <c r="T945" s="78"/>
      <c r="AB945" s="79"/>
    </row>
    <row r="946" spans="20:28" ht="15.75" customHeight="1" x14ac:dyDescent="0.3">
      <c r="T946" s="78"/>
      <c r="AB946" s="79"/>
    </row>
    <row r="947" spans="20:28" ht="15.75" customHeight="1" x14ac:dyDescent="0.3">
      <c r="T947" s="78"/>
      <c r="AB947" s="79"/>
    </row>
    <row r="948" spans="20:28" ht="15.75" customHeight="1" x14ac:dyDescent="0.3">
      <c r="T948" s="78"/>
      <c r="AB948" s="79"/>
    </row>
    <row r="949" spans="20:28" ht="15.75" customHeight="1" x14ac:dyDescent="0.3">
      <c r="T949" s="78"/>
      <c r="AB949" s="79"/>
    </row>
    <row r="950" spans="20:28" ht="15.75" customHeight="1" x14ac:dyDescent="0.3">
      <c r="T950" s="78"/>
      <c r="AB950" s="79"/>
    </row>
  </sheetData>
  <autoFilter ref="A2:AB27" xr:uid="{00000000-0009-0000-0000-000003000000}">
    <sortState xmlns:xlrd2="http://schemas.microsoft.com/office/spreadsheetml/2017/richdata2" ref="A2:AB27">
      <sortCondition ref="A2:A27"/>
    </sortState>
  </autoFilter>
  <conditionalFormatting sqref="B1:B950">
    <cfRule type="expression" dxfId="7" priority="1">
      <formula>"Sold"</formula>
    </cfRule>
  </conditionalFormatting>
  <conditionalFormatting sqref="L1:L2 M1:N3 M6:N7 M21:N22 M25:N950 L28:L950">
    <cfRule type="expression" dxfId="6" priority="2">
      <formula>"B:B=Listed"</formula>
    </cfRule>
  </conditionalFormatting>
  <conditionalFormatting sqref="P1:P950">
    <cfRule type="cellIs" dxfId="5" priority="4" operator="lessThan">
      <formula>0</formula>
    </cfRule>
  </conditionalFormatting>
  <conditionalFormatting sqref="U3:U27">
    <cfRule type="cellIs" dxfId="4" priority="5" operator="lessThan">
      <formula>0</formula>
    </cfRule>
  </conditionalFormatting>
  <conditionalFormatting sqref="V3:V27">
    <cfRule type="cellIs" dxfId="3" priority="3" operator="greaterThan">
      <formula>1500</formula>
    </cfRule>
  </conditionalFormatting>
  <dataValidations count="1">
    <dataValidation type="list" allowBlank="1" showErrorMessage="1" sqref="B3:B27 B33:B40 B42:B201" xr:uid="{C60258CA-E76A-47BF-BF8B-CBF2AFAD24EE}">
      <formula1>"Sold,Pending Sale,Active,Under Rehab,Listed,Need Sale HUD,Need Purchase HUD"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62F7-F658-4574-80B9-42B4AA72471F}">
  <sheetPr>
    <tabColor rgb="FF38761D"/>
    <outlinePr summaryBelow="0" summaryRight="0"/>
  </sheetPr>
  <dimension ref="A1:AF999"/>
  <sheetViews>
    <sheetView tabSelected="1" workbookViewId="0">
      <pane xSplit="1" ySplit="2" topLeftCell="I3" activePane="bottomRight" state="frozen"/>
      <selection activeCell="B2" sqref="B2"/>
      <selection pane="topRight" activeCell="B2" sqref="B2"/>
      <selection pane="bottomLeft" activeCell="B2" sqref="B2"/>
      <selection pane="bottomRight" activeCell="J12" sqref="J12"/>
    </sheetView>
  </sheetViews>
  <sheetFormatPr defaultColWidth="12.6640625" defaultRowHeight="15" customHeight="1" x14ac:dyDescent="0.3"/>
  <cols>
    <col min="1" max="1" width="25.77734375" style="1" customWidth="1"/>
    <col min="2" max="2" width="12.6640625" style="1" customWidth="1"/>
    <col min="3" max="3" width="16.5546875" customWidth="1"/>
    <col min="4" max="4" width="11.88671875" style="1" customWidth="1"/>
    <col min="5" max="5" width="14.44140625" style="1" customWidth="1"/>
    <col min="6" max="6" width="42" style="1" customWidth="1"/>
    <col min="7" max="7" width="20.88671875" style="1" customWidth="1"/>
    <col min="8" max="8" width="25.6640625" style="1" customWidth="1"/>
    <col min="9" max="9" width="16.109375" style="1" customWidth="1"/>
    <col min="10" max="10" width="14.21875" style="1" customWidth="1"/>
    <col min="11" max="13" width="12.6640625" style="1"/>
    <col min="14" max="14" width="21.6640625" style="1" customWidth="1"/>
    <col min="15" max="21" width="12.6640625" style="1"/>
    <col min="22" max="22" width="20.77734375" style="1" customWidth="1"/>
    <col min="23" max="24" width="12.6640625" style="1"/>
    <col min="25" max="25" width="22.109375" style="1" customWidth="1"/>
    <col min="26" max="26" width="23.77734375" style="1" customWidth="1"/>
    <col min="27" max="27" width="17.77734375" style="1" customWidth="1"/>
    <col min="28" max="16384" width="12.6640625" style="1"/>
  </cols>
  <sheetData>
    <row r="1" spans="1:32" ht="15.75" customHeight="1" x14ac:dyDescent="0.3">
      <c r="A1" s="82">
        <f>'[1]Kiavi Loans'!G1</f>
        <v>45545</v>
      </c>
      <c r="B1" s="41"/>
      <c r="C1" s="140"/>
      <c r="D1" s="84"/>
      <c r="E1" s="84"/>
      <c r="F1" s="85"/>
      <c r="G1" s="85"/>
      <c r="H1" s="85"/>
      <c r="I1" s="85"/>
      <c r="J1" s="85"/>
      <c r="K1" s="85"/>
      <c r="L1" s="85"/>
      <c r="M1" s="85"/>
      <c r="N1" s="86"/>
      <c r="O1" s="85"/>
      <c r="P1" s="85"/>
      <c r="Q1" s="85"/>
      <c r="R1" s="85"/>
      <c r="S1" s="85"/>
      <c r="T1" s="85"/>
      <c r="U1" s="85"/>
      <c r="V1" s="85"/>
      <c r="W1" s="85"/>
      <c r="X1" s="84"/>
      <c r="Y1" s="41"/>
      <c r="Z1" s="87"/>
      <c r="AA1" s="87"/>
      <c r="AB1" s="87"/>
      <c r="AC1" s="87"/>
      <c r="AD1" s="87"/>
      <c r="AE1" s="87"/>
      <c r="AF1" s="87"/>
    </row>
    <row r="2" spans="1:32" ht="15.75" customHeight="1" x14ac:dyDescent="0.3">
      <c r="A2" s="42" t="s">
        <v>240</v>
      </c>
      <c r="B2" s="42" t="s">
        <v>54</v>
      </c>
      <c r="C2" s="141" t="s">
        <v>55</v>
      </c>
      <c r="D2" s="44" t="s">
        <v>84</v>
      </c>
      <c r="E2" s="44" t="s">
        <v>57</v>
      </c>
      <c r="F2" s="45" t="s">
        <v>238</v>
      </c>
      <c r="G2" s="45" t="s">
        <v>85</v>
      </c>
      <c r="H2" s="45" t="s">
        <v>60</v>
      </c>
      <c r="I2" s="45" t="s">
        <v>61</v>
      </c>
      <c r="J2" s="45" t="s">
        <v>62</v>
      </c>
      <c r="K2" s="45" t="s">
        <v>243</v>
      </c>
      <c r="L2" s="45" t="s">
        <v>239</v>
      </c>
      <c r="M2" s="45" t="s">
        <v>244</v>
      </c>
      <c r="N2" s="88" t="s">
        <v>242</v>
      </c>
      <c r="O2" s="45" t="s">
        <v>241</v>
      </c>
      <c r="P2" s="45" t="s">
        <v>65</v>
      </c>
      <c r="Q2" s="45" t="s">
        <v>69</v>
      </c>
      <c r="R2" s="45" t="s">
        <v>70</v>
      </c>
      <c r="S2" s="45" t="s">
        <v>71</v>
      </c>
      <c r="T2" s="46" t="s">
        <v>72</v>
      </c>
      <c r="U2" s="45" t="s">
        <v>73</v>
      </c>
      <c r="V2" s="44" t="s">
        <v>74</v>
      </c>
      <c r="W2" s="44" t="s">
        <v>75</v>
      </c>
      <c r="X2" s="42" t="s">
        <v>76</v>
      </c>
      <c r="Y2" s="42" t="s">
        <v>77</v>
      </c>
      <c r="Z2" s="42" t="s">
        <v>78</v>
      </c>
      <c r="AA2" s="42" t="s">
        <v>237</v>
      </c>
      <c r="AB2" s="41"/>
      <c r="AC2" s="87"/>
      <c r="AD2" s="87"/>
      <c r="AE2" s="87"/>
    </row>
    <row r="3" spans="1:32" ht="15.75" customHeight="1" x14ac:dyDescent="0.3">
      <c r="A3" s="89" t="s">
        <v>90</v>
      </c>
      <c r="B3" s="90" t="s">
        <v>91</v>
      </c>
      <c r="C3" s="142">
        <v>44564</v>
      </c>
      <c r="D3" s="91">
        <v>44939</v>
      </c>
      <c r="E3" s="92">
        <f t="shared" ref="E3:E37" si="0">D3-C3</f>
        <v>375</v>
      </c>
      <c r="F3" s="93">
        <v>166000</v>
      </c>
      <c r="G3" s="93"/>
      <c r="H3" s="94">
        <f>(HLOOKUP(A3,'[1]P&amp;L'!$A$5:$ER$194,22,FALSE)-(HLOOKUP(A3,'[1]P&amp;L'!$A$5:$ER$235,4,FALSE)-(HLOOKUP(A3,'[1]P&amp;L'!$A$5:$ER$235,24,FALSE)+(HLOOKUP(A3,'[1]P&amp;L'!$A$5:$ER$235,26,FALSE)+(HLOOKUP(A3,'[1]P&amp;L'!$A$5:$ER$235,27,FALSE))))))</f>
        <v>837.4</v>
      </c>
      <c r="I3" s="95"/>
      <c r="J3" s="93">
        <f>HLOOKUP(A3,'[1]P&amp;L'!$A$5:$ER$194,25,0)</f>
        <v>14070.34</v>
      </c>
      <c r="K3" s="96">
        <f t="shared" ref="K3:K37" si="1">F3+G3+H3+J3</f>
        <v>180907.74</v>
      </c>
      <c r="L3" s="97">
        <f>HLOOKUP(A3,'[1]P&amp;L'!$A$5:$ER$194,8,0)</f>
        <v>224500</v>
      </c>
      <c r="M3" s="96">
        <f>(HLOOKUP(A3,'[1]P&amp;L'!$A$5:$ER$194,23,FALSE)-G3)</f>
        <v>25170.98</v>
      </c>
      <c r="N3" s="98">
        <f t="shared" ref="N3:N37" si="2">L3-M3-K3</f>
        <v>18421.28</v>
      </c>
      <c r="O3" s="93">
        <f>HLOOKUP(A3,'[1]P&amp;L'!$A$5:$ER$194,176,0)</f>
        <v>18421.28</v>
      </c>
      <c r="P3" s="93">
        <f t="shared" ref="P3:P37" si="3">N3-O3</f>
        <v>0</v>
      </c>
      <c r="Q3" s="93"/>
      <c r="R3" s="93"/>
      <c r="S3" s="99"/>
      <c r="T3" s="100"/>
      <c r="U3" s="101">
        <f t="shared" ref="U3:U37" si="4">L3-M3-Q3</f>
        <v>199329.02</v>
      </c>
      <c r="V3" s="102">
        <f t="shared" ref="V3:V37" si="5">J3/E3</f>
        <v>37.520906666666669</v>
      </c>
      <c r="W3" s="101" t="s">
        <v>92</v>
      </c>
      <c r="X3" s="101"/>
      <c r="Y3" s="101"/>
      <c r="Z3" s="101"/>
      <c r="AA3" s="103"/>
      <c r="AB3" s="91" t="str">
        <f t="shared" ref="AB3:AB37" si="6">TEXT(D3,"mm/yyyy")</f>
        <v>01/2023</v>
      </c>
      <c r="AC3" s="104"/>
      <c r="AD3" s="104"/>
      <c r="AE3" s="104"/>
    </row>
    <row r="4" spans="1:32" ht="15.75" customHeight="1" x14ac:dyDescent="0.3">
      <c r="A4" s="105" t="s">
        <v>93</v>
      </c>
      <c r="B4" s="106" t="s">
        <v>91</v>
      </c>
      <c r="C4" s="142">
        <f>VLOOKUP(A4,'[1]Property List'!A:B,2,0)</f>
        <v>44564</v>
      </c>
      <c r="D4" s="91">
        <v>44959</v>
      </c>
      <c r="E4" s="107">
        <f t="shared" si="0"/>
        <v>395</v>
      </c>
      <c r="F4" s="93">
        <v>250000</v>
      </c>
      <c r="G4" s="93"/>
      <c r="H4" s="94">
        <f>(HLOOKUP(A4,'[1]P&amp;L'!$A$5:$ER$194,22,FALSE)-(HLOOKUP(A4,'[1]P&amp;L'!$A$5:$ER$235,4,FALSE)-(HLOOKUP(A4,'[1]P&amp;L'!$A$5:$ER$235,24,FALSE)+(HLOOKUP(A4,'[1]P&amp;L'!$A$5:$ER$235,26,FALSE)+(HLOOKUP(A4,'[1]P&amp;L'!$A$5:$ER$235,27,FALSE))))))</f>
        <v>2921.63</v>
      </c>
      <c r="I4" s="93"/>
      <c r="J4" s="93">
        <f>HLOOKUP(A4,'[1]P&amp;L'!$A$5:$ER$194,25,0)</f>
        <v>181604.22</v>
      </c>
      <c r="K4" s="96">
        <f t="shared" si="1"/>
        <v>434525.85</v>
      </c>
      <c r="L4" s="97">
        <f>HLOOKUP(A4,'[1]P&amp;L'!$A$5:$ER$194,8,0)</f>
        <v>415000</v>
      </c>
      <c r="M4" s="96">
        <f>(HLOOKUP(A4,'[1]P&amp;L'!$A$5:$ER$194,23,FALSE)-G4)</f>
        <v>43476.94</v>
      </c>
      <c r="N4" s="98">
        <f t="shared" si="2"/>
        <v>-63002.789999999979</v>
      </c>
      <c r="O4" s="93">
        <f>HLOOKUP(A4,'[1]P&amp;L'!$A$5:$ER$194,176,0)</f>
        <v>-63002.79</v>
      </c>
      <c r="P4" s="93">
        <f t="shared" si="3"/>
        <v>0</v>
      </c>
      <c r="Q4" s="93"/>
      <c r="R4" s="93"/>
      <c r="S4" s="99"/>
      <c r="T4" s="100"/>
      <c r="U4" s="101">
        <f t="shared" si="4"/>
        <v>371523.06</v>
      </c>
      <c r="V4" s="102">
        <f t="shared" si="5"/>
        <v>459.75751898734177</v>
      </c>
      <c r="W4" s="101" t="s">
        <v>92</v>
      </c>
      <c r="X4" s="101"/>
      <c r="Y4" s="101"/>
      <c r="Z4" s="101"/>
      <c r="AA4" s="103"/>
      <c r="AB4" s="91" t="str">
        <f t="shared" si="6"/>
        <v>02/2023</v>
      </c>
      <c r="AC4" s="104"/>
      <c r="AD4" s="104"/>
      <c r="AE4" s="104"/>
    </row>
    <row r="5" spans="1:32" ht="15.75" customHeight="1" x14ac:dyDescent="0.3">
      <c r="A5" s="89" t="s">
        <v>94</v>
      </c>
      <c r="B5" s="106" t="s">
        <v>91</v>
      </c>
      <c r="C5" s="142">
        <f>VLOOKUP(A5,'[1]Property List'!A:B,2,0)</f>
        <v>44778</v>
      </c>
      <c r="D5" s="91">
        <v>44984</v>
      </c>
      <c r="E5" s="107">
        <f t="shared" si="0"/>
        <v>206</v>
      </c>
      <c r="F5" s="93">
        <v>157000</v>
      </c>
      <c r="G5" s="93">
        <v>14146.15</v>
      </c>
      <c r="H5" s="94">
        <f>(HLOOKUP(A5,'[1]P&amp;L'!$A$5:$ER$194,22,FALSE)-(HLOOKUP(A5,'[1]P&amp;L'!$A$5:$ER$235,4,FALSE)-(HLOOKUP(A5,'[1]P&amp;L'!$A$5:$ER$235,24,FALSE)+(HLOOKUP(A5,'[1]P&amp;L'!$A$5:$ER$235,26,FALSE)+(HLOOKUP(A5,'[1]P&amp;L'!$A$5:$ER$235,27,FALSE))))))</f>
        <v>1164.6500000000001</v>
      </c>
      <c r="I5" s="93"/>
      <c r="J5" s="93">
        <f>HLOOKUP(A5,'[1]P&amp;L'!$A$5:$ER$194,25,0)</f>
        <v>61496.99</v>
      </c>
      <c r="K5" s="96">
        <f t="shared" si="1"/>
        <v>233807.78999999998</v>
      </c>
      <c r="L5" s="97">
        <f>HLOOKUP(A5,'[1]P&amp;L'!$A$5:$ER$194,8,0)</f>
        <v>290000</v>
      </c>
      <c r="M5" s="96">
        <f>(HLOOKUP(A5,'[1]P&amp;L'!$A$5:$ER$194,23,FALSE)-G5)</f>
        <v>20598.589999999997</v>
      </c>
      <c r="N5" s="98">
        <f t="shared" si="2"/>
        <v>35593.620000000054</v>
      </c>
      <c r="O5" s="93">
        <f>HLOOKUP(A5,'[1]P&amp;L'!$A$5:$ER$194,176,0)</f>
        <v>35593.620000000003</v>
      </c>
      <c r="P5" s="93">
        <f t="shared" si="3"/>
        <v>0</v>
      </c>
      <c r="Q5" s="93"/>
      <c r="R5" s="93"/>
      <c r="S5" s="99"/>
      <c r="T5" s="100"/>
      <c r="U5" s="101">
        <f t="shared" si="4"/>
        <v>269401.41000000003</v>
      </c>
      <c r="V5" s="102">
        <f t="shared" si="5"/>
        <v>298.5290776699029</v>
      </c>
      <c r="W5" s="101" t="s">
        <v>92</v>
      </c>
      <c r="X5" s="101"/>
      <c r="Y5" s="101"/>
      <c r="Z5" s="101"/>
      <c r="AA5" s="103"/>
      <c r="AB5" s="91" t="str">
        <f t="shared" si="6"/>
        <v>02/2023</v>
      </c>
      <c r="AC5" s="104"/>
      <c r="AD5" s="104"/>
      <c r="AE5" s="104"/>
    </row>
    <row r="6" spans="1:32" ht="15.75" customHeight="1" x14ac:dyDescent="0.3">
      <c r="A6" s="89" t="s">
        <v>95</v>
      </c>
      <c r="B6" s="106" t="s">
        <v>91</v>
      </c>
      <c r="C6" s="142">
        <f>VLOOKUP(A6,'[1]Property List'!A:B,2,0)</f>
        <v>44940</v>
      </c>
      <c r="D6" s="91">
        <v>44985</v>
      </c>
      <c r="E6" s="107">
        <f t="shared" si="0"/>
        <v>45</v>
      </c>
      <c r="F6" s="93">
        <v>19453.88</v>
      </c>
      <c r="G6" s="93">
        <v>4465</v>
      </c>
      <c r="H6" s="94">
        <f>(HLOOKUP(A6,'[1]P&amp;L'!$A$5:$ER$194,22,FALSE)-(HLOOKUP(A6,'[1]P&amp;L'!$A$5:$ER$235,4,FALSE)-(HLOOKUP(A6,'[1]P&amp;L'!$A$5:$ER$235,24,FALSE)+(HLOOKUP(A6,'[1]P&amp;L'!$A$5:$ER$235,26,FALSE)+(HLOOKUP(A6,'[1]P&amp;L'!$A$5:$ER$235,27,FALSE))))))</f>
        <v>5500</v>
      </c>
      <c r="I6" s="93"/>
      <c r="J6" s="93">
        <f>HLOOKUP(A6,'[1]P&amp;L'!$A$5:$ER$194,25,0)</f>
        <v>182.3</v>
      </c>
      <c r="K6" s="96">
        <f t="shared" si="1"/>
        <v>29601.18</v>
      </c>
      <c r="L6" s="97">
        <f>HLOOKUP(A6,'[1]P&amp;L'!$A$5:$ER$194,8,0)</f>
        <v>90000</v>
      </c>
      <c r="M6" s="96">
        <f>(HLOOKUP(A6,'[1]P&amp;L'!$A$5:$ER$194,23,FALSE)-G6)</f>
        <v>12609.07</v>
      </c>
      <c r="N6" s="98">
        <f t="shared" si="2"/>
        <v>47789.749999999993</v>
      </c>
      <c r="O6" s="93">
        <f>HLOOKUP(A6,'[1]P&amp;L'!$A$5:$ER$194,176,0)</f>
        <v>47789.75</v>
      </c>
      <c r="P6" s="93">
        <f t="shared" si="3"/>
        <v>0</v>
      </c>
      <c r="Q6" s="93"/>
      <c r="R6" s="93"/>
      <c r="S6" s="99"/>
      <c r="T6" s="100"/>
      <c r="U6" s="101">
        <f t="shared" si="4"/>
        <v>77390.929999999993</v>
      </c>
      <c r="V6" s="102">
        <f t="shared" si="5"/>
        <v>4.0511111111111111</v>
      </c>
      <c r="W6" s="101" t="s">
        <v>92</v>
      </c>
      <c r="X6" s="101"/>
      <c r="Y6" s="101"/>
      <c r="Z6" s="101"/>
      <c r="AA6" s="103"/>
      <c r="AB6" s="91" t="str">
        <f t="shared" si="6"/>
        <v>02/2023</v>
      </c>
      <c r="AC6" s="104"/>
      <c r="AD6" s="104"/>
      <c r="AE6" s="104"/>
    </row>
    <row r="7" spans="1:32" ht="15.75" customHeight="1" x14ac:dyDescent="0.3">
      <c r="A7" s="89" t="s">
        <v>96</v>
      </c>
      <c r="B7" s="106" t="s">
        <v>91</v>
      </c>
      <c r="C7" s="142">
        <f>VLOOKUP(A7,'[1]Property List'!A:B,2,0)</f>
        <v>44826</v>
      </c>
      <c r="D7" s="91">
        <v>44986</v>
      </c>
      <c r="E7" s="107">
        <f t="shared" si="0"/>
        <v>160</v>
      </c>
      <c r="F7" s="93">
        <v>175000</v>
      </c>
      <c r="G7" s="93"/>
      <c r="H7" s="94">
        <f>(HLOOKUP(A7,'[1]P&amp;L'!$A$5:$ER$194,22,FALSE)-(HLOOKUP(A7,'[1]P&amp;L'!$A$5:$ER$235,4,FALSE)-(HLOOKUP(A7,'[1]P&amp;L'!$A$5:$ER$235,24,FALSE)+(HLOOKUP(A7,'[1]P&amp;L'!$A$5:$ER$235,26,FALSE)+(HLOOKUP(A7,'[1]P&amp;L'!$A$5:$ER$235,27,FALSE))))))</f>
        <v>50912.979999999996</v>
      </c>
      <c r="I7" s="93"/>
      <c r="J7" s="93">
        <f>HLOOKUP(A7,'[1]P&amp;L'!$A$5:$ER$194,25,0)</f>
        <v>112217.78</v>
      </c>
      <c r="K7" s="96">
        <f t="shared" si="1"/>
        <v>338130.76</v>
      </c>
      <c r="L7" s="97">
        <f>HLOOKUP(A7,'[1]P&amp;L'!$A$5:$ER$194,8,0)</f>
        <v>400000</v>
      </c>
      <c r="M7" s="96">
        <f>(HLOOKUP(A7,'[1]P&amp;L'!$A$5:$ER$194,23,FALSE)-G7)</f>
        <v>35225.410000000003</v>
      </c>
      <c r="N7" s="98">
        <f t="shared" si="2"/>
        <v>26643.829999999958</v>
      </c>
      <c r="O7" s="93">
        <f>HLOOKUP(A7,'[1]P&amp;L'!$A$5:$ER$194,176,0)</f>
        <v>26643.83</v>
      </c>
      <c r="P7" s="93">
        <f t="shared" si="3"/>
        <v>-4.3655745685100555E-11</v>
      </c>
      <c r="Q7" s="93"/>
      <c r="R7" s="93"/>
      <c r="S7" s="99"/>
      <c r="T7" s="100"/>
      <c r="U7" s="101">
        <f t="shared" si="4"/>
        <v>364774.58999999997</v>
      </c>
      <c r="V7" s="102">
        <f t="shared" si="5"/>
        <v>701.36112500000002</v>
      </c>
      <c r="W7" s="101" t="s">
        <v>92</v>
      </c>
      <c r="X7" s="101"/>
      <c r="Y7" s="101"/>
      <c r="Z7" s="101"/>
      <c r="AA7" s="103"/>
      <c r="AB7" s="91" t="str">
        <f t="shared" si="6"/>
        <v>03/2023</v>
      </c>
      <c r="AC7" s="104"/>
      <c r="AD7" s="104"/>
      <c r="AE7" s="104"/>
    </row>
    <row r="8" spans="1:32" ht="15.75" customHeight="1" x14ac:dyDescent="0.3">
      <c r="A8" s="89" t="s">
        <v>97</v>
      </c>
      <c r="B8" s="106" t="s">
        <v>91</v>
      </c>
      <c r="C8" s="142">
        <f>VLOOKUP(A8,'[1]Property List'!A:B,2,0)</f>
        <v>44957</v>
      </c>
      <c r="D8" s="91">
        <v>45002</v>
      </c>
      <c r="E8" s="107">
        <f t="shared" si="0"/>
        <v>45</v>
      </c>
      <c r="F8" s="93">
        <v>285000</v>
      </c>
      <c r="G8" s="93"/>
      <c r="H8" s="94">
        <f>(HLOOKUP(A8,'[1]P&amp;L'!$A$5:$ER$194,22,FALSE)-(HLOOKUP(A8,'[1]P&amp;L'!$A$5:$ER$235,4,FALSE)-(HLOOKUP(A8,'[1]P&amp;L'!$A$5:$ER$235,24,FALSE)+(HLOOKUP(A8,'[1]P&amp;L'!$A$5:$ER$235,26,FALSE)+(HLOOKUP(A8,'[1]P&amp;L'!$A$5:$ER$235,27,FALSE))))))</f>
        <v>5687.55</v>
      </c>
      <c r="I8" s="93"/>
      <c r="J8" s="93">
        <f>HLOOKUP(A8,'[1]P&amp;L'!$A$5:$ER$194,25,0)</f>
        <v>0</v>
      </c>
      <c r="K8" s="96">
        <f t="shared" si="1"/>
        <v>290687.55</v>
      </c>
      <c r="L8" s="97">
        <f>HLOOKUP(A8,'[1]P&amp;L'!$A$5:$ER$194,8,0)</f>
        <v>357000</v>
      </c>
      <c r="M8" s="96">
        <f>(HLOOKUP(A8,'[1]P&amp;L'!$A$5:$ER$194,23,FALSE)-G8)</f>
        <v>32538.080000000002</v>
      </c>
      <c r="N8" s="98">
        <f t="shared" si="2"/>
        <v>33774.369999999995</v>
      </c>
      <c r="O8" s="93">
        <f>HLOOKUP(A8,'[1]P&amp;L'!$A$5:$ER$194,176,0)</f>
        <v>33774.370000000003</v>
      </c>
      <c r="P8" s="93">
        <f t="shared" si="3"/>
        <v>0</v>
      </c>
      <c r="Q8" s="93"/>
      <c r="R8" s="93"/>
      <c r="S8" s="99"/>
      <c r="T8" s="100"/>
      <c r="U8" s="101">
        <f t="shared" si="4"/>
        <v>324461.92</v>
      </c>
      <c r="V8" s="102">
        <f t="shared" si="5"/>
        <v>0</v>
      </c>
      <c r="W8" s="101" t="s">
        <v>92</v>
      </c>
      <c r="X8" s="101"/>
      <c r="Y8" s="101"/>
      <c r="Z8" s="101"/>
      <c r="AA8" s="103"/>
      <c r="AB8" s="91" t="str">
        <f t="shared" si="6"/>
        <v>03/2023</v>
      </c>
      <c r="AC8" s="104"/>
      <c r="AD8" s="104"/>
      <c r="AE8" s="104"/>
    </row>
    <row r="9" spans="1:32" ht="15.75" customHeight="1" x14ac:dyDescent="0.3">
      <c r="A9" s="89" t="s">
        <v>98</v>
      </c>
      <c r="B9" s="106" t="s">
        <v>91</v>
      </c>
      <c r="C9" s="142">
        <f>VLOOKUP(A9,'[1]Property List'!A:B,2,0)</f>
        <v>45012</v>
      </c>
      <c r="D9" s="91">
        <v>45036</v>
      </c>
      <c r="E9" s="107">
        <f t="shared" si="0"/>
        <v>24</v>
      </c>
      <c r="F9" s="93">
        <v>50000</v>
      </c>
      <c r="G9" s="93"/>
      <c r="H9" s="94">
        <f>(HLOOKUP(A9,'[1]P&amp;L'!$A$5:$ER$194,22,FALSE)-(HLOOKUP(A9,'[1]P&amp;L'!$A$5:$ER$235,4,FALSE)-(HLOOKUP(A9,'[1]P&amp;L'!$A$5:$ER$235,24,FALSE)+(HLOOKUP(A9,'[1]P&amp;L'!$A$5:$ER$235,26,FALSE)+(HLOOKUP(A9,'[1]P&amp;L'!$A$5:$ER$235,27,FALSE))))))</f>
        <v>12564.1</v>
      </c>
      <c r="I9" s="93"/>
      <c r="J9" s="93">
        <f>HLOOKUP(A9,'[1]P&amp;L'!$A$5:$ER$194,25,0)</f>
        <v>14348.62</v>
      </c>
      <c r="K9" s="96">
        <f t="shared" si="1"/>
        <v>76912.72</v>
      </c>
      <c r="L9" s="97">
        <f>HLOOKUP(A9,'[1]P&amp;L'!$A$5:$ER$194,8,0)</f>
        <v>170000</v>
      </c>
      <c r="M9" s="96">
        <f>(HLOOKUP(A9,'[1]P&amp;L'!$A$5:$ER$194,23,FALSE)-G9)</f>
        <v>4155.6899999999996</v>
      </c>
      <c r="N9" s="98">
        <f t="shared" si="2"/>
        <v>88931.59</v>
      </c>
      <c r="O9" s="93">
        <f>HLOOKUP(A9,'[1]P&amp;L'!$A$5:$ER$194,176,0)</f>
        <v>88931.59</v>
      </c>
      <c r="P9" s="93">
        <f t="shared" si="3"/>
        <v>0</v>
      </c>
      <c r="Q9" s="93"/>
      <c r="R9" s="93"/>
      <c r="S9" s="99"/>
      <c r="T9" s="100"/>
      <c r="U9" s="101">
        <f t="shared" si="4"/>
        <v>165844.31</v>
      </c>
      <c r="V9" s="102">
        <f t="shared" si="5"/>
        <v>597.85916666666674</v>
      </c>
      <c r="W9" s="101" t="s">
        <v>92</v>
      </c>
      <c r="X9" s="101"/>
      <c r="Y9" s="101"/>
      <c r="Z9" s="101"/>
      <c r="AA9" s="103"/>
      <c r="AB9" s="91" t="str">
        <f t="shared" si="6"/>
        <v>04/2023</v>
      </c>
      <c r="AC9" s="104"/>
      <c r="AD9" s="104"/>
      <c r="AE9" s="104"/>
    </row>
    <row r="10" spans="1:32" ht="15.75" customHeight="1" x14ac:dyDescent="0.3">
      <c r="A10" s="89" t="s">
        <v>99</v>
      </c>
      <c r="B10" s="106" t="s">
        <v>91</v>
      </c>
      <c r="C10" s="142">
        <v>44824</v>
      </c>
      <c r="D10" s="91">
        <v>45077</v>
      </c>
      <c r="E10" s="107">
        <f t="shared" si="0"/>
        <v>253</v>
      </c>
      <c r="F10" s="93">
        <v>155000</v>
      </c>
      <c r="G10" s="93"/>
      <c r="H10" s="94">
        <f>(HLOOKUP(A10,'[1]P&amp;L'!$A$5:$ER$194,22,FALSE)-(HLOOKUP(A10,'[1]P&amp;L'!$A$5:$ER$235,4,FALSE)-(HLOOKUP(A10,'[1]P&amp;L'!$A$5:$ER$235,24,FALSE)+(HLOOKUP(A10,'[1]P&amp;L'!$A$5:$ER$235,26,FALSE)+(HLOOKUP(A10,'[1]P&amp;L'!$A$5:$ER$235,27,FALSE))))))</f>
        <v>1912.91</v>
      </c>
      <c r="I10" s="93"/>
      <c r="J10" s="93">
        <f>HLOOKUP(A10,'[1]P&amp;L'!$A$5:$ER$194,25,0)</f>
        <v>156972.79999999999</v>
      </c>
      <c r="K10" s="96">
        <f t="shared" si="1"/>
        <v>313885.70999999996</v>
      </c>
      <c r="L10" s="97">
        <f>HLOOKUP(A10,'[1]P&amp;L'!$A$5:$ER$194,8,0)</f>
        <v>394000</v>
      </c>
      <c r="M10" s="96">
        <f>(HLOOKUP(A10,'[1]P&amp;L'!$A$5:$ER$194,23,FALSE)-G10)</f>
        <v>36990.86</v>
      </c>
      <c r="N10" s="98">
        <f t="shared" si="2"/>
        <v>43123.430000000051</v>
      </c>
      <c r="O10" s="93">
        <f>HLOOKUP(A10,'[1]P&amp;L'!$A$5:$ER$194,176,0)</f>
        <v>43123.43</v>
      </c>
      <c r="P10" s="93">
        <f t="shared" si="3"/>
        <v>0</v>
      </c>
      <c r="Q10" s="93"/>
      <c r="R10" s="93"/>
      <c r="S10" s="99"/>
      <c r="T10" s="100"/>
      <c r="U10" s="101">
        <f t="shared" si="4"/>
        <v>357009.14</v>
      </c>
      <c r="V10" s="102">
        <f t="shared" si="5"/>
        <v>620.44584980237153</v>
      </c>
      <c r="W10" s="101" t="s">
        <v>92</v>
      </c>
      <c r="X10" s="101"/>
      <c r="Y10" s="101"/>
      <c r="Z10" s="101"/>
      <c r="AA10" s="103"/>
      <c r="AB10" s="91" t="str">
        <f t="shared" si="6"/>
        <v>05/2023</v>
      </c>
      <c r="AC10" s="104"/>
      <c r="AD10" s="104"/>
      <c r="AE10" s="104"/>
    </row>
    <row r="11" spans="1:32" ht="15.75" customHeight="1" x14ac:dyDescent="0.3">
      <c r="A11" s="89" t="s">
        <v>100</v>
      </c>
      <c r="B11" s="106" t="s">
        <v>91</v>
      </c>
      <c r="C11" s="142">
        <f>VLOOKUP(A11,'[1]Property List'!A:B,2,0)</f>
        <v>44951</v>
      </c>
      <c r="D11" s="91">
        <v>45103</v>
      </c>
      <c r="E11" s="107">
        <f t="shared" si="0"/>
        <v>152</v>
      </c>
      <c r="F11" s="93">
        <v>225000</v>
      </c>
      <c r="G11" s="93"/>
      <c r="H11" s="94">
        <f>(HLOOKUP(A11,'[1]P&amp;L'!$A$5:$ER$194,22,FALSE)-(HLOOKUP(A11,'[1]P&amp;L'!$A$5:$ER$235,4,FALSE)-(HLOOKUP(A11,'[1]P&amp;L'!$A$5:$ER$235,24,FALSE)+(HLOOKUP(A11,'[1]P&amp;L'!$A$5:$ER$235,26,FALSE)+(HLOOKUP(A11,'[1]P&amp;L'!$A$5:$ER$235,27,FALSE))))))</f>
        <v>884.2</v>
      </c>
      <c r="I11" s="93"/>
      <c r="J11" s="93">
        <f>HLOOKUP(A11,'[1]P&amp;L'!$A$5:$ER$194,25,0)</f>
        <v>17087.97</v>
      </c>
      <c r="K11" s="96">
        <f t="shared" si="1"/>
        <v>242972.17</v>
      </c>
      <c r="L11" s="97">
        <f>HLOOKUP(A11,'[1]P&amp;L'!$A$5:$ER$194,8,0)</f>
        <v>295000</v>
      </c>
      <c r="M11" s="96">
        <f>(HLOOKUP(A11,'[1]P&amp;L'!$A$5:$ER$194,23,FALSE)-G11)</f>
        <v>27621.37</v>
      </c>
      <c r="N11" s="98">
        <f t="shared" si="2"/>
        <v>24406.459999999992</v>
      </c>
      <c r="O11" s="93">
        <f>HLOOKUP(A11,'[1]P&amp;L'!$A$5:$ER$194,176,0)</f>
        <v>24406.46</v>
      </c>
      <c r="P11" s="93">
        <f t="shared" si="3"/>
        <v>0</v>
      </c>
      <c r="Q11" s="93"/>
      <c r="R11" s="93"/>
      <c r="S11" s="99"/>
      <c r="T11" s="100"/>
      <c r="U11" s="101">
        <f t="shared" si="4"/>
        <v>267378.63</v>
      </c>
      <c r="V11" s="102">
        <f t="shared" si="5"/>
        <v>112.4208552631579</v>
      </c>
      <c r="W11" s="101" t="s">
        <v>92</v>
      </c>
      <c r="X11" s="101"/>
      <c r="Y11" s="101"/>
      <c r="Z11" s="101"/>
      <c r="AA11" s="103"/>
      <c r="AB11" s="91" t="str">
        <f t="shared" si="6"/>
        <v>06/2023</v>
      </c>
      <c r="AC11" s="104"/>
      <c r="AD11" s="104"/>
      <c r="AE11" s="104"/>
    </row>
    <row r="12" spans="1:32" ht="15.75" customHeight="1" x14ac:dyDescent="0.3">
      <c r="A12" s="89" t="s">
        <v>101</v>
      </c>
      <c r="B12" s="106" t="s">
        <v>91</v>
      </c>
      <c r="C12" s="142">
        <v>44978</v>
      </c>
      <c r="D12" s="91">
        <v>45121</v>
      </c>
      <c r="E12" s="107">
        <f t="shared" si="0"/>
        <v>143</v>
      </c>
      <c r="F12" s="93">
        <v>260000</v>
      </c>
      <c r="G12" s="93">
        <v>18640.86</v>
      </c>
      <c r="H12" s="94">
        <f>(HLOOKUP(A12,'[1]P&amp;L'!$A$5:$ER$194,22,FALSE)-(HLOOKUP(A12,'[1]P&amp;L'!$A$5:$ER$235,4,FALSE)-(HLOOKUP(A12,'[1]P&amp;L'!$A$5:$ER$235,24,FALSE)+(HLOOKUP(A12,'[1]P&amp;L'!$A$5:$ER$235,26,FALSE)+(HLOOKUP(A12,'[1]P&amp;L'!$A$5:$ER$235,27,FALSE))))))</f>
        <v>1283.24</v>
      </c>
      <c r="I12" s="93"/>
      <c r="J12" s="93">
        <f>HLOOKUP(A12,'[1]P&amp;L'!$A$5:$ER$194,25,0)</f>
        <v>35324.07</v>
      </c>
      <c r="K12" s="96">
        <f t="shared" si="1"/>
        <v>315248.17</v>
      </c>
      <c r="L12" s="97">
        <f>HLOOKUP(A12,'[1]P&amp;L'!$A$5:$ER$194,8,0)</f>
        <v>360000</v>
      </c>
      <c r="M12" s="96">
        <f>(HLOOKUP(A12,'[1]P&amp;L'!$A$5:$ER$194,23,FALSE)-G12)</f>
        <v>16113.800000000003</v>
      </c>
      <c r="N12" s="98">
        <f t="shared" si="2"/>
        <v>28638.030000000028</v>
      </c>
      <c r="O12" s="93">
        <f>HLOOKUP(A12,'[1]P&amp;L'!$A$5:$ER$194,176,0)</f>
        <v>28638.03</v>
      </c>
      <c r="P12" s="93">
        <f t="shared" si="3"/>
        <v>2.9103830456733704E-11</v>
      </c>
      <c r="Q12" s="93">
        <v>260000</v>
      </c>
      <c r="R12" s="93"/>
      <c r="S12" s="99"/>
      <c r="T12" s="100"/>
      <c r="U12" s="101">
        <f t="shared" si="4"/>
        <v>83886.200000000012</v>
      </c>
      <c r="V12" s="102">
        <f t="shared" si="5"/>
        <v>247.02146853146854</v>
      </c>
      <c r="W12" s="101" t="s">
        <v>92</v>
      </c>
      <c r="X12" s="101"/>
      <c r="Y12" s="101" t="s">
        <v>102</v>
      </c>
      <c r="Z12" s="101" t="s">
        <v>103</v>
      </c>
      <c r="AA12" s="103" t="s">
        <v>104</v>
      </c>
      <c r="AB12" s="91" t="str">
        <f t="shared" si="6"/>
        <v>07/2023</v>
      </c>
      <c r="AC12" s="108"/>
      <c r="AD12" s="108"/>
      <c r="AE12" s="108"/>
    </row>
    <row r="13" spans="1:32" ht="15.75" customHeight="1" x14ac:dyDescent="0.3">
      <c r="A13" s="89" t="s">
        <v>105</v>
      </c>
      <c r="B13" s="106" t="s">
        <v>91</v>
      </c>
      <c r="C13" s="142">
        <v>44988</v>
      </c>
      <c r="D13" s="91">
        <v>45156</v>
      </c>
      <c r="E13" s="107">
        <f t="shared" si="0"/>
        <v>168</v>
      </c>
      <c r="F13" s="93">
        <v>230100</v>
      </c>
      <c r="G13" s="93">
        <v>16181.01</v>
      </c>
      <c r="H13" s="94">
        <f>(HLOOKUP(A13,'[1]P&amp;L'!$A$5:$ER$194,22,FALSE)-(HLOOKUP(A13,'[1]P&amp;L'!$A$5:$ER$235,4,FALSE)-(HLOOKUP(A13,'[1]P&amp;L'!$A$5:$ER$235,24,FALSE)+(HLOOKUP(A13,'[1]P&amp;L'!$A$5:$ER$235,26,FALSE)+(HLOOKUP(A13,'[1]P&amp;L'!$A$5:$ER$235,27,FALSE))))))</f>
        <v>8112.5800000000008</v>
      </c>
      <c r="I13" s="93">
        <v>0</v>
      </c>
      <c r="J13" s="93">
        <f>HLOOKUP(A13,'[1]P&amp;L'!$A$5:$ER$194,25,0)</f>
        <v>93299.68</v>
      </c>
      <c r="K13" s="96">
        <f t="shared" si="1"/>
        <v>347693.27</v>
      </c>
      <c r="L13" s="97">
        <f>HLOOKUP(A13,'[1]P&amp;L'!$A$5:$ER$194,8,0)</f>
        <v>425000</v>
      </c>
      <c r="M13" s="96">
        <f>(HLOOKUP(A13,'[1]P&amp;L'!$A$5:$ER$194,23,FALSE)-G13)</f>
        <v>26224.659999999996</v>
      </c>
      <c r="N13" s="98">
        <f t="shared" si="2"/>
        <v>51082.070000000007</v>
      </c>
      <c r="O13" s="93">
        <f>HLOOKUP(A13,'[1]P&amp;L'!$A$5:$ER$194,176,0)</f>
        <v>51082.07</v>
      </c>
      <c r="P13" s="93">
        <f t="shared" si="3"/>
        <v>0</v>
      </c>
      <c r="Q13" s="93">
        <v>267979.96999999997</v>
      </c>
      <c r="R13" s="93"/>
      <c r="S13" s="99"/>
      <c r="T13" s="100"/>
      <c r="U13" s="101">
        <f t="shared" si="4"/>
        <v>130795.37000000005</v>
      </c>
      <c r="V13" s="102">
        <f t="shared" si="5"/>
        <v>555.35523809523806</v>
      </c>
      <c r="W13" s="101" t="s">
        <v>92</v>
      </c>
      <c r="X13" s="101"/>
      <c r="Y13" s="101" t="s">
        <v>102</v>
      </c>
      <c r="Z13" s="101" t="s">
        <v>103</v>
      </c>
      <c r="AA13" s="103" t="s">
        <v>106</v>
      </c>
      <c r="AB13" s="91" t="str">
        <f t="shared" si="6"/>
        <v>08/2023</v>
      </c>
      <c r="AC13" s="108"/>
      <c r="AD13" s="108"/>
      <c r="AE13" s="108"/>
    </row>
    <row r="14" spans="1:32" ht="15.75" customHeight="1" x14ac:dyDescent="0.3">
      <c r="A14" s="89" t="s">
        <v>107</v>
      </c>
      <c r="B14" s="106" t="s">
        <v>91</v>
      </c>
      <c r="C14" s="142">
        <v>44904</v>
      </c>
      <c r="D14" s="91">
        <v>45169</v>
      </c>
      <c r="E14" s="107">
        <f t="shared" si="0"/>
        <v>265</v>
      </c>
      <c r="F14" s="93">
        <v>101750</v>
      </c>
      <c r="G14" s="93">
        <v>8743.66</v>
      </c>
      <c r="H14" s="94">
        <f>(HLOOKUP(A14,'[1]P&amp;L'!$A$5:$ER$194,22,FALSE)-(HLOOKUP(A14,'[1]P&amp;L'!$A$5:$ER$235,4,FALSE)-(HLOOKUP(A14,'[1]P&amp;L'!$A$5:$ER$235,24,FALSE)+(HLOOKUP(A14,'[1]P&amp;L'!$A$5:$ER$235,26,FALSE)+(HLOOKUP(A14,'[1]P&amp;L'!$A$5:$ER$235,27,FALSE))))))</f>
        <v>15078.26</v>
      </c>
      <c r="I14" s="93"/>
      <c r="J14" s="93">
        <f>HLOOKUP(A14,'[1]P&amp;L'!$A$5:$ER$194,25,0)</f>
        <v>52800</v>
      </c>
      <c r="K14" s="96">
        <f t="shared" si="1"/>
        <v>178371.91999999998</v>
      </c>
      <c r="L14" s="97">
        <f>HLOOKUP(A14,'[1]P&amp;L'!$A$5:$ER$194,8,0)</f>
        <v>234000</v>
      </c>
      <c r="M14" s="96">
        <f>(HLOOKUP(A14,'[1]P&amp;L'!$A$5:$ER$194,23,FALSE)-G14)</f>
        <v>15467.02</v>
      </c>
      <c r="N14" s="98">
        <f t="shared" si="2"/>
        <v>40161.060000000027</v>
      </c>
      <c r="O14" s="93">
        <f>HLOOKUP(A14,'[1]P&amp;L'!$A$5:$ER$194,176,0)</f>
        <v>40161.06</v>
      </c>
      <c r="P14" s="93">
        <f t="shared" si="3"/>
        <v>0</v>
      </c>
      <c r="Q14" s="93">
        <v>132342</v>
      </c>
      <c r="R14" s="93"/>
      <c r="S14" s="99"/>
      <c r="T14" s="100"/>
      <c r="U14" s="101">
        <f t="shared" si="4"/>
        <v>86190.98000000001</v>
      </c>
      <c r="V14" s="102">
        <f t="shared" si="5"/>
        <v>199.24528301886792</v>
      </c>
      <c r="W14" s="101" t="s">
        <v>92</v>
      </c>
      <c r="X14" s="101"/>
      <c r="Y14" s="101" t="s">
        <v>108</v>
      </c>
      <c r="Z14" s="101" t="s">
        <v>109</v>
      </c>
      <c r="AA14" s="103" t="s">
        <v>110</v>
      </c>
      <c r="AB14" s="91" t="str">
        <f t="shared" si="6"/>
        <v>08/2023</v>
      </c>
      <c r="AC14" s="108"/>
      <c r="AD14" s="108"/>
      <c r="AE14" s="108"/>
    </row>
    <row r="15" spans="1:32" ht="15.75" customHeight="1" x14ac:dyDescent="0.3">
      <c r="A15" s="89" t="s">
        <v>111</v>
      </c>
      <c r="B15" s="106" t="s">
        <v>91</v>
      </c>
      <c r="C15" s="142">
        <v>45016</v>
      </c>
      <c r="D15" s="91">
        <v>45175</v>
      </c>
      <c r="E15" s="107">
        <f t="shared" si="0"/>
        <v>159</v>
      </c>
      <c r="F15" s="93">
        <v>55000</v>
      </c>
      <c r="G15" s="93">
        <v>10305.98</v>
      </c>
      <c r="H15" s="94">
        <f>(HLOOKUP(A15,'[1]P&amp;L'!$A$5:$ER$194,22,FALSE)-(HLOOKUP(A15,'[1]P&amp;L'!$A$5:$ER$235,4,FALSE)-(HLOOKUP(A15,'[1]P&amp;L'!$A$5:$ER$235,24,FALSE)+(HLOOKUP(A15,'[1]P&amp;L'!$A$5:$ER$235,26,FALSE)+(HLOOKUP(A15,'[1]P&amp;L'!$A$5:$ER$235,27,FALSE))))))</f>
        <v>3799.21</v>
      </c>
      <c r="I15" s="93">
        <v>85000</v>
      </c>
      <c r="J15" s="93">
        <f>HLOOKUP(A15,'[1]P&amp;L'!$A$5:$ER$194,25,0)</f>
        <v>77455</v>
      </c>
      <c r="K15" s="96">
        <f t="shared" si="1"/>
        <v>146560.19</v>
      </c>
      <c r="L15" s="97">
        <f>HLOOKUP(A15,'[1]P&amp;L'!$A$5:$ER$194,8,0)</f>
        <v>236000</v>
      </c>
      <c r="M15" s="96">
        <f>(HLOOKUP(A15,'[1]P&amp;L'!$A$5:$ER$194,23,FALSE)-G15)</f>
        <v>10554.220000000001</v>
      </c>
      <c r="N15" s="98">
        <f t="shared" si="2"/>
        <v>78885.59</v>
      </c>
      <c r="O15" s="93">
        <f>HLOOKUP(A15,'[1]P&amp;L'!$A$5:$ER$194,176,0)</f>
        <v>78885.59</v>
      </c>
      <c r="P15" s="93">
        <f t="shared" si="3"/>
        <v>0</v>
      </c>
      <c r="Q15" s="93">
        <v>199650</v>
      </c>
      <c r="R15" s="93"/>
      <c r="S15" s="99"/>
      <c r="T15" s="100"/>
      <c r="U15" s="101">
        <f t="shared" si="4"/>
        <v>25795.78</v>
      </c>
      <c r="V15" s="102">
        <f t="shared" si="5"/>
        <v>487.13836477987422</v>
      </c>
      <c r="W15" s="101" t="s">
        <v>92</v>
      </c>
      <c r="X15" s="101"/>
      <c r="Y15" s="101" t="s">
        <v>112</v>
      </c>
      <c r="Z15" s="101" t="s">
        <v>103</v>
      </c>
      <c r="AA15" s="103" t="s">
        <v>113</v>
      </c>
      <c r="AB15" s="91" t="str">
        <f t="shared" si="6"/>
        <v>09/2023</v>
      </c>
      <c r="AC15" s="108"/>
      <c r="AD15" s="108"/>
      <c r="AE15" s="108"/>
    </row>
    <row r="16" spans="1:32" ht="15.75" customHeight="1" x14ac:dyDescent="0.3">
      <c r="A16" s="89" t="s">
        <v>114</v>
      </c>
      <c r="B16" s="106" t="s">
        <v>91</v>
      </c>
      <c r="C16" s="142">
        <v>45093</v>
      </c>
      <c r="D16" s="91">
        <v>45201</v>
      </c>
      <c r="E16" s="107">
        <f t="shared" si="0"/>
        <v>108</v>
      </c>
      <c r="F16" s="93">
        <v>87000</v>
      </c>
      <c r="G16" s="93">
        <v>15229.26</v>
      </c>
      <c r="H16" s="94">
        <f>(HLOOKUP(A16,'[1]P&amp;L'!$A$5:$ER$194,22,FALSE)-(HLOOKUP(A16,'[1]P&amp;L'!$A$5:$ER$235,4,FALSE)-(HLOOKUP(A16,'[1]P&amp;L'!$A$5:$ER$235,24,FALSE)+(HLOOKUP(A16,'[1]P&amp;L'!$A$5:$ER$235,26,FALSE)+(HLOOKUP(A16,'[1]P&amp;L'!$A$5:$ER$235,27,FALSE))))))</f>
        <v>3432.85</v>
      </c>
      <c r="I16" s="93">
        <v>26700</v>
      </c>
      <c r="J16" s="93">
        <f>HLOOKUP(A16,'[1]P&amp;L'!$A$5:$ER$194,25,0)</f>
        <v>25116.39</v>
      </c>
      <c r="K16" s="96">
        <f t="shared" si="1"/>
        <v>130778.5</v>
      </c>
      <c r="L16" s="97">
        <f>HLOOKUP(A16,'[1]P&amp;L'!$A$5:$ER$194,8,0)</f>
        <v>167000</v>
      </c>
      <c r="M16" s="96">
        <f>(HLOOKUP(A16,'[1]P&amp;L'!$A$5:$ER$194,23,FALSE)-G16)</f>
        <v>11170.999999999998</v>
      </c>
      <c r="N16" s="98">
        <f t="shared" si="2"/>
        <v>25050.5</v>
      </c>
      <c r="O16" s="93">
        <f>HLOOKUP(A16,'[1]P&amp;L'!$A$5:$ER$194,176,0)</f>
        <v>25050.5</v>
      </c>
      <c r="P16" s="93">
        <f t="shared" si="3"/>
        <v>0</v>
      </c>
      <c r="Q16" s="93">
        <v>119200</v>
      </c>
      <c r="R16" s="93"/>
      <c r="S16" s="99"/>
      <c r="T16" s="100"/>
      <c r="U16" s="101">
        <f t="shared" si="4"/>
        <v>36629</v>
      </c>
      <c r="V16" s="102">
        <f t="shared" si="5"/>
        <v>232.55916666666667</v>
      </c>
      <c r="W16" s="101" t="s">
        <v>92</v>
      </c>
      <c r="X16" s="101"/>
      <c r="Y16" s="101" t="s">
        <v>115</v>
      </c>
      <c r="Z16" s="101" t="s">
        <v>116</v>
      </c>
      <c r="AA16" s="103" t="s">
        <v>110</v>
      </c>
      <c r="AB16" s="91" t="str">
        <f t="shared" si="6"/>
        <v>10/2023</v>
      </c>
      <c r="AC16" s="108"/>
      <c r="AD16" s="108"/>
      <c r="AE16" s="108"/>
    </row>
    <row r="17" spans="1:31" ht="15.75" customHeight="1" x14ac:dyDescent="0.3">
      <c r="A17" s="89" t="s">
        <v>117</v>
      </c>
      <c r="B17" s="106" t="s">
        <v>91</v>
      </c>
      <c r="C17" s="142">
        <v>44767</v>
      </c>
      <c r="D17" s="91">
        <v>45229</v>
      </c>
      <c r="E17" s="107">
        <f t="shared" si="0"/>
        <v>462</v>
      </c>
      <c r="F17" s="93">
        <v>45000</v>
      </c>
      <c r="G17" s="93">
        <v>4137.67</v>
      </c>
      <c r="H17" s="94">
        <f>(HLOOKUP(A17,'[1]P&amp;L'!$A$5:$ER$194,22,FALSE)-(HLOOKUP(A17,'[1]P&amp;L'!$A$5:$ER$235,4,FALSE)-(HLOOKUP(A17,'[1]P&amp;L'!$A$5:$ER$235,24,FALSE)+(HLOOKUP(A17,'[1]P&amp;L'!$A$5:$ER$235,26,FALSE)+(HLOOKUP(A17,'[1]P&amp;L'!$A$5:$ER$235,27,FALSE))))))</f>
        <v>23096.98</v>
      </c>
      <c r="I17" s="93"/>
      <c r="J17" s="93">
        <f>HLOOKUP(A17,'[1]P&amp;L'!$A$5:$ER$194,25,0)</f>
        <v>262275.12</v>
      </c>
      <c r="K17" s="96">
        <f t="shared" si="1"/>
        <v>334509.77</v>
      </c>
      <c r="L17" s="97">
        <f>HLOOKUP(A17,'[1]P&amp;L'!$A$5:$ER$194,8,0)</f>
        <v>479000</v>
      </c>
      <c r="M17" s="96">
        <f>(HLOOKUP(A17,'[1]P&amp;L'!$A$5:$ER$194,23,FALSE)-G17)</f>
        <v>86094.02</v>
      </c>
      <c r="N17" s="98">
        <f t="shared" si="2"/>
        <v>58396.209999999963</v>
      </c>
      <c r="O17" s="93">
        <f>HLOOKUP(A17,'[1]P&amp;L'!$A$5:$ER$194,176,0)</f>
        <v>58396.21</v>
      </c>
      <c r="P17" s="93">
        <f t="shared" si="3"/>
        <v>0</v>
      </c>
      <c r="Q17" s="93">
        <v>255782.47</v>
      </c>
      <c r="R17" s="93"/>
      <c r="S17" s="99"/>
      <c r="T17" s="100"/>
      <c r="U17" s="101">
        <f t="shared" si="4"/>
        <v>137123.50999999998</v>
      </c>
      <c r="V17" s="102">
        <f t="shared" si="5"/>
        <v>567.69506493506492</v>
      </c>
      <c r="W17" s="101" t="s">
        <v>92</v>
      </c>
      <c r="X17" s="101"/>
      <c r="Y17" s="101" t="s">
        <v>118</v>
      </c>
      <c r="Z17" s="101" t="s">
        <v>119</v>
      </c>
      <c r="AA17" s="103" t="s">
        <v>106</v>
      </c>
      <c r="AB17" s="91" t="str">
        <f t="shared" si="6"/>
        <v>10/2023</v>
      </c>
      <c r="AC17" s="108"/>
      <c r="AD17" s="108"/>
      <c r="AE17" s="108"/>
    </row>
    <row r="18" spans="1:31" ht="14.25" customHeight="1" x14ac:dyDescent="0.3">
      <c r="A18" s="89" t="s">
        <v>120</v>
      </c>
      <c r="B18" s="106" t="s">
        <v>91</v>
      </c>
      <c r="C18" s="142">
        <v>45174</v>
      </c>
      <c r="D18" s="91">
        <v>45258</v>
      </c>
      <c r="E18" s="107">
        <f t="shared" si="0"/>
        <v>84</v>
      </c>
      <c r="F18" s="93">
        <v>220000</v>
      </c>
      <c r="G18" s="93">
        <v>8788.4</v>
      </c>
      <c r="H18" s="94">
        <f>(HLOOKUP(A18,'[1]P&amp;L'!$A$5:$ER$194,22,FALSE)-(HLOOKUP(A18,'[1]P&amp;L'!$A$5:$ER$235,4,FALSE)-(HLOOKUP(A18,'[1]P&amp;L'!$A$5:$ER$235,24,FALSE)+(HLOOKUP(A18,'[1]P&amp;L'!$A$5:$ER$235,26,FALSE)+(HLOOKUP(A18,'[1]P&amp;L'!$A$5:$ER$235,27,FALSE))))))</f>
        <v>9763.4699999999993</v>
      </c>
      <c r="I18" s="93">
        <v>20000</v>
      </c>
      <c r="J18" s="93">
        <f>HLOOKUP(A18,'[1]P&amp;L'!$A$5:$ER$194,25,0)</f>
        <v>30200</v>
      </c>
      <c r="K18" s="96">
        <f t="shared" si="1"/>
        <v>268751.87</v>
      </c>
      <c r="L18" s="97">
        <f>HLOOKUP(A18,'[1]P&amp;L'!$A$5:$ER$194,8,0)</f>
        <v>330000</v>
      </c>
      <c r="M18" s="96">
        <f>(HLOOKUP(A18,'[1]P&amp;L'!$A$5:$ER$194,23,FALSE)-G18)</f>
        <v>14167.820000000002</v>
      </c>
      <c r="N18" s="98">
        <f t="shared" si="2"/>
        <v>47080.31</v>
      </c>
      <c r="O18" s="93">
        <f>HLOOKUP(A18,'[1]P&amp;L'!$A$5:$ER$194,176,0)</f>
        <v>47080.31</v>
      </c>
      <c r="P18" s="93">
        <f t="shared" si="3"/>
        <v>0</v>
      </c>
      <c r="Q18" s="93">
        <v>242518.35</v>
      </c>
      <c r="R18" s="93"/>
      <c r="S18" s="99"/>
      <c r="T18" s="100"/>
      <c r="U18" s="101">
        <f t="shared" si="4"/>
        <v>73313.829999999987</v>
      </c>
      <c r="V18" s="102">
        <f t="shared" si="5"/>
        <v>359.52380952380952</v>
      </c>
      <c r="W18" s="101" t="s">
        <v>92</v>
      </c>
      <c r="X18" s="101"/>
      <c r="Y18" s="101" t="s">
        <v>102</v>
      </c>
      <c r="Z18" s="101" t="s">
        <v>121</v>
      </c>
      <c r="AA18" s="103" t="s">
        <v>106</v>
      </c>
      <c r="AB18" s="91" t="str">
        <f t="shared" si="6"/>
        <v>11/2023</v>
      </c>
      <c r="AC18" s="108"/>
      <c r="AD18" s="108"/>
      <c r="AE18" s="108"/>
    </row>
    <row r="19" spans="1:31" ht="14.25" customHeight="1" x14ac:dyDescent="0.3">
      <c r="A19" s="89" t="s">
        <v>122</v>
      </c>
      <c r="B19" s="106" t="s">
        <v>91</v>
      </c>
      <c r="C19" s="142">
        <v>45128</v>
      </c>
      <c r="D19" s="91">
        <v>45259</v>
      </c>
      <c r="E19" s="107">
        <f t="shared" si="0"/>
        <v>131</v>
      </c>
      <c r="F19" s="93">
        <v>185000</v>
      </c>
      <c r="G19" s="93">
        <v>13358.83</v>
      </c>
      <c r="H19" s="94">
        <f>(HLOOKUP(A19,'[1]P&amp;L'!$A$5:$ER$194,22,FALSE)-(HLOOKUP(A19,'[1]P&amp;L'!$A$5:$ER$235,4,FALSE)-(HLOOKUP(A19,'[1]P&amp;L'!$A$5:$ER$235,24,FALSE)+(HLOOKUP(A19,'[1]P&amp;L'!$A$5:$ER$235,26,FALSE)+(HLOOKUP(A19,'[1]P&amp;L'!$A$5:$ER$235,27,FALSE))))))</f>
        <v>12950.189999999999</v>
      </c>
      <c r="I19" s="93">
        <v>96000</v>
      </c>
      <c r="J19" s="93">
        <f>HLOOKUP(A19,'[1]P&amp;L'!$A$5:$ER$194,25,0)</f>
        <v>93394.880000000005</v>
      </c>
      <c r="K19" s="96">
        <f t="shared" si="1"/>
        <v>304703.90000000002</v>
      </c>
      <c r="L19" s="97">
        <f>HLOOKUP(A19,'[1]P&amp;L'!$A$5:$ER$194,8,0)</f>
        <v>359000</v>
      </c>
      <c r="M19" s="96">
        <f>(HLOOKUP(A19,'[1]P&amp;L'!$A$5:$ER$194,23,FALSE)-G19)</f>
        <v>30884.78</v>
      </c>
      <c r="N19" s="98">
        <f t="shared" si="2"/>
        <v>23411.319999999949</v>
      </c>
      <c r="O19" s="93">
        <f>HLOOKUP(A19,'[1]P&amp;L'!$A$5:$ER$194,176,0)</f>
        <v>23411.32</v>
      </c>
      <c r="P19" s="93">
        <f t="shared" si="3"/>
        <v>-5.0931703299283981E-11</v>
      </c>
      <c r="Q19" s="93">
        <v>283773.77</v>
      </c>
      <c r="R19" s="93"/>
      <c r="S19" s="99"/>
      <c r="T19" s="100"/>
      <c r="U19" s="101">
        <f t="shared" si="4"/>
        <v>44341.449999999953</v>
      </c>
      <c r="V19" s="102">
        <f t="shared" si="5"/>
        <v>712.93801526717562</v>
      </c>
      <c r="W19" s="101" t="s">
        <v>92</v>
      </c>
      <c r="X19" s="101" t="s">
        <v>123</v>
      </c>
      <c r="Y19" s="101" t="s">
        <v>124</v>
      </c>
      <c r="Z19" s="101" t="s">
        <v>125</v>
      </c>
      <c r="AA19" s="103" t="s">
        <v>126</v>
      </c>
      <c r="AB19" s="91" t="str">
        <f t="shared" si="6"/>
        <v>11/2023</v>
      </c>
      <c r="AC19" s="39"/>
      <c r="AD19" s="39"/>
      <c r="AE19" s="39"/>
    </row>
    <row r="20" spans="1:31" ht="14.25" customHeight="1" x14ac:dyDescent="0.3">
      <c r="A20" s="89" t="s">
        <v>127</v>
      </c>
      <c r="B20" s="106" t="s">
        <v>91</v>
      </c>
      <c r="C20" s="142">
        <v>44957</v>
      </c>
      <c r="D20" s="91">
        <v>45275</v>
      </c>
      <c r="E20" s="107">
        <f t="shared" si="0"/>
        <v>318</v>
      </c>
      <c r="F20" s="93">
        <v>138500</v>
      </c>
      <c r="G20" s="93">
        <v>12515.19</v>
      </c>
      <c r="H20" s="94">
        <f>(HLOOKUP(A20,'[1]P&amp;L'!$A$5:$ER$194,22,FALSE)-(HLOOKUP(A20,'[1]P&amp;L'!$A$5:$ER$235,4,FALSE)-(HLOOKUP(A20,'[1]P&amp;L'!$A$5:$ER$235,24,FALSE)+(HLOOKUP(A20,'[1]P&amp;L'!$A$5:$ER$235,26,FALSE)+(HLOOKUP(A20,'[1]P&amp;L'!$A$5:$ER$235,27,FALSE))))))</f>
        <v>17028.769999999997</v>
      </c>
      <c r="I20" s="93">
        <v>26200</v>
      </c>
      <c r="J20" s="93">
        <f>HLOOKUP(A20,'[1]P&amp;L'!$A$5:$ER$194,25,0)</f>
        <v>31834.75</v>
      </c>
      <c r="K20" s="96">
        <f t="shared" si="1"/>
        <v>199878.71</v>
      </c>
      <c r="L20" s="97">
        <f>HLOOKUP(A20,'[1]P&amp;L'!$A$5:$ER$194,8,0)</f>
        <v>240000</v>
      </c>
      <c r="M20" s="96">
        <f>(HLOOKUP(A20,'[1]P&amp;L'!$A$5:$ER$194,23,FALSE)-G20)</f>
        <v>17044.760000000002</v>
      </c>
      <c r="N20" s="98">
        <f t="shared" si="2"/>
        <v>23076.53</v>
      </c>
      <c r="O20" s="93">
        <f>HLOOKUP(A20,'[1]P&amp;L'!$A$5:$ER$194,176,0)</f>
        <v>24016.47</v>
      </c>
      <c r="P20" s="93">
        <f t="shared" si="3"/>
        <v>-939.94000000000233</v>
      </c>
      <c r="Q20" s="93">
        <v>164700</v>
      </c>
      <c r="R20" s="93"/>
      <c r="S20" s="99"/>
      <c r="T20" s="100"/>
      <c r="U20" s="101">
        <f t="shared" si="4"/>
        <v>58255.239999999991</v>
      </c>
      <c r="V20" s="102">
        <f t="shared" si="5"/>
        <v>100.10927672955975</v>
      </c>
      <c r="W20" s="101" t="s">
        <v>92</v>
      </c>
      <c r="X20" s="101"/>
      <c r="Y20" s="101" t="s">
        <v>128</v>
      </c>
      <c r="Z20" s="101" t="s">
        <v>109</v>
      </c>
      <c r="AA20" s="103" t="s">
        <v>129</v>
      </c>
      <c r="AB20" s="91" t="str">
        <f t="shared" si="6"/>
        <v>12/2023</v>
      </c>
      <c r="AC20" s="108"/>
      <c r="AD20" s="108"/>
      <c r="AE20" s="108"/>
    </row>
    <row r="21" spans="1:31" ht="20.25" customHeight="1" x14ac:dyDescent="0.3">
      <c r="A21" s="89" t="s">
        <v>130</v>
      </c>
      <c r="B21" s="106" t="s">
        <v>91</v>
      </c>
      <c r="C21" s="142">
        <v>45121</v>
      </c>
      <c r="D21" s="91">
        <v>45275</v>
      </c>
      <c r="E21" s="107">
        <f t="shared" si="0"/>
        <v>154</v>
      </c>
      <c r="F21" s="93">
        <v>121500</v>
      </c>
      <c r="G21" s="93">
        <v>9341.39</v>
      </c>
      <c r="H21" s="94">
        <f>(HLOOKUP(A21,'[1]P&amp;L'!$A$5:$ER$194,22,FALSE)-(HLOOKUP(A21,'[1]P&amp;L'!$A$5:$ER$235,4,FALSE)-(HLOOKUP(A21,'[1]P&amp;L'!$A$5:$ER$235,24,FALSE)+(HLOOKUP(A21,'[1]P&amp;L'!$A$5:$ER$235,26,FALSE)+(HLOOKUP(A21,'[1]P&amp;L'!$A$5:$ER$235,27,FALSE))))))</f>
        <v>11878.71</v>
      </c>
      <c r="I21" s="93">
        <v>40500</v>
      </c>
      <c r="J21" s="93">
        <f>HLOOKUP(A21,'[1]P&amp;L'!$A$5:$ER$194,25,0)</f>
        <v>58619.6</v>
      </c>
      <c r="K21" s="96">
        <f t="shared" si="1"/>
        <v>201339.7</v>
      </c>
      <c r="L21" s="97">
        <f>HLOOKUP(A21,'[1]P&amp;L'!$A$5:$ER$194,8,0)</f>
        <v>245000</v>
      </c>
      <c r="M21" s="96">
        <f>(HLOOKUP(A21,'[1]P&amp;L'!$A$5:$ER$194,23,FALSE)-G21)</f>
        <v>19279.47</v>
      </c>
      <c r="N21" s="98">
        <f t="shared" si="2"/>
        <v>24380.829999999987</v>
      </c>
      <c r="O21" s="93">
        <f>HLOOKUP(A21,'[1]P&amp;L'!$A$5:$ER$194,176,0)</f>
        <v>24380.83</v>
      </c>
      <c r="P21" s="93">
        <f t="shared" si="3"/>
        <v>0</v>
      </c>
      <c r="Q21" s="93">
        <v>161821</v>
      </c>
      <c r="R21" s="93"/>
      <c r="S21" s="99"/>
      <c r="T21" s="100"/>
      <c r="U21" s="101">
        <f t="shared" si="4"/>
        <v>63899.53</v>
      </c>
      <c r="V21" s="102">
        <f t="shared" si="5"/>
        <v>380.64675324675324</v>
      </c>
      <c r="W21" s="101" t="s">
        <v>92</v>
      </c>
      <c r="X21" s="101"/>
      <c r="Y21" s="101" t="s">
        <v>108</v>
      </c>
      <c r="Z21" s="101" t="s">
        <v>103</v>
      </c>
      <c r="AA21" s="103" t="s">
        <v>106</v>
      </c>
      <c r="AB21" s="91" t="str">
        <f t="shared" si="6"/>
        <v>12/2023</v>
      </c>
      <c r="AC21" s="108"/>
      <c r="AD21" s="108"/>
      <c r="AE21" s="108"/>
    </row>
    <row r="22" spans="1:31" ht="14.25" customHeight="1" x14ac:dyDescent="0.3">
      <c r="A22" s="89" t="s">
        <v>131</v>
      </c>
      <c r="B22" s="106" t="s">
        <v>91</v>
      </c>
      <c r="C22" s="142">
        <v>45247</v>
      </c>
      <c r="D22" s="91">
        <v>45289</v>
      </c>
      <c r="E22" s="107">
        <f t="shared" si="0"/>
        <v>42</v>
      </c>
      <c r="F22" s="93">
        <v>167500</v>
      </c>
      <c r="G22" s="93">
        <v>11581.92</v>
      </c>
      <c r="H22" s="94">
        <f>(HLOOKUP(A22,'[1]P&amp;L'!$A$5:$ER$194,22,FALSE)-(HLOOKUP(A22,'[1]P&amp;L'!$A$5:$ER$235,4,FALSE)-(HLOOKUP(A22,'[1]P&amp;L'!$A$5:$ER$235,24,FALSE)+(HLOOKUP(A22,'[1]P&amp;L'!$A$5:$ER$235,26,FALSE)+(HLOOKUP(A22,'[1]P&amp;L'!$A$5:$ER$235,27,FALSE))))))</f>
        <v>-4946.53</v>
      </c>
      <c r="I22" s="93">
        <v>33500</v>
      </c>
      <c r="J22" s="93">
        <f>HLOOKUP(A22,'[1]P&amp;L'!$A$5:$ER$194,25,0)</f>
        <v>1740.27</v>
      </c>
      <c r="K22" s="96">
        <f t="shared" si="1"/>
        <v>175875.66</v>
      </c>
      <c r="L22" s="97">
        <f>HLOOKUP(A22,'[1]P&amp;L'!$A$5:$ER$194,8,0)</f>
        <v>200000</v>
      </c>
      <c r="M22" s="96">
        <f>(HLOOKUP(A22,'[1]P&amp;L'!$A$5:$ER$194,23,FALSE)-G22)</f>
        <v>13978.999999999998</v>
      </c>
      <c r="N22" s="98">
        <f t="shared" si="2"/>
        <v>10145.339999999997</v>
      </c>
      <c r="O22" s="93">
        <f>HLOOKUP(A22,'[1]P&amp;L'!$A$5:$ER$194,176,0)</f>
        <v>10145.34</v>
      </c>
      <c r="P22" s="93">
        <f t="shared" si="3"/>
        <v>0</v>
      </c>
      <c r="Q22" s="93">
        <v>167500</v>
      </c>
      <c r="R22" s="93"/>
      <c r="S22" s="99"/>
      <c r="T22" s="100"/>
      <c r="U22" s="101">
        <f t="shared" si="4"/>
        <v>18521</v>
      </c>
      <c r="V22" s="102">
        <f t="shared" si="5"/>
        <v>41.435000000000002</v>
      </c>
      <c r="W22" s="101" t="s">
        <v>92</v>
      </c>
      <c r="X22" s="101"/>
      <c r="Y22" s="101" t="s">
        <v>102</v>
      </c>
      <c r="Z22" s="101" t="s">
        <v>132</v>
      </c>
      <c r="AA22" s="103" t="s">
        <v>113</v>
      </c>
      <c r="AB22" s="91" t="str">
        <f t="shared" si="6"/>
        <v>12/2023</v>
      </c>
      <c r="AC22" s="108"/>
      <c r="AD22" s="108"/>
      <c r="AE22" s="108"/>
    </row>
    <row r="23" spans="1:31" ht="14.25" customHeight="1" x14ac:dyDescent="0.3">
      <c r="A23" s="89" t="s">
        <v>133</v>
      </c>
      <c r="B23" s="106" t="s">
        <v>91</v>
      </c>
      <c r="C23" s="142">
        <v>45065</v>
      </c>
      <c r="D23" s="91">
        <v>45302</v>
      </c>
      <c r="E23" s="107">
        <f t="shared" si="0"/>
        <v>237</v>
      </c>
      <c r="F23" s="93">
        <v>111000</v>
      </c>
      <c r="G23" s="93">
        <v>9947.0300000000007</v>
      </c>
      <c r="H23" s="94">
        <f>(HLOOKUP(A23,'[1]P&amp;L'!$A$5:$ER$194,22,FALSE)-(HLOOKUP(A23,'[1]P&amp;L'!$A$5:$ER$235,4,FALSE)-(HLOOKUP(A23,'[1]P&amp;L'!$A$5:$ER$235,24,FALSE)+(HLOOKUP(A23,'[1]P&amp;L'!$A$5:$ER$235,26,FALSE)+(HLOOKUP(A23,'[1]P&amp;L'!$A$5:$ER$235,27,FALSE))))))</f>
        <v>14691.02</v>
      </c>
      <c r="I23" s="93">
        <v>65100</v>
      </c>
      <c r="J23" s="93">
        <f>HLOOKUP(A23,'[1]P&amp;L'!$A$5:$ER$194,25,0)</f>
        <v>94318.66</v>
      </c>
      <c r="K23" s="96">
        <f t="shared" si="1"/>
        <v>229956.71</v>
      </c>
      <c r="L23" s="97">
        <f>HLOOKUP(A23,'[1]P&amp;L'!$A$5:$ER$194,8,0)</f>
        <v>280000</v>
      </c>
      <c r="M23" s="96">
        <f>(HLOOKUP(A23,'[1]P&amp;L'!$A$5:$ER$194,23,FALSE)-G23)</f>
        <v>11463.88</v>
      </c>
      <c r="N23" s="98">
        <f t="shared" si="2"/>
        <v>38579.410000000003</v>
      </c>
      <c r="O23" s="93">
        <f>HLOOKUP(A23,'[1]P&amp;L'!$A$5:$ER$194,176,0)</f>
        <v>38577.910000000003</v>
      </c>
      <c r="P23" s="93">
        <f t="shared" si="3"/>
        <v>1.5</v>
      </c>
      <c r="Q23" s="93">
        <v>175100</v>
      </c>
      <c r="R23" s="93"/>
      <c r="S23" s="99"/>
      <c r="T23" s="100"/>
      <c r="U23" s="101">
        <f t="shared" si="4"/>
        <v>93436.12</v>
      </c>
      <c r="V23" s="102">
        <f t="shared" si="5"/>
        <v>397.96902953586499</v>
      </c>
      <c r="W23" s="101" t="s">
        <v>92</v>
      </c>
      <c r="X23" s="101"/>
      <c r="Y23" s="101" t="s">
        <v>108</v>
      </c>
      <c r="Z23" s="101" t="s">
        <v>103</v>
      </c>
      <c r="AA23" s="103" t="s">
        <v>113</v>
      </c>
      <c r="AB23" s="91" t="str">
        <f t="shared" si="6"/>
        <v>01/2024</v>
      </c>
      <c r="AC23" s="108"/>
      <c r="AD23" s="108"/>
      <c r="AE23" s="108"/>
    </row>
    <row r="24" spans="1:31" ht="14.25" customHeight="1" x14ac:dyDescent="0.3">
      <c r="A24" s="89" t="s">
        <v>134</v>
      </c>
      <c r="B24" s="106" t="s">
        <v>91</v>
      </c>
      <c r="C24" s="142">
        <v>45187</v>
      </c>
      <c r="D24" s="91">
        <v>45310</v>
      </c>
      <c r="E24" s="107">
        <f t="shared" si="0"/>
        <v>123</v>
      </c>
      <c r="F24" s="93">
        <v>158000</v>
      </c>
      <c r="G24" s="93">
        <v>11174.29</v>
      </c>
      <c r="H24" s="94">
        <f>(HLOOKUP(A24,'[1]P&amp;L'!$A$5:$ER$194,22,FALSE)-(HLOOKUP(A24,'[1]P&amp;L'!$A$5:$ER$235,4,FALSE)-(HLOOKUP(A24,'[1]P&amp;L'!$A$5:$ER$235,24,FALSE)+(HLOOKUP(A24,'[1]P&amp;L'!$A$5:$ER$235,26,FALSE)+(HLOOKUP(A24,'[1]P&amp;L'!$A$5:$ER$235,27,FALSE))))))</f>
        <v>7063.3899999999994</v>
      </c>
      <c r="I24" s="93">
        <v>60000</v>
      </c>
      <c r="J24" s="93">
        <f>HLOOKUP(A24,'[1]P&amp;L'!$A$5:$ER$194,25,0)</f>
        <v>55682.52</v>
      </c>
      <c r="K24" s="96">
        <f t="shared" si="1"/>
        <v>231920.19999999998</v>
      </c>
      <c r="L24" s="97">
        <f>HLOOKUP(A24,'[1]P&amp;L'!$A$5:$ER$194,8,0)</f>
        <v>269000</v>
      </c>
      <c r="M24" s="96">
        <f>(HLOOKUP(A24,'[1]P&amp;L'!$A$5:$ER$194,23,FALSE)-G24)</f>
        <v>17581.309999999998</v>
      </c>
      <c r="N24" s="98">
        <f t="shared" si="2"/>
        <v>19498.49000000002</v>
      </c>
      <c r="O24" s="93">
        <f>HLOOKUP(A24,'[1]P&amp;L'!$A$5:$ER$194,176,0)</f>
        <v>19498.490000000002</v>
      </c>
      <c r="P24" s="93">
        <f t="shared" si="3"/>
        <v>0</v>
      </c>
      <c r="Q24" s="93">
        <v>218000</v>
      </c>
      <c r="R24" s="93"/>
      <c r="S24" s="99"/>
      <c r="T24" s="100"/>
      <c r="U24" s="101">
        <f t="shared" si="4"/>
        <v>33418.69</v>
      </c>
      <c r="V24" s="102">
        <f t="shared" si="5"/>
        <v>452.70341463414633</v>
      </c>
      <c r="W24" s="101" t="s">
        <v>92</v>
      </c>
      <c r="X24" s="101"/>
      <c r="Y24" s="101" t="s">
        <v>135</v>
      </c>
      <c r="Z24" s="101" t="s">
        <v>125</v>
      </c>
      <c r="AA24" s="103" t="s">
        <v>136</v>
      </c>
      <c r="AB24" s="91" t="str">
        <f t="shared" si="6"/>
        <v>01/2024</v>
      </c>
      <c r="AC24" s="108"/>
      <c r="AD24" s="108"/>
      <c r="AE24" s="108"/>
    </row>
    <row r="25" spans="1:31" ht="14.25" customHeight="1" x14ac:dyDescent="0.3">
      <c r="A25" s="89" t="s">
        <v>137</v>
      </c>
      <c r="B25" s="109" t="s">
        <v>91</v>
      </c>
      <c r="C25" s="142">
        <v>45148</v>
      </c>
      <c r="D25" s="91">
        <v>45314</v>
      </c>
      <c r="E25" s="107">
        <f t="shared" si="0"/>
        <v>166</v>
      </c>
      <c r="F25" s="93">
        <v>378500</v>
      </c>
      <c r="G25" s="93">
        <v>11685.85</v>
      </c>
      <c r="H25" s="94">
        <f>(HLOOKUP(A25,'[1]P&amp;L'!$A$5:$ER$194,22,FALSE)-(HLOOKUP(A25,'[1]P&amp;L'!$A$5:$ER$235,4,FALSE)-(HLOOKUP(A25,'[1]P&amp;L'!$A$5:$ER$235,24,FALSE)+(HLOOKUP(A25,'[1]P&amp;L'!$A$5:$ER$235,26,FALSE)+(HLOOKUP(A25,'[1]P&amp;L'!$A$5:$ER$235,27,FALSE))))))</f>
        <v>28281.3</v>
      </c>
      <c r="I25" s="93">
        <v>54200</v>
      </c>
      <c r="J25" s="93">
        <f>HLOOKUP(A25,'[1]P&amp;L'!$A$5:$ER$194,25,0)</f>
        <v>81752.67</v>
      </c>
      <c r="K25" s="96">
        <f t="shared" si="1"/>
        <v>500219.81999999995</v>
      </c>
      <c r="L25" s="97">
        <f>HLOOKUP(A25,'[1]P&amp;L'!$A$5:$ER$194,8,0)</f>
        <v>631000</v>
      </c>
      <c r="M25" s="96">
        <f>(HLOOKUP(A25,'[1]P&amp;L'!$A$5:$ER$194,23,FALSE)-G25)</f>
        <v>27765.14</v>
      </c>
      <c r="N25" s="98">
        <f t="shared" si="2"/>
        <v>103015.04000000004</v>
      </c>
      <c r="O25" s="93">
        <f>HLOOKUP(A25,'[1]P&amp;L'!$A$5:$ER$194,176,0)</f>
        <v>103015.03999999999</v>
      </c>
      <c r="P25" s="93">
        <f t="shared" si="3"/>
        <v>0</v>
      </c>
      <c r="Q25" s="93">
        <v>432700</v>
      </c>
      <c r="R25" s="93"/>
      <c r="S25" s="99"/>
      <c r="T25" s="100"/>
      <c r="U25" s="101">
        <f t="shared" si="4"/>
        <v>170534.86</v>
      </c>
      <c r="V25" s="102">
        <f t="shared" si="5"/>
        <v>492.48596385542169</v>
      </c>
      <c r="W25" s="101" t="s">
        <v>92</v>
      </c>
      <c r="X25" s="101"/>
      <c r="Y25" s="101" t="s">
        <v>138</v>
      </c>
      <c r="Z25" s="101" t="s">
        <v>103</v>
      </c>
      <c r="AA25" s="103" t="s">
        <v>139</v>
      </c>
      <c r="AB25" s="91" t="str">
        <f t="shared" si="6"/>
        <v>01/2024</v>
      </c>
      <c r="AC25" s="108"/>
      <c r="AD25" s="108"/>
      <c r="AE25" s="108"/>
    </row>
    <row r="26" spans="1:31" ht="14.25" customHeight="1" x14ac:dyDescent="0.3">
      <c r="A26" s="89" t="s">
        <v>140</v>
      </c>
      <c r="B26" s="106" t="s">
        <v>91</v>
      </c>
      <c r="C26" s="142">
        <v>45009</v>
      </c>
      <c r="D26" s="91">
        <v>45324</v>
      </c>
      <c r="E26" s="107">
        <f t="shared" si="0"/>
        <v>315</v>
      </c>
      <c r="F26" s="93">
        <v>237000</v>
      </c>
      <c r="G26" s="93">
        <v>17995.259999999998</v>
      </c>
      <c r="H26" s="94">
        <f>(HLOOKUP(A26,'[1]P&amp;L'!$A$5:$ER$194,22,FALSE)-(HLOOKUP(A26,'[1]P&amp;L'!$A$5:$ER$235,4,FALSE)-(HLOOKUP(A26,'[1]P&amp;L'!$A$5:$ER$235,24,FALSE)+(HLOOKUP(A26,'[1]P&amp;L'!$A$5:$ER$235,26,FALSE)+(HLOOKUP(A26,'[1]P&amp;L'!$A$5:$ER$235,27,FALSE))))))</f>
        <v>21540.07</v>
      </c>
      <c r="I26" s="93">
        <v>35100</v>
      </c>
      <c r="J26" s="93">
        <f>HLOOKUP(A26,'[1]P&amp;L'!$A$5:$ER$194,25,0)</f>
        <v>63228.85</v>
      </c>
      <c r="K26" s="96">
        <f t="shared" si="1"/>
        <v>339764.18</v>
      </c>
      <c r="L26" s="97">
        <f>HLOOKUP(A26,'[1]P&amp;L'!$A$5:$ER$194,8,0)</f>
        <v>360000</v>
      </c>
      <c r="M26" s="96">
        <f>(HLOOKUP(A26,'[1]P&amp;L'!$A$5:$ER$194,23,FALSE)-G26)</f>
        <v>35329.380000000005</v>
      </c>
      <c r="N26" s="96">
        <f>L26-M26-K26</f>
        <v>-15093.559999999998</v>
      </c>
      <c r="O26" s="93">
        <f>HLOOKUP(A26,'[1]P&amp;L'!$A$5:$ER$194,176,0)</f>
        <v>-15693.56</v>
      </c>
      <c r="P26" s="93">
        <f t="shared" si="3"/>
        <v>600.00000000000182</v>
      </c>
      <c r="Q26" s="93"/>
      <c r="R26" s="93"/>
      <c r="S26" s="99"/>
      <c r="T26" s="100"/>
      <c r="U26" s="101">
        <f t="shared" si="4"/>
        <v>324670.62</v>
      </c>
      <c r="V26" s="102">
        <f t="shared" si="5"/>
        <v>200.72650793650794</v>
      </c>
      <c r="W26" s="101" t="s">
        <v>92</v>
      </c>
      <c r="X26" s="101"/>
      <c r="Y26" s="101" t="s">
        <v>102</v>
      </c>
      <c r="Z26" s="101" t="s">
        <v>103</v>
      </c>
      <c r="AA26" s="103" t="s">
        <v>141</v>
      </c>
      <c r="AB26" s="91" t="str">
        <f t="shared" si="6"/>
        <v>02/2024</v>
      </c>
      <c r="AC26" s="108"/>
      <c r="AD26" s="108"/>
      <c r="AE26" s="108"/>
    </row>
    <row r="27" spans="1:31" ht="14.25" customHeight="1" x14ac:dyDescent="0.3">
      <c r="A27" s="89" t="s">
        <v>142</v>
      </c>
      <c r="B27" s="106" t="s">
        <v>91</v>
      </c>
      <c r="C27" s="142">
        <v>45226</v>
      </c>
      <c r="D27" s="91">
        <v>45351</v>
      </c>
      <c r="E27" s="107">
        <f t="shared" si="0"/>
        <v>125</v>
      </c>
      <c r="F27" s="93">
        <v>248500</v>
      </c>
      <c r="G27" s="93">
        <v>16013.58</v>
      </c>
      <c r="H27" s="94">
        <f>(HLOOKUP(A27,'[1]P&amp;L'!$A$5:$ER$194,22,FALSE)-(HLOOKUP(A27,'[1]P&amp;L'!$A$5:$ER$235,4,FALSE)-(HLOOKUP(A27,'[1]P&amp;L'!$A$5:$ER$235,24,FALSE)+(HLOOKUP(A27,'[1]P&amp;L'!$A$5:$ER$235,26,FALSE)+(HLOOKUP(A27,'[1]P&amp;L'!$A$5:$ER$235,27,FALSE))))))</f>
        <v>19215.37</v>
      </c>
      <c r="I27" s="93">
        <v>45000</v>
      </c>
      <c r="J27" s="93">
        <f>HLOOKUP(A27,'[1]P&amp;L'!$A$5:$ER$194,25,0)</f>
        <v>83565.31</v>
      </c>
      <c r="K27" s="96">
        <f t="shared" si="1"/>
        <v>367294.26</v>
      </c>
      <c r="L27" s="97">
        <f>HLOOKUP(A27,'[1]P&amp;L'!$A$5:$ER$194,8,0)</f>
        <v>399000</v>
      </c>
      <c r="M27" s="96">
        <f>(HLOOKUP(A27,'[1]P&amp;L'!$A$5:$ER$194,23,FALSE)-G27)</f>
        <v>18753.599999999999</v>
      </c>
      <c r="N27" s="98">
        <f t="shared" si="2"/>
        <v>12952.140000000014</v>
      </c>
      <c r="O27" s="93">
        <f>HLOOKUP(A27,'[1]P&amp;L'!$A$5:$ER$194,176,0)</f>
        <v>12952.14</v>
      </c>
      <c r="P27" s="93">
        <f t="shared" si="3"/>
        <v>1.4551915228366852E-11</v>
      </c>
      <c r="Q27" s="93">
        <v>293500</v>
      </c>
      <c r="R27" s="93"/>
      <c r="S27" s="99"/>
      <c r="T27" s="100"/>
      <c r="U27" s="101">
        <f t="shared" si="4"/>
        <v>86746.400000000023</v>
      </c>
      <c r="V27" s="102">
        <f t="shared" si="5"/>
        <v>668.52247999999997</v>
      </c>
      <c r="W27" s="101" t="s">
        <v>92</v>
      </c>
      <c r="X27" s="101"/>
      <c r="Y27" s="101" t="s">
        <v>102</v>
      </c>
      <c r="Z27" s="101" t="s">
        <v>125</v>
      </c>
      <c r="AA27" s="103" t="s">
        <v>113</v>
      </c>
      <c r="AB27" s="91" t="str">
        <f t="shared" si="6"/>
        <v>02/2024</v>
      </c>
      <c r="AC27" s="108"/>
      <c r="AD27" s="108"/>
      <c r="AE27" s="108"/>
    </row>
    <row r="28" spans="1:31" ht="14.25" customHeight="1" x14ac:dyDescent="0.3">
      <c r="A28" s="89" t="s">
        <v>143</v>
      </c>
      <c r="B28" s="106" t="s">
        <v>91</v>
      </c>
      <c r="C28" s="142">
        <v>45211</v>
      </c>
      <c r="D28" s="91">
        <v>45366</v>
      </c>
      <c r="E28" s="107">
        <f t="shared" si="0"/>
        <v>155</v>
      </c>
      <c r="F28" s="93">
        <v>162100</v>
      </c>
      <c r="G28" s="93">
        <v>13082.04</v>
      </c>
      <c r="H28" s="94">
        <f>(HLOOKUP(A28,'[1]P&amp;L'!$A$5:$ER$194,22,FALSE)-(HLOOKUP(A28,'[1]P&amp;L'!$A$5:$ER$235,4,FALSE)-(HLOOKUP(A28,'[1]P&amp;L'!$A$5:$ER$235,24,FALSE)+(HLOOKUP(A28,'[1]P&amp;L'!$A$5:$ER$235,26,FALSE)+(HLOOKUP(A28,'[1]P&amp;L'!$A$5:$ER$235,27,FALSE))))))</f>
        <v>11814.61</v>
      </c>
      <c r="I28" s="93">
        <v>35000</v>
      </c>
      <c r="J28" s="93">
        <f>HLOOKUP(A28,'[1]P&amp;L'!$A$5:$ER$194,25,0)</f>
        <v>37554.75</v>
      </c>
      <c r="K28" s="96">
        <f t="shared" si="1"/>
        <v>224551.40000000002</v>
      </c>
      <c r="L28" s="97">
        <f>HLOOKUP(A28,'[1]P&amp;L'!$A$5:$ER$194,8,0)</f>
        <v>259000</v>
      </c>
      <c r="M28" s="96">
        <f>(HLOOKUP(A28,'[1]P&amp;L'!$A$5:$ER$194,23,FALSE)-G28)</f>
        <v>11245.43</v>
      </c>
      <c r="N28" s="98">
        <f t="shared" si="2"/>
        <v>23203.169999999984</v>
      </c>
      <c r="O28" s="93">
        <f>HLOOKUP(A28,'[1]P&amp;L'!$A$5:$ER$194,176,0)</f>
        <v>23203.17</v>
      </c>
      <c r="P28" s="93">
        <f t="shared" si="3"/>
        <v>0</v>
      </c>
      <c r="Q28" s="93">
        <v>197100</v>
      </c>
      <c r="R28" s="93"/>
      <c r="S28" s="99"/>
      <c r="T28" s="100"/>
      <c r="U28" s="101">
        <f t="shared" si="4"/>
        <v>50654.570000000007</v>
      </c>
      <c r="V28" s="102">
        <f t="shared" si="5"/>
        <v>242.28870967741935</v>
      </c>
      <c r="W28" s="101" t="s">
        <v>92</v>
      </c>
      <c r="X28" s="101"/>
      <c r="Y28" s="101" t="s">
        <v>144</v>
      </c>
      <c r="Z28" s="101" t="s">
        <v>121</v>
      </c>
      <c r="AA28" s="103" t="s">
        <v>113</v>
      </c>
      <c r="AB28" s="91" t="str">
        <f t="shared" si="6"/>
        <v>03/2024</v>
      </c>
      <c r="AC28" s="108"/>
      <c r="AD28" s="108"/>
      <c r="AE28" s="108"/>
    </row>
    <row r="29" spans="1:31" ht="14.25" customHeight="1" x14ac:dyDescent="0.3">
      <c r="A29" s="89" t="s">
        <v>145</v>
      </c>
      <c r="B29" s="106" t="s">
        <v>91</v>
      </c>
      <c r="C29" s="142">
        <v>44743</v>
      </c>
      <c r="D29" s="91">
        <v>45380</v>
      </c>
      <c r="E29" s="107">
        <f t="shared" si="0"/>
        <v>637</v>
      </c>
      <c r="F29" s="93">
        <v>65000</v>
      </c>
      <c r="G29" s="93">
        <v>3160.35</v>
      </c>
      <c r="H29" s="94">
        <f>(HLOOKUP(A29,'[1]P&amp;L'!$A$5:$ER$194,22,FALSE)-(HLOOKUP(A29,'[1]P&amp;L'!$A$5:$ER$235,4,FALSE)-(HLOOKUP(A29,'[1]P&amp;L'!$A$5:$ER$235,24,FALSE)+(HLOOKUP(A29,'[1]P&amp;L'!$A$5:$ER$235,26,FALSE)+(HLOOKUP(A29,'[1]P&amp;L'!$A$5:$ER$235,27,FALSE))))))</f>
        <v>25133.43</v>
      </c>
      <c r="I29" s="110"/>
      <c r="J29" s="93">
        <f>HLOOKUP(A29,'[1]P&amp;L'!$A$5:$ER$194,25,0)</f>
        <v>0</v>
      </c>
      <c r="K29" s="96">
        <f t="shared" si="1"/>
        <v>93293.78</v>
      </c>
      <c r="L29" s="97">
        <f>HLOOKUP(A29,'[1]P&amp;L'!$A$5:$ER$194,8,0)</f>
        <v>75000</v>
      </c>
      <c r="M29" s="96">
        <f>(HLOOKUP(A29,'[1]P&amp;L'!$A$5:$ER$194,23,FALSE)-G29)</f>
        <v>5113.4400000000005</v>
      </c>
      <c r="N29" s="96">
        <f>L29-M29-K29</f>
        <v>-23407.22</v>
      </c>
      <c r="O29" s="93">
        <f>HLOOKUP(A29,'[1]P&amp;L'!$A$5:$ER$194,176,0)</f>
        <v>-23407.22</v>
      </c>
      <c r="P29" s="93">
        <f t="shared" si="3"/>
        <v>0</v>
      </c>
      <c r="Q29" s="93">
        <v>0</v>
      </c>
      <c r="R29" s="93"/>
      <c r="S29" s="99"/>
      <c r="T29" s="100"/>
      <c r="U29" s="101">
        <f t="shared" si="4"/>
        <v>69886.559999999998</v>
      </c>
      <c r="V29" s="102">
        <f t="shared" si="5"/>
        <v>0</v>
      </c>
      <c r="W29" s="101" t="s">
        <v>92</v>
      </c>
      <c r="X29" s="101"/>
      <c r="Y29" s="101" t="s">
        <v>112</v>
      </c>
      <c r="Z29" s="101" t="s">
        <v>132</v>
      </c>
      <c r="AA29" s="103" t="s">
        <v>146</v>
      </c>
      <c r="AB29" s="91" t="str">
        <f t="shared" si="6"/>
        <v>03/2024</v>
      </c>
      <c r="AC29" s="108"/>
      <c r="AD29" s="108"/>
      <c r="AE29" s="108"/>
    </row>
    <row r="30" spans="1:31" ht="14.25" customHeight="1" x14ac:dyDescent="0.3">
      <c r="A30" s="89" t="s">
        <v>147</v>
      </c>
      <c r="B30" s="106" t="s">
        <v>91</v>
      </c>
      <c r="C30" s="142">
        <v>45266</v>
      </c>
      <c r="D30" s="91">
        <v>45431</v>
      </c>
      <c r="E30" s="107">
        <f t="shared" si="0"/>
        <v>165</v>
      </c>
      <c r="F30" s="93">
        <v>173000</v>
      </c>
      <c r="G30" s="93">
        <v>26637.93</v>
      </c>
      <c r="H30" s="94">
        <f>(HLOOKUP(A30,'[1]P&amp;L'!$A$5:$ER$194,22,FALSE)-(HLOOKUP(A30,'[1]P&amp;L'!$A$5:$ER$235,4,FALSE)-(HLOOKUP(A30,'[1]P&amp;L'!$A$5:$ER$235,24,FALSE)+(HLOOKUP(A30,'[1]P&amp;L'!$A$5:$ER$235,26,FALSE)+(HLOOKUP(A30,'[1]P&amp;L'!$A$5:$ER$235,27,FALSE))))))</f>
        <v>22798.410000000003</v>
      </c>
      <c r="I30" s="93">
        <v>22000</v>
      </c>
      <c r="J30" s="93">
        <f>HLOOKUP(A30,'[1]P&amp;L'!$A$5:$ER$194,25,0)</f>
        <v>30315.47</v>
      </c>
      <c r="K30" s="96">
        <f t="shared" si="1"/>
        <v>252751.81</v>
      </c>
      <c r="L30" s="97">
        <f>HLOOKUP(A30,'[1]P&amp;L'!$A$5:$ER$194,8,0)</f>
        <v>315000</v>
      </c>
      <c r="M30" s="96">
        <f>(HLOOKUP(A30,'[1]P&amp;L'!$A$5:$ER$194,23,FALSE)-G30)</f>
        <v>14090.669999999998</v>
      </c>
      <c r="N30" s="98">
        <f t="shared" si="2"/>
        <v>48157.520000000019</v>
      </c>
      <c r="O30" s="93">
        <f>HLOOKUP(A30,'[1]P&amp;L'!$A$5:$ER$194,176,0)</f>
        <v>48157.52</v>
      </c>
      <c r="P30" s="93">
        <f t="shared" si="3"/>
        <v>0</v>
      </c>
      <c r="Q30" s="93">
        <v>78300</v>
      </c>
      <c r="R30" s="93"/>
      <c r="S30" s="99"/>
      <c r="T30" s="100"/>
      <c r="U30" s="101">
        <f t="shared" si="4"/>
        <v>222609.33000000002</v>
      </c>
      <c r="V30" s="102">
        <f t="shared" si="5"/>
        <v>183.73012121212122</v>
      </c>
      <c r="W30" s="101" t="s">
        <v>92</v>
      </c>
      <c r="X30" s="101"/>
      <c r="Y30" s="101" t="s">
        <v>102</v>
      </c>
      <c r="Z30" s="101" t="s">
        <v>148</v>
      </c>
      <c r="AA30" s="103" t="s">
        <v>139</v>
      </c>
      <c r="AB30" s="91" t="str">
        <f t="shared" si="6"/>
        <v>05/2024</v>
      </c>
      <c r="AC30" s="108"/>
      <c r="AD30" s="108"/>
      <c r="AE30" s="108"/>
    </row>
    <row r="31" spans="1:31" ht="14.25" customHeight="1" x14ac:dyDescent="0.3">
      <c r="A31" s="89" t="s">
        <v>149</v>
      </c>
      <c r="B31" s="106" t="s">
        <v>91</v>
      </c>
      <c r="C31" s="142">
        <v>45279</v>
      </c>
      <c r="D31" s="91">
        <v>45434</v>
      </c>
      <c r="E31" s="107">
        <f t="shared" si="0"/>
        <v>155</v>
      </c>
      <c r="F31" s="93">
        <v>150000</v>
      </c>
      <c r="G31" s="93">
        <v>8780.91</v>
      </c>
      <c r="H31" s="94">
        <f>(HLOOKUP(A31,'[1]P&amp;L'!$A$5:$ER$194,22,FALSE)-(HLOOKUP(A31,'[1]P&amp;L'!$A$5:$ER$235,4,FALSE)-(HLOOKUP(A31,'[1]P&amp;L'!$A$5:$ER$235,24,FALSE)+(HLOOKUP(A31,'[1]P&amp;L'!$A$5:$ER$235,26,FALSE)+(HLOOKUP(A31,'[1]P&amp;L'!$A$5:$ER$235,27,FALSE))))))</f>
        <v>22201.09</v>
      </c>
      <c r="I31" s="93">
        <v>40000</v>
      </c>
      <c r="J31" s="93">
        <f>HLOOKUP(A31,'[1]P&amp;L'!$A$5:$ER$194,25,0)</f>
        <v>23107.73</v>
      </c>
      <c r="K31" s="96">
        <f t="shared" si="1"/>
        <v>204089.73</v>
      </c>
      <c r="L31" s="97">
        <f>HLOOKUP(A31,'[1]P&amp;L'!$A$5:$ER$194,8,0)</f>
        <v>234900</v>
      </c>
      <c r="M31" s="96">
        <f>(HLOOKUP(A31,'[1]P&amp;L'!$A$5:$ER$194,23,FALSE)-G31)</f>
        <v>10860.2</v>
      </c>
      <c r="N31" s="98">
        <f t="shared" si="2"/>
        <v>19950.069999999978</v>
      </c>
      <c r="O31" s="93">
        <f>HLOOKUP(A31,'[1]P&amp;L'!$A$5:$ER$194,176,0)</f>
        <v>19952.54</v>
      </c>
      <c r="P31" s="93">
        <f t="shared" si="3"/>
        <v>-2.470000000022992</v>
      </c>
      <c r="Q31" s="93">
        <v>176839</v>
      </c>
      <c r="R31" s="93"/>
      <c r="S31" s="99"/>
      <c r="T31" s="100"/>
      <c r="U31" s="101">
        <f t="shared" si="4"/>
        <v>47200.799999999988</v>
      </c>
      <c r="V31" s="102">
        <f t="shared" si="5"/>
        <v>149.08212903225805</v>
      </c>
      <c r="W31" s="101" t="s">
        <v>92</v>
      </c>
      <c r="X31" s="101"/>
      <c r="Y31" s="101" t="s">
        <v>144</v>
      </c>
      <c r="Z31" s="101" t="s">
        <v>103</v>
      </c>
      <c r="AA31" s="103" t="s">
        <v>150</v>
      </c>
      <c r="AB31" s="91" t="str">
        <f t="shared" si="6"/>
        <v>05/2024</v>
      </c>
      <c r="AC31" s="108"/>
      <c r="AD31" s="108"/>
      <c r="AE31" s="108"/>
    </row>
    <row r="32" spans="1:31" ht="14.25" customHeight="1" x14ac:dyDescent="0.3">
      <c r="A32" s="89" t="s">
        <v>151</v>
      </c>
      <c r="B32" s="106" t="s">
        <v>91</v>
      </c>
      <c r="C32" s="142">
        <v>45369</v>
      </c>
      <c r="D32" s="91">
        <v>45441</v>
      </c>
      <c r="E32" s="107">
        <f t="shared" si="0"/>
        <v>72</v>
      </c>
      <c r="F32" s="93">
        <v>373500</v>
      </c>
      <c r="G32" s="93">
        <v>19743.25</v>
      </c>
      <c r="H32" s="94">
        <f>(HLOOKUP(A32,'[1]P&amp;L'!$A$5:$ER$194,22,FALSE)-(HLOOKUP(A32,'[1]P&amp;L'!$A$5:$ER$235,4,FALSE)-(HLOOKUP(A32,'[1]P&amp;L'!$A$5:$ER$235,24,FALSE)+(HLOOKUP(A32,'[1]P&amp;L'!$A$5:$ER$235,26,FALSE)+(HLOOKUP(A32,'[1]P&amp;L'!$A$5:$ER$235,27,FALSE))))))</f>
        <v>5090.01</v>
      </c>
      <c r="I32" s="93"/>
      <c r="J32" s="93">
        <f>HLOOKUP(A32,'[1]P&amp;L'!$A$5:$ER$194,25,0)</f>
        <v>39400</v>
      </c>
      <c r="K32" s="96">
        <f t="shared" si="1"/>
        <v>437733.26</v>
      </c>
      <c r="L32" s="97">
        <f>HLOOKUP(A32,'[1]P&amp;L'!$A$5:$ER$194,8,0)</f>
        <v>540000</v>
      </c>
      <c r="M32" s="96">
        <f>(HLOOKUP(A32,'[1]P&amp;L'!$A$5:$ER$194,23,FALSE)-G32)</f>
        <v>27297.660000000003</v>
      </c>
      <c r="N32" s="98">
        <f t="shared" si="2"/>
        <v>74969.079999999958</v>
      </c>
      <c r="O32" s="93">
        <f>HLOOKUP(A32,'[1]P&amp;L'!$A$5:$ER$194,176,0)</f>
        <v>74969.08</v>
      </c>
      <c r="P32" s="93">
        <f t="shared" si="3"/>
        <v>0</v>
      </c>
      <c r="Q32" s="93">
        <v>373500</v>
      </c>
      <c r="R32" s="93"/>
      <c r="S32" s="99"/>
      <c r="T32" s="100"/>
      <c r="U32" s="101">
        <f t="shared" si="4"/>
        <v>139202.33999999997</v>
      </c>
      <c r="V32" s="102">
        <f t="shared" si="5"/>
        <v>547.22222222222217</v>
      </c>
      <c r="W32" s="101" t="s">
        <v>92</v>
      </c>
      <c r="X32" s="101"/>
      <c r="Y32" s="101" t="s">
        <v>124</v>
      </c>
      <c r="Z32" s="101" t="s">
        <v>103</v>
      </c>
      <c r="AA32" s="103" t="s">
        <v>152</v>
      </c>
      <c r="AB32" s="91" t="str">
        <f t="shared" si="6"/>
        <v>05/2024</v>
      </c>
      <c r="AC32" s="108"/>
      <c r="AD32" s="108"/>
      <c r="AE32" s="108"/>
    </row>
    <row r="33" spans="1:31" ht="14.25" customHeight="1" x14ac:dyDescent="0.3">
      <c r="A33" s="89" t="s">
        <v>153</v>
      </c>
      <c r="B33" s="106" t="s">
        <v>91</v>
      </c>
      <c r="C33" s="142">
        <v>45019</v>
      </c>
      <c r="D33" s="91">
        <v>45471</v>
      </c>
      <c r="E33" s="107">
        <f t="shared" si="0"/>
        <v>452</v>
      </c>
      <c r="F33" s="93">
        <v>179500</v>
      </c>
      <c r="G33" s="93">
        <v>17294.72</v>
      </c>
      <c r="H33" s="94">
        <f>(HLOOKUP(A33,'[1]P&amp;L'!$A$5:$ER$194,22,FALSE)-(HLOOKUP(A33,'[1]P&amp;L'!$A$5:$ER$235,4,FALSE)-(HLOOKUP(A33,'[1]P&amp;L'!$A$5:$ER$235,24,FALSE)+(HLOOKUP(A33,'[1]P&amp;L'!$A$5:$ER$235,26,FALSE)+(HLOOKUP(A33,'[1]P&amp;L'!$A$5:$ER$235,27,FALSE))))))</f>
        <v>38674.839999999997</v>
      </c>
      <c r="I33" s="93">
        <v>109200</v>
      </c>
      <c r="J33" s="93">
        <f>HLOOKUP(A33,'[1]P&amp;L'!$A$5:$ER$194,25,0)</f>
        <v>235663.92</v>
      </c>
      <c r="K33" s="96">
        <f t="shared" si="1"/>
        <v>471133.48</v>
      </c>
      <c r="L33" s="97">
        <f>HLOOKUP(A33,'[1]P&amp;L'!$A$5:$ER$194,8,0)</f>
        <v>480000</v>
      </c>
      <c r="M33" s="96">
        <f>(HLOOKUP(A33,'[1]P&amp;L'!$A$5:$ER$194,23,FALSE)-G33)</f>
        <v>19217.86</v>
      </c>
      <c r="N33" s="96">
        <f>L33-M33-K33</f>
        <v>-10351.339999999967</v>
      </c>
      <c r="O33" s="93">
        <f>HLOOKUP(A33,'[1]P&amp;L'!$A$5:$ER$194,176,0)</f>
        <v>-10351.34</v>
      </c>
      <c r="P33" s="93">
        <f t="shared" si="3"/>
        <v>3.2741809263825417E-11</v>
      </c>
      <c r="Q33" s="93">
        <v>285643.59999999998</v>
      </c>
      <c r="R33" s="93"/>
      <c r="S33" s="99"/>
      <c r="T33" s="100"/>
      <c r="U33" s="101">
        <f t="shared" si="4"/>
        <v>175138.54000000004</v>
      </c>
      <c r="V33" s="102">
        <f t="shared" si="5"/>
        <v>521.3803539823009</v>
      </c>
      <c r="W33" s="101" t="s">
        <v>92</v>
      </c>
      <c r="X33" s="101"/>
      <c r="Y33" s="101" t="s">
        <v>102</v>
      </c>
      <c r="Z33" s="101" t="s">
        <v>103</v>
      </c>
      <c r="AA33" s="103" t="s">
        <v>113</v>
      </c>
      <c r="AB33" s="91" t="str">
        <f t="shared" si="6"/>
        <v>06/2024</v>
      </c>
      <c r="AC33" s="108"/>
      <c r="AD33" s="108"/>
      <c r="AE33" s="108"/>
    </row>
    <row r="34" spans="1:31" ht="14.25" customHeight="1" x14ac:dyDescent="0.3">
      <c r="A34" s="89" t="s">
        <v>154</v>
      </c>
      <c r="B34" s="106" t="s">
        <v>91</v>
      </c>
      <c r="C34" s="142">
        <v>45371</v>
      </c>
      <c r="D34" s="91">
        <v>45475</v>
      </c>
      <c r="E34" s="107">
        <f t="shared" si="0"/>
        <v>104</v>
      </c>
      <c r="F34" s="93">
        <v>153000</v>
      </c>
      <c r="G34" s="93">
        <v>26648.51</v>
      </c>
      <c r="H34" s="94">
        <f>(HLOOKUP(A34,'[1]P&amp;L'!$A$5:$ER$194,22,FALSE)-(HLOOKUP(A34,'[1]P&amp;L'!$A$5:$ER$235,4,FALSE)-(HLOOKUP(A34,'[1]P&amp;L'!$A$5:$ER$235,24,FALSE)+(HLOOKUP(A34,'[1]P&amp;L'!$A$5:$ER$235,26,FALSE)+(HLOOKUP(A34,'[1]P&amp;L'!$A$5:$ER$235,27,FALSE))))))</f>
        <v>6552.79</v>
      </c>
      <c r="I34" s="93">
        <v>24900</v>
      </c>
      <c r="J34" s="93">
        <f>HLOOKUP(A34,'[1]P&amp;L'!$A$5:$ER$194,25,0)</f>
        <v>42009.7</v>
      </c>
      <c r="K34" s="96">
        <f t="shared" si="1"/>
        <v>228211</v>
      </c>
      <c r="L34" s="97">
        <f>HLOOKUP(A34,'[1]P&amp;L'!$A$5:$ER$194,8,0)</f>
        <v>260000</v>
      </c>
      <c r="M34" s="96">
        <f>(HLOOKUP(A34,'[1]P&amp;L'!$A$5:$ER$194,23,FALSE)-G34)</f>
        <v>14187.34</v>
      </c>
      <c r="N34" s="98">
        <f t="shared" si="2"/>
        <v>17601.660000000003</v>
      </c>
      <c r="O34" s="93">
        <f>HLOOKUP(A34,'[1]P&amp;L'!$A$5:$ER$194,176,0)</f>
        <v>17601.66</v>
      </c>
      <c r="P34" s="93">
        <f t="shared" si="3"/>
        <v>0</v>
      </c>
      <c r="Q34" s="93">
        <v>194721</v>
      </c>
      <c r="R34" s="93"/>
      <c r="S34" s="99"/>
      <c r="T34" s="100"/>
      <c r="U34" s="101">
        <f t="shared" si="4"/>
        <v>51091.66</v>
      </c>
      <c r="V34" s="102">
        <f t="shared" si="5"/>
        <v>403.93942307692305</v>
      </c>
      <c r="W34" s="101" t="s">
        <v>92</v>
      </c>
      <c r="X34" s="101"/>
      <c r="Y34" s="101" t="s">
        <v>135</v>
      </c>
      <c r="Z34" s="101" t="s">
        <v>155</v>
      </c>
      <c r="AA34" s="103" t="s">
        <v>156</v>
      </c>
      <c r="AB34" s="91" t="str">
        <f t="shared" si="6"/>
        <v>07/2024</v>
      </c>
      <c r="AC34" s="108"/>
      <c r="AD34" s="108"/>
      <c r="AE34" s="108"/>
    </row>
    <row r="35" spans="1:31" ht="14.25" customHeight="1" x14ac:dyDescent="0.3">
      <c r="A35" s="89" t="s">
        <v>157</v>
      </c>
      <c r="B35" s="106" t="s">
        <v>91</v>
      </c>
      <c r="C35" s="142">
        <v>45390</v>
      </c>
      <c r="D35" s="91">
        <v>45492</v>
      </c>
      <c r="E35" s="107">
        <f t="shared" si="0"/>
        <v>102</v>
      </c>
      <c r="F35" s="93">
        <v>307000</v>
      </c>
      <c r="G35" s="93">
        <v>27245.38</v>
      </c>
      <c r="H35" s="94">
        <f>(HLOOKUP(A35,'[1]P&amp;L'!$A$5:$ER$194,22,FALSE)-(HLOOKUP(A35,'[1]P&amp;L'!$A$5:$ER$235,4,FALSE)-(HLOOKUP(A35,'[1]P&amp;L'!$A$5:$ER$235,24,FALSE)+(HLOOKUP(A35,'[1]P&amp;L'!$A$5:$ER$235,26,FALSE)+(HLOOKUP(A35,'[1]P&amp;L'!$A$5:$ER$235,27,FALSE))))))</f>
        <v>4197.5300000000007</v>
      </c>
      <c r="I35" s="93"/>
      <c r="J35" s="93">
        <f>HLOOKUP(A35,'[1]P&amp;L'!$A$5:$ER$194,25,0)</f>
        <v>20115</v>
      </c>
      <c r="K35" s="96">
        <f t="shared" si="1"/>
        <v>358557.91000000003</v>
      </c>
      <c r="L35" s="97">
        <f>HLOOKUP(A35,'[1]P&amp;L'!$A$5:$ER$194,8,0)</f>
        <v>380000</v>
      </c>
      <c r="M35" s="96">
        <f>(HLOOKUP(A35,'[1]P&amp;L'!$A$5:$ER$194,23,FALSE)-G35)</f>
        <v>21172.41</v>
      </c>
      <c r="N35" s="98">
        <f t="shared" si="2"/>
        <v>269.67999999999302</v>
      </c>
      <c r="O35" s="93">
        <f>HLOOKUP(A35,'[1]P&amp;L'!$A$5:$ER$194,176,0)</f>
        <v>160.68</v>
      </c>
      <c r="P35" s="93">
        <f t="shared" si="3"/>
        <v>108.99999999999301</v>
      </c>
      <c r="Q35" s="93">
        <v>270000</v>
      </c>
      <c r="R35" s="93"/>
      <c r="S35" s="99"/>
      <c r="T35" s="100"/>
      <c r="U35" s="101">
        <f t="shared" si="4"/>
        <v>88827.590000000026</v>
      </c>
      <c r="V35" s="102">
        <f t="shared" si="5"/>
        <v>197.20588235294119</v>
      </c>
      <c r="W35" s="101" t="s">
        <v>92</v>
      </c>
      <c r="X35" s="101"/>
      <c r="Y35" s="101" t="s">
        <v>102</v>
      </c>
      <c r="Z35" s="101" t="s">
        <v>158</v>
      </c>
      <c r="AA35" s="103" t="s">
        <v>159</v>
      </c>
      <c r="AB35" s="91" t="str">
        <f t="shared" si="6"/>
        <v>07/2024</v>
      </c>
      <c r="AC35" s="104"/>
      <c r="AD35" s="104"/>
      <c r="AE35" s="104"/>
    </row>
    <row r="36" spans="1:31" ht="14.25" customHeight="1" x14ac:dyDescent="0.3">
      <c r="A36" s="89" t="s">
        <v>160</v>
      </c>
      <c r="B36" s="106" t="s">
        <v>91</v>
      </c>
      <c r="C36" s="142">
        <v>45413</v>
      </c>
      <c r="D36" s="91">
        <v>45502</v>
      </c>
      <c r="E36" s="107">
        <f t="shared" si="0"/>
        <v>89</v>
      </c>
      <c r="F36" s="93">
        <v>160000</v>
      </c>
      <c r="G36" s="93">
        <v>12052.18</v>
      </c>
      <c r="H36" s="94">
        <f>(HLOOKUP(A36,'[1]P&amp;L'!$A$5:$ER$194,22,FALSE)-(HLOOKUP(A36,'[1]P&amp;L'!$A$5:$ER$235,4,FALSE)-(HLOOKUP(A36,'[1]P&amp;L'!$A$5:$ER$235,24,FALSE)+(HLOOKUP(A36,'[1]P&amp;L'!$A$5:$ER$235,26,FALSE)+(HLOOKUP(A36,'[1]P&amp;L'!$A$5:$ER$235,27,FALSE))))))</f>
        <v>8419.2000000000007</v>
      </c>
      <c r="I36" s="93">
        <v>8204.86</v>
      </c>
      <c r="J36" s="93">
        <f>HLOOKUP(A36,'[1]P&amp;L'!$A$5:$ER$194,25,0)</f>
        <v>24707.26</v>
      </c>
      <c r="K36" s="96">
        <f t="shared" si="1"/>
        <v>205178.64</v>
      </c>
      <c r="L36" s="97">
        <f>HLOOKUP(A36,'[1]P&amp;L'!$A$5:$ER$194,8,0)</f>
        <v>259000</v>
      </c>
      <c r="M36" s="96">
        <f>(HLOOKUP(A36,'[1]P&amp;L'!$A$5:$ER$194,23,FALSE)-G36)</f>
        <v>13588.739999999998</v>
      </c>
      <c r="N36" s="98">
        <f t="shared" si="2"/>
        <v>40232.619999999995</v>
      </c>
      <c r="O36" s="93">
        <f>HLOOKUP(A36,'[1]P&amp;L'!$A$5:$ER$194,176,0)</f>
        <v>40657.620000000003</v>
      </c>
      <c r="P36" s="93">
        <f t="shared" si="3"/>
        <v>-425.00000000000728</v>
      </c>
      <c r="Q36" s="93">
        <v>194521</v>
      </c>
      <c r="R36" s="93"/>
      <c r="S36" s="99"/>
      <c r="T36" s="100"/>
      <c r="U36" s="101">
        <f t="shared" si="4"/>
        <v>50890.260000000009</v>
      </c>
      <c r="V36" s="102">
        <f t="shared" si="5"/>
        <v>277.60966292134827</v>
      </c>
      <c r="W36" s="101" t="s">
        <v>92</v>
      </c>
      <c r="X36" s="101"/>
      <c r="Y36" s="101" t="s">
        <v>124</v>
      </c>
      <c r="Z36" s="101" t="s">
        <v>155</v>
      </c>
      <c r="AA36" s="103" t="s">
        <v>161</v>
      </c>
      <c r="AB36" s="91" t="str">
        <f t="shared" si="6"/>
        <v>07/2024</v>
      </c>
      <c r="AC36" s="104"/>
      <c r="AD36" s="104"/>
      <c r="AE36" s="104"/>
    </row>
    <row r="37" spans="1:31" ht="14.25" customHeight="1" x14ac:dyDescent="0.3">
      <c r="A37" s="89" t="s">
        <v>162</v>
      </c>
      <c r="B37" s="106" t="s">
        <v>91</v>
      </c>
      <c r="C37" s="142">
        <v>44957</v>
      </c>
      <c r="D37" s="91"/>
      <c r="E37" s="107">
        <f t="shared" si="0"/>
        <v>-44957</v>
      </c>
      <c r="F37" s="93">
        <v>110000</v>
      </c>
      <c r="G37" s="93">
        <f>10066.32+14140</f>
        <v>24206.32</v>
      </c>
      <c r="H37" s="94">
        <f>(HLOOKUP(A37,'[1]P&amp;L'!$A$5:$ER$194,22,FALSE)-(HLOOKUP(A37,'[1]P&amp;L'!$A$5:$ER$235,4,FALSE)-(HLOOKUP(A37,'[1]P&amp;L'!$A$5:$ER$235,24,FALSE)+(HLOOKUP(A37,'[1]P&amp;L'!$A$5:$ER$235,26,FALSE)+(HLOOKUP(A37,'[1]P&amp;L'!$A$5:$ER$235,27,FALSE))))))</f>
        <v>13928.579999999998</v>
      </c>
      <c r="I37" s="93"/>
      <c r="J37" s="93">
        <f>HLOOKUP(A37,'[1]P&amp;L'!$A$5:$ER$194,25,0)</f>
        <v>49904.23</v>
      </c>
      <c r="K37" s="96">
        <f t="shared" si="1"/>
        <v>198039.13</v>
      </c>
      <c r="L37" s="97">
        <f>HLOOKUP(A37,'[1]P&amp;L'!$A$5:$ER$194,8,0)</f>
        <v>295000</v>
      </c>
      <c r="M37" s="96">
        <f>(HLOOKUP(A37,'[1]P&amp;L'!$A$5:$ER$194,23,FALSE)-G37)</f>
        <v>-1233.380000000001</v>
      </c>
      <c r="N37" s="98">
        <f t="shared" si="2"/>
        <v>98194.25</v>
      </c>
      <c r="O37" s="93">
        <f>HLOOKUP(A37,'[1]P&amp;L'!$A$5:$ER$194,176,0)</f>
        <v>98194.25</v>
      </c>
      <c r="P37" s="93">
        <f t="shared" si="3"/>
        <v>0</v>
      </c>
      <c r="Q37" s="93"/>
      <c r="R37" s="93"/>
      <c r="S37" s="99"/>
      <c r="T37" s="100"/>
      <c r="U37" s="101">
        <f t="shared" si="4"/>
        <v>296233.38</v>
      </c>
      <c r="V37" s="102">
        <f t="shared" si="5"/>
        <v>-1.1100435972151168</v>
      </c>
      <c r="W37" s="101" t="s">
        <v>92</v>
      </c>
      <c r="X37" s="101"/>
      <c r="Y37" s="101"/>
      <c r="Z37" s="101"/>
      <c r="AA37" s="103"/>
      <c r="AB37" s="91" t="str">
        <f t="shared" si="6"/>
        <v>01/1900</v>
      </c>
      <c r="AC37" s="108"/>
      <c r="AD37" s="108"/>
      <c r="AE37" s="108"/>
    </row>
    <row r="38" spans="1:31" ht="14.4" x14ac:dyDescent="0.3">
      <c r="N38" s="111"/>
    </row>
    <row r="39" spans="1:31" ht="14.4" x14ac:dyDescent="0.3">
      <c r="D39" s="61"/>
      <c r="E39" s="79"/>
      <c r="F39" s="5"/>
      <c r="N39" s="111"/>
    </row>
    <row r="40" spans="1:31" ht="14.4" x14ac:dyDescent="0.3">
      <c r="D40" s="112"/>
      <c r="E40" s="79"/>
      <c r="F40" s="5"/>
      <c r="N40" s="111"/>
    </row>
    <row r="41" spans="1:31" ht="14.4" x14ac:dyDescent="0.3">
      <c r="D41" s="112"/>
      <c r="E41" s="79"/>
      <c r="F41" s="5"/>
      <c r="N41" s="111"/>
    </row>
    <row r="42" spans="1:31" ht="14.4" x14ac:dyDescent="0.3">
      <c r="E42" s="79"/>
      <c r="F42" s="5"/>
      <c r="N42" s="111"/>
    </row>
    <row r="43" spans="1:31" ht="14.4" x14ac:dyDescent="0.3">
      <c r="D43" s="61"/>
      <c r="E43" s="79"/>
      <c r="F43" s="5"/>
      <c r="N43" s="111"/>
    </row>
    <row r="44" spans="1:31" ht="14.4" x14ac:dyDescent="0.3">
      <c r="D44" s="112"/>
      <c r="E44" s="79"/>
      <c r="F44" s="5"/>
      <c r="N44" s="111"/>
    </row>
    <row r="45" spans="1:31" ht="14.4" x14ac:dyDescent="0.3">
      <c r="D45" s="61"/>
      <c r="E45" s="79"/>
      <c r="F45" s="5"/>
      <c r="N45" s="111"/>
    </row>
    <row r="46" spans="1:31" ht="14.4" x14ac:dyDescent="0.3">
      <c r="E46" s="79"/>
      <c r="F46" s="5"/>
      <c r="N46" s="111"/>
    </row>
    <row r="47" spans="1:31" ht="14.4" x14ac:dyDescent="0.3">
      <c r="D47" s="61"/>
      <c r="E47" s="79"/>
      <c r="F47" s="5"/>
      <c r="N47" s="111"/>
    </row>
    <row r="48" spans="1:31" ht="14.4" x14ac:dyDescent="0.3">
      <c r="N48" s="111"/>
    </row>
    <row r="49" spans="14:14" ht="14.4" x14ac:dyDescent="0.3">
      <c r="N49" s="111"/>
    </row>
    <row r="50" spans="14:14" ht="14.4" x14ac:dyDescent="0.3">
      <c r="N50" s="111"/>
    </row>
    <row r="51" spans="14:14" ht="14.4" x14ac:dyDescent="0.3">
      <c r="N51" s="111"/>
    </row>
    <row r="52" spans="14:14" ht="14.4" x14ac:dyDescent="0.3">
      <c r="N52" s="111"/>
    </row>
    <row r="53" spans="14:14" ht="14.4" x14ac:dyDescent="0.3">
      <c r="N53" s="111"/>
    </row>
    <row r="54" spans="14:14" ht="14.4" x14ac:dyDescent="0.3">
      <c r="N54" s="111"/>
    </row>
    <row r="55" spans="14:14" ht="14.4" x14ac:dyDescent="0.3">
      <c r="N55" s="111"/>
    </row>
    <row r="56" spans="14:14" ht="14.4" x14ac:dyDescent="0.3">
      <c r="N56" s="111"/>
    </row>
    <row r="57" spans="14:14" ht="14.4" x14ac:dyDescent="0.3">
      <c r="N57" s="111"/>
    </row>
    <row r="58" spans="14:14" ht="14.4" x14ac:dyDescent="0.3">
      <c r="N58" s="111"/>
    </row>
    <row r="59" spans="14:14" ht="14.4" x14ac:dyDescent="0.3">
      <c r="N59" s="111"/>
    </row>
    <row r="60" spans="14:14" ht="14.4" x14ac:dyDescent="0.3">
      <c r="N60" s="111"/>
    </row>
    <row r="61" spans="14:14" ht="14.4" x14ac:dyDescent="0.3">
      <c r="N61" s="111"/>
    </row>
    <row r="62" spans="14:14" ht="14.4" x14ac:dyDescent="0.3">
      <c r="N62" s="111"/>
    </row>
    <row r="63" spans="14:14" ht="14.4" x14ac:dyDescent="0.3">
      <c r="N63" s="111"/>
    </row>
    <row r="64" spans="14:14" ht="14.4" x14ac:dyDescent="0.3">
      <c r="N64" s="111"/>
    </row>
    <row r="65" spans="14:14" ht="14.4" x14ac:dyDescent="0.3">
      <c r="N65" s="111"/>
    </row>
    <row r="66" spans="14:14" ht="14.4" x14ac:dyDescent="0.3">
      <c r="N66" s="111"/>
    </row>
    <row r="67" spans="14:14" ht="14.4" x14ac:dyDescent="0.3">
      <c r="N67" s="111"/>
    </row>
    <row r="68" spans="14:14" ht="14.4" x14ac:dyDescent="0.3">
      <c r="N68" s="111"/>
    </row>
    <row r="69" spans="14:14" ht="14.4" x14ac:dyDescent="0.3">
      <c r="N69" s="111"/>
    </row>
    <row r="70" spans="14:14" ht="14.4" x14ac:dyDescent="0.3">
      <c r="N70" s="111"/>
    </row>
    <row r="71" spans="14:14" ht="14.4" x14ac:dyDescent="0.3">
      <c r="N71" s="111"/>
    </row>
    <row r="72" spans="14:14" ht="14.4" x14ac:dyDescent="0.3">
      <c r="N72" s="111"/>
    </row>
    <row r="73" spans="14:14" ht="14.4" x14ac:dyDescent="0.3">
      <c r="N73" s="111"/>
    </row>
    <row r="74" spans="14:14" ht="14.4" x14ac:dyDescent="0.3">
      <c r="N74" s="111"/>
    </row>
    <row r="75" spans="14:14" ht="14.4" x14ac:dyDescent="0.3">
      <c r="N75" s="111"/>
    </row>
    <row r="76" spans="14:14" ht="14.4" x14ac:dyDescent="0.3">
      <c r="N76" s="111"/>
    </row>
    <row r="77" spans="14:14" ht="14.4" x14ac:dyDescent="0.3">
      <c r="N77" s="111"/>
    </row>
    <row r="78" spans="14:14" ht="14.4" x14ac:dyDescent="0.3">
      <c r="N78" s="111"/>
    </row>
    <row r="79" spans="14:14" ht="14.4" x14ac:dyDescent="0.3">
      <c r="N79" s="111"/>
    </row>
    <row r="80" spans="14:14" ht="14.4" x14ac:dyDescent="0.3">
      <c r="N80" s="111"/>
    </row>
    <row r="81" spans="14:14" ht="14.4" x14ac:dyDescent="0.3">
      <c r="N81" s="111"/>
    </row>
    <row r="82" spans="14:14" ht="14.4" x14ac:dyDescent="0.3">
      <c r="N82" s="111"/>
    </row>
    <row r="83" spans="14:14" ht="14.4" x14ac:dyDescent="0.3">
      <c r="N83" s="111"/>
    </row>
    <row r="84" spans="14:14" ht="14.4" x14ac:dyDescent="0.3">
      <c r="N84" s="111"/>
    </row>
    <row r="85" spans="14:14" ht="14.4" x14ac:dyDescent="0.3">
      <c r="N85" s="111"/>
    </row>
    <row r="86" spans="14:14" ht="14.4" x14ac:dyDescent="0.3">
      <c r="N86" s="111"/>
    </row>
    <row r="87" spans="14:14" ht="14.4" x14ac:dyDescent="0.3">
      <c r="N87" s="111"/>
    </row>
    <row r="88" spans="14:14" ht="14.4" x14ac:dyDescent="0.3">
      <c r="N88" s="111"/>
    </row>
    <row r="89" spans="14:14" ht="14.4" x14ac:dyDescent="0.3">
      <c r="N89" s="111"/>
    </row>
    <row r="90" spans="14:14" ht="14.4" x14ac:dyDescent="0.3">
      <c r="N90" s="111"/>
    </row>
    <row r="91" spans="14:14" ht="14.4" x14ac:dyDescent="0.3">
      <c r="N91" s="111"/>
    </row>
    <row r="92" spans="14:14" ht="14.4" x14ac:dyDescent="0.3">
      <c r="N92" s="111"/>
    </row>
    <row r="93" spans="14:14" ht="14.4" x14ac:dyDescent="0.3">
      <c r="N93" s="111"/>
    </row>
    <row r="94" spans="14:14" ht="14.4" x14ac:dyDescent="0.3">
      <c r="N94" s="111"/>
    </row>
    <row r="95" spans="14:14" ht="14.4" x14ac:dyDescent="0.3">
      <c r="N95" s="111"/>
    </row>
    <row r="96" spans="14:14" ht="14.4" x14ac:dyDescent="0.3">
      <c r="N96" s="111"/>
    </row>
    <row r="97" spans="14:14" ht="14.4" x14ac:dyDescent="0.3">
      <c r="N97" s="111"/>
    </row>
    <row r="98" spans="14:14" ht="14.4" x14ac:dyDescent="0.3">
      <c r="N98" s="111"/>
    </row>
    <row r="99" spans="14:14" ht="14.4" x14ac:dyDescent="0.3">
      <c r="N99" s="111"/>
    </row>
    <row r="100" spans="14:14" ht="14.4" x14ac:dyDescent="0.3">
      <c r="N100" s="111"/>
    </row>
    <row r="101" spans="14:14" ht="14.4" x14ac:dyDescent="0.3">
      <c r="N101" s="111"/>
    </row>
    <row r="102" spans="14:14" ht="14.4" x14ac:dyDescent="0.3">
      <c r="N102" s="111"/>
    </row>
    <row r="103" spans="14:14" ht="14.4" x14ac:dyDescent="0.3">
      <c r="N103" s="111"/>
    </row>
    <row r="104" spans="14:14" ht="14.4" x14ac:dyDescent="0.3">
      <c r="N104" s="111"/>
    </row>
    <row r="105" spans="14:14" ht="14.4" x14ac:dyDescent="0.3">
      <c r="N105" s="111"/>
    </row>
    <row r="106" spans="14:14" ht="14.4" x14ac:dyDescent="0.3">
      <c r="N106" s="111"/>
    </row>
    <row r="107" spans="14:14" ht="14.4" x14ac:dyDescent="0.3">
      <c r="N107" s="111"/>
    </row>
    <row r="108" spans="14:14" ht="14.4" x14ac:dyDescent="0.3">
      <c r="N108" s="111"/>
    </row>
    <row r="109" spans="14:14" ht="14.4" x14ac:dyDescent="0.3">
      <c r="N109" s="111"/>
    </row>
    <row r="110" spans="14:14" ht="14.4" x14ac:dyDescent="0.3">
      <c r="N110" s="111"/>
    </row>
    <row r="111" spans="14:14" ht="14.4" x14ac:dyDescent="0.3">
      <c r="N111" s="111"/>
    </row>
    <row r="112" spans="14:14" ht="14.4" x14ac:dyDescent="0.3">
      <c r="N112" s="111"/>
    </row>
    <row r="113" spans="14:14" ht="14.4" x14ac:dyDescent="0.3">
      <c r="N113" s="111"/>
    </row>
    <row r="114" spans="14:14" ht="14.4" x14ac:dyDescent="0.3">
      <c r="N114" s="111"/>
    </row>
    <row r="115" spans="14:14" ht="14.4" x14ac:dyDescent="0.3">
      <c r="N115" s="111"/>
    </row>
    <row r="116" spans="14:14" ht="14.4" x14ac:dyDescent="0.3">
      <c r="N116" s="111"/>
    </row>
    <row r="117" spans="14:14" ht="14.4" x14ac:dyDescent="0.3">
      <c r="N117" s="111"/>
    </row>
    <row r="118" spans="14:14" ht="14.4" x14ac:dyDescent="0.3">
      <c r="N118" s="111"/>
    </row>
    <row r="119" spans="14:14" ht="14.4" x14ac:dyDescent="0.3">
      <c r="N119" s="111"/>
    </row>
    <row r="120" spans="14:14" ht="14.4" x14ac:dyDescent="0.3">
      <c r="N120" s="111"/>
    </row>
    <row r="121" spans="14:14" ht="14.4" x14ac:dyDescent="0.3">
      <c r="N121" s="111"/>
    </row>
    <row r="122" spans="14:14" ht="14.4" x14ac:dyDescent="0.3">
      <c r="N122" s="111"/>
    </row>
    <row r="123" spans="14:14" ht="14.4" x14ac:dyDescent="0.3">
      <c r="N123" s="111"/>
    </row>
    <row r="124" spans="14:14" ht="14.4" x14ac:dyDescent="0.3">
      <c r="N124" s="111"/>
    </row>
    <row r="125" spans="14:14" ht="14.4" x14ac:dyDescent="0.3">
      <c r="N125" s="111"/>
    </row>
    <row r="126" spans="14:14" ht="14.4" x14ac:dyDescent="0.3">
      <c r="N126" s="111"/>
    </row>
    <row r="127" spans="14:14" ht="14.4" x14ac:dyDescent="0.3">
      <c r="N127" s="111"/>
    </row>
    <row r="128" spans="14:14" ht="14.4" x14ac:dyDescent="0.3">
      <c r="N128" s="111"/>
    </row>
    <row r="129" spans="14:14" ht="14.4" x14ac:dyDescent="0.3">
      <c r="N129" s="111"/>
    </row>
    <row r="130" spans="14:14" ht="14.4" x14ac:dyDescent="0.3">
      <c r="N130" s="111"/>
    </row>
    <row r="131" spans="14:14" ht="14.4" x14ac:dyDescent="0.3">
      <c r="N131" s="111"/>
    </row>
    <row r="132" spans="14:14" ht="14.4" x14ac:dyDescent="0.3">
      <c r="N132" s="111"/>
    </row>
    <row r="133" spans="14:14" ht="14.4" x14ac:dyDescent="0.3">
      <c r="N133" s="111"/>
    </row>
    <row r="134" spans="14:14" ht="14.4" x14ac:dyDescent="0.3">
      <c r="N134" s="111"/>
    </row>
    <row r="135" spans="14:14" ht="14.4" x14ac:dyDescent="0.3">
      <c r="N135" s="111"/>
    </row>
    <row r="136" spans="14:14" ht="14.4" x14ac:dyDescent="0.3">
      <c r="N136" s="111"/>
    </row>
    <row r="137" spans="14:14" ht="14.4" x14ac:dyDescent="0.3">
      <c r="N137" s="111"/>
    </row>
    <row r="138" spans="14:14" ht="14.4" x14ac:dyDescent="0.3">
      <c r="N138" s="111"/>
    </row>
    <row r="139" spans="14:14" ht="14.4" x14ac:dyDescent="0.3">
      <c r="N139" s="111"/>
    </row>
    <row r="140" spans="14:14" ht="14.4" x14ac:dyDescent="0.3">
      <c r="N140" s="111"/>
    </row>
    <row r="141" spans="14:14" ht="14.4" x14ac:dyDescent="0.3">
      <c r="N141" s="111"/>
    </row>
    <row r="142" spans="14:14" ht="14.4" x14ac:dyDescent="0.3">
      <c r="N142" s="111"/>
    </row>
    <row r="143" spans="14:14" ht="14.4" x14ac:dyDescent="0.3">
      <c r="N143" s="111"/>
    </row>
    <row r="144" spans="14:14" ht="14.4" x14ac:dyDescent="0.3">
      <c r="N144" s="111"/>
    </row>
    <row r="145" spans="14:14" ht="14.4" x14ac:dyDescent="0.3">
      <c r="N145" s="111"/>
    </row>
    <row r="146" spans="14:14" ht="14.4" x14ac:dyDescent="0.3">
      <c r="N146" s="111"/>
    </row>
    <row r="147" spans="14:14" ht="14.4" x14ac:dyDescent="0.3">
      <c r="N147" s="111"/>
    </row>
    <row r="148" spans="14:14" ht="14.4" x14ac:dyDescent="0.3">
      <c r="N148" s="111"/>
    </row>
    <row r="149" spans="14:14" ht="14.4" x14ac:dyDescent="0.3">
      <c r="N149" s="111"/>
    </row>
    <row r="150" spans="14:14" ht="14.4" x14ac:dyDescent="0.3">
      <c r="N150" s="111"/>
    </row>
    <row r="151" spans="14:14" ht="14.4" x14ac:dyDescent="0.3">
      <c r="N151" s="111"/>
    </row>
    <row r="152" spans="14:14" ht="14.4" x14ac:dyDescent="0.3">
      <c r="N152" s="111"/>
    </row>
    <row r="153" spans="14:14" ht="14.4" x14ac:dyDescent="0.3">
      <c r="N153" s="111"/>
    </row>
    <row r="154" spans="14:14" ht="14.4" x14ac:dyDescent="0.3">
      <c r="N154" s="111"/>
    </row>
    <row r="155" spans="14:14" ht="14.4" x14ac:dyDescent="0.3">
      <c r="N155" s="111"/>
    </row>
    <row r="156" spans="14:14" ht="14.4" x14ac:dyDescent="0.3">
      <c r="N156" s="111"/>
    </row>
    <row r="157" spans="14:14" ht="14.4" x14ac:dyDescent="0.3">
      <c r="N157" s="111"/>
    </row>
    <row r="158" spans="14:14" ht="14.4" x14ac:dyDescent="0.3">
      <c r="N158" s="111"/>
    </row>
    <row r="159" spans="14:14" ht="14.4" x14ac:dyDescent="0.3">
      <c r="N159" s="111"/>
    </row>
    <row r="160" spans="14:14" ht="14.4" x14ac:dyDescent="0.3">
      <c r="N160" s="111"/>
    </row>
    <row r="161" spans="14:14" ht="14.4" x14ac:dyDescent="0.3">
      <c r="N161" s="111"/>
    </row>
    <row r="162" spans="14:14" ht="14.4" x14ac:dyDescent="0.3">
      <c r="N162" s="111"/>
    </row>
    <row r="163" spans="14:14" ht="14.4" x14ac:dyDescent="0.3">
      <c r="N163" s="111"/>
    </row>
    <row r="164" spans="14:14" ht="14.4" x14ac:dyDescent="0.3">
      <c r="N164" s="111"/>
    </row>
    <row r="165" spans="14:14" ht="14.4" x14ac:dyDescent="0.3">
      <c r="N165" s="111"/>
    </row>
    <row r="166" spans="14:14" ht="14.4" x14ac:dyDescent="0.3">
      <c r="N166" s="111"/>
    </row>
    <row r="167" spans="14:14" ht="14.4" x14ac:dyDescent="0.3">
      <c r="N167" s="111"/>
    </row>
    <row r="168" spans="14:14" ht="14.4" x14ac:dyDescent="0.3">
      <c r="N168" s="111"/>
    </row>
    <row r="169" spans="14:14" ht="14.4" x14ac:dyDescent="0.3">
      <c r="N169" s="111"/>
    </row>
    <row r="170" spans="14:14" ht="14.4" x14ac:dyDescent="0.3">
      <c r="N170" s="111"/>
    </row>
    <row r="171" spans="14:14" ht="14.4" x14ac:dyDescent="0.3">
      <c r="N171" s="111"/>
    </row>
    <row r="172" spans="14:14" ht="14.4" x14ac:dyDescent="0.3">
      <c r="N172" s="111"/>
    </row>
    <row r="173" spans="14:14" ht="14.4" x14ac:dyDescent="0.3">
      <c r="N173" s="111"/>
    </row>
    <row r="174" spans="14:14" ht="14.4" x14ac:dyDescent="0.3">
      <c r="N174" s="111"/>
    </row>
    <row r="175" spans="14:14" ht="14.4" x14ac:dyDescent="0.3">
      <c r="N175" s="111"/>
    </row>
    <row r="176" spans="14:14" ht="14.4" x14ac:dyDescent="0.3">
      <c r="N176" s="111"/>
    </row>
    <row r="177" spans="14:14" ht="14.4" x14ac:dyDescent="0.3">
      <c r="N177" s="111"/>
    </row>
    <row r="178" spans="14:14" ht="14.4" x14ac:dyDescent="0.3">
      <c r="N178" s="111"/>
    </row>
    <row r="179" spans="14:14" ht="14.4" x14ac:dyDescent="0.3">
      <c r="N179" s="111"/>
    </row>
    <row r="180" spans="14:14" ht="14.4" x14ac:dyDescent="0.3">
      <c r="N180" s="111"/>
    </row>
    <row r="181" spans="14:14" ht="14.4" x14ac:dyDescent="0.3">
      <c r="N181" s="111"/>
    </row>
    <row r="182" spans="14:14" ht="14.4" x14ac:dyDescent="0.3">
      <c r="N182" s="111"/>
    </row>
    <row r="183" spans="14:14" ht="14.4" x14ac:dyDescent="0.3">
      <c r="N183" s="111"/>
    </row>
    <row r="184" spans="14:14" ht="14.4" x14ac:dyDescent="0.3">
      <c r="N184" s="111"/>
    </row>
    <row r="185" spans="14:14" ht="14.4" x14ac:dyDescent="0.3">
      <c r="N185" s="111"/>
    </row>
    <row r="186" spans="14:14" ht="14.4" x14ac:dyDescent="0.3">
      <c r="N186" s="111"/>
    </row>
    <row r="187" spans="14:14" ht="14.4" x14ac:dyDescent="0.3">
      <c r="N187" s="111"/>
    </row>
    <row r="188" spans="14:14" ht="14.4" x14ac:dyDescent="0.3">
      <c r="N188" s="111"/>
    </row>
    <row r="189" spans="14:14" ht="14.4" x14ac:dyDescent="0.3">
      <c r="N189" s="111"/>
    </row>
    <row r="190" spans="14:14" ht="14.4" x14ac:dyDescent="0.3">
      <c r="N190" s="111"/>
    </row>
    <row r="191" spans="14:14" ht="14.4" x14ac:dyDescent="0.3">
      <c r="N191" s="111"/>
    </row>
    <row r="192" spans="14:14" ht="14.4" x14ac:dyDescent="0.3">
      <c r="N192" s="111"/>
    </row>
    <row r="193" spans="14:14" ht="14.4" x14ac:dyDescent="0.3">
      <c r="N193" s="111"/>
    </row>
    <row r="194" spans="14:14" ht="14.4" x14ac:dyDescent="0.3">
      <c r="N194" s="111"/>
    </row>
    <row r="195" spans="14:14" ht="14.4" x14ac:dyDescent="0.3">
      <c r="N195" s="111"/>
    </row>
    <row r="196" spans="14:14" ht="14.4" x14ac:dyDescent="0.3">
      <c r="N196" s="111"/>
    </row>
    <row r="197" spans="14:14" ht="14.4" x14ac:dyDescent="0.3">
      <c r="N197" s="111"/>
    </row>
    <row r="198" spans="14:14" ht="14.4" x14ac:dyDescent="0.3">
      <c r="N198" s="111"/>
    </row>
    <row r="199" spans="14:14" ht="14.4" x14ac:dyDescent="0.3">
      <c r="N199" s="111"/>
    </row>
    <row r="200" spans="14:14" ht="14.4" x14ac:dyDescent="0.3">
      <c r="N200" s="111"/>
    </row>
    <row r="201" spans="14:14" ht="14.4" x14ac:dyDescent="0.3">
      <c r="N201" s="111"/>
    </row>
    <row r="202" spans="14:14" ht="14.4" x14ac:dyDescent="0.3">
      <c r="N202" s="111"/>
    </row>
    <row r="203" spans="14:14" ht="14.4" x14ac:dyDescent="0.3">
      <c r="N203" s="111"/>
    </row>
    <row r="204" spans="14:14" ht="14.4" x14ac:dyDescent="0.3">
      <c r="N204" s="111"/>
    </row>
    <row r="205" spans="14:14" ht="14.4" x14ac:dyDescent="0.3">
      <c r="N205" s="111"/>
    </row>
    <row r="206" spans="14:14" ht="14.4" x14ac:dyDescent="0.3">
      <c r="N206" s="111"/>
    </row>
    <row r="207" spans="14:14" ht="14.4" x14ac:dyDescent="0.3">
      <c r="N207" s="111"/>
    </row>
    <row r="208" spans="14:14" ht="14.4" x14ac:dyDescent="0.3">
      <c r="N208" s="111"/>
    </row>
    <row r="209" spans="14:14" ht="14.4" x14ac:dyDescent="0.3">
      <c r="N209" s="111"/>
    </row>
    <row r="210" spans="14:14" ht="14.4" x14ac:dyDescent="0.3">
      <c r="N210" s="111"/>
    </row>
    <row r="211" spans="14:14" ht="14.4" x14ac:dyDescent="0.3">
      <c r="N211" s="111"/>
    </row>
    <row r="212" spans="14:14" ht="14.4" x14ac:dyDescent="0.3">
      <c r="N212" s="111"/>
    </row>
    <row r="213" spans="14:14" ht="14.4" x14ac:dyDescent="0.3">
      <c r="N213" s="111"/>
    </row>
    <row r="214" spans="14:14" ht="14.4" x14ac:dyDescent="0.3">
      <c r="N214" s="111"/>
    </row>
    <row r="215" spans="14:14" ht="14.4" x14ac:dyDescent="0.3">
      <c r="N215" s="111"/>
    </row>
    <row r="216" spans="14:14" ht="14.4" x14ac:dyDescent="0.3">
      <c r="N216" s="111"/>
    </row>
    <row r="217" spans="14:14" ht="14.4" x14ac:dyDescent="0.3">
      <c r="N217" s="111"/>
    </row>
    <row r="218" spans="14:14" ht="14.4" x14ac:dyDescent="0.3">
      <c r="N218" s="111"/>
    </row>
    <row r="219" spans="14:14" ht="14.4" x14ac:dyDescent="0.3">
      <c r="N219" s="111"/>
    </row>
    <row r="220" spans="14:14" ht="14.4" x14ac:dyDescent="0.3">
      <c r="N220" s="111"/>
    </row>
    <row r="221" spans="14:14" ht="14.4" x14ac:dyDescent="0.3">
      <c r="N221" s="111"/>
    </row>
    <row r="222" spans="14:14" ht="14.4" x14ac:dyDescent="0.3">
      <c r="N222" s="111"/>
    </row>
    <row r="223" spans="14:14" ht="14.4" x14ac:dyDescent="0.3">
      <c r="N223" s="111"/>
    </row>
    <row r="224" spans="14:14" ht="14.4" x14ac:dyDescent="0.3">
      <c r="N224" s="111"/>
    </row>
    <row r="225" spans="14:14" ht="14.4" x14ac:dyDescent="0.3">
      <c r="N225" s="111"/>
    </row>
    <row r="226" spans="14:14" ht="14.4" x14ac:dyDescent="0.3">
      <c r="N226" s="111"/>
    </row>
    <row r="227" spans="14:14" ht="14.4" x14ac:dyDescent="0.3">
      <c r="N227" s="111"/>
    </row>
    <row r="228" spans="14:14" ht="14.4" x14ac:dyDescent="0.3">
      <c r="N228" s="111"/>
    </row>
    <row r="229" spans="14:14" ht="14.4" x14ac:dyDescent="0.3">
      <c r="N229" s="111"/>
    </row>
    <row r="230" spans="14:14" ht="14.4" x14ac:dyDescent="0.3">
      <c r="N230" s="111"/>
    </row>
    <row r="231" spans="14:14" ht="14.4" x14ac:dyDescent="0.3">
      <c r="N231" s="111"/>
    </row>
    <row r="232" spans="14:14" ht="14.4" x14ac:dyDescent="0.3">
      <c r="N232" s="111"/>
    </row>
    <row r="233" spans="14:14" ht="14.4" x14ac:dyDescent="0.3">
      <c r="N233" s="111"/>
    </row>
    <row r="234" spans="14:14" ht="14.4" x14ac:dyDescent="0.3">
      <c r="N234" s="111"/>
    </row>
    <row r="235" spans="14:14" ht="14.4" x14ac:dyDescent="0.3">
      <c r="N235" s="111"/>
    </row>
    <row r="236" spans="14:14" ht="14.4" x14ac:dyDescent="0.3">
      <c r="N236" s="111"/>
    </row>
    <row r="237" spans="14:14" ht="14.4" x14ac:dyDescent="0.3">
      <c r="N237" s="111"/>
    </row>
    <row r="238" spans="14:14" ht="14.4" x14ac:dyDescent="0.3">
      <c r="N238" s="111"/>
    </row>
    <row r="239" spans="14:14" ht="14.4" x14ac:dyDescent="0.3">
      <c r="N239" s="111"/>
    </row>
    <row r="240" spans="14:14" ht="14.4" x14ac:dyDescent="0.3">
      <c r="N240" s="111"/>
    </row>
    <row r="241" spans="14:14" ht="14.4" x14ac:dyDescent="0.3">
      <c r="N241" s="111"/>
    </row>
    <row r="242" spans="14:14" ht="14.4" x14ac:dyDescent="0.3">
      <c r="N242" s="111"/>
    </row>
    <row r="243" spans="14:14" ht="14.4" x14ac:dyDescent="0.3">
      <c r="N243" s="111"/>
    </row>
    <row r="244" spans="14:14" ht="14.4" x14ac:dyDescent="0.3">
      <c r="N244" s="111"/>
    </row>
    <row r="245" spans="14:14" ht="14.4" x14ac:dyDescent="0.3">
      <c r="N245" s="111"/>
    </row>
    <row r="246" spans="14:14" ht="14.4" x14ac:dyDescent="0.3">
      <c r="N246" s="111"/>
    </row>
    <row r="247" spans="14:14" ht="14.4" x14ac:dyDescent="0.3">
      <c r="N247" s="111"/>
    </row>
    <row r="248" spans="14:14" ht="14.4" x14ac:dyDescent="0.3">
      <c r="N248" s="111"/>
    </row>
    <row r="249" spans="14:14" ht="14.4" x14ac:dyDescent="0.3">
      <c r="N249" s="111"/>
    </row>
    <row r="250" spans="14:14" ht="14.4" x14ac:dyDescent="0.3">
      <c r="N250" s="111"/>
    </row>
    <row r="251" spans="14:14" ht="14.4" x14ac:dyDescent="0.3">
      <c r="N251" s="111"/>
    </row>
    <row r="252" spans="14:14" ht="14.4" x14ac:dyDescent="0.3">
      <c r="N252" s="111"/>
    </row>
    <row r="253" spans="14:14" ht="14.4" x14ac:dyDescent="0.3">
      <c r="N253" s="111"/>
    </row>
    <row r="254" spans="14:14" ht="14.4" x14ac:dyDescent="0.3">
      <c r="N254" s="111"/>
    </row>
    <row r="255" spans="14:14" ht="14.4" x14ac:dyDescent="0.3">
      <c r="N255" s="111"/>
    </row>
    <row r="256" spans="14:14" ht="14.4" x14ac:dyDescent="0.3">
      <c r="N256" s="111"/>
    </row>
    <row r="257" spans="14:14" ht="14.4" x14ac:dyDescent="0.3">
      <c r="N257" s="111"/>
    </row>
    <row r="258" spans="14:14" ht="14.4" x14ac:dyDescent="0.3">
      <c r="N258" s="111"/>
    </row>
    <row r="259" spans="14:14" ht="14.4" x14ac:dyDescent="0.3">
      <c r="N259" s="111"/>
    </row>
    <row r="260" spans="14:14" ht="14.4" x14ac:dyDescent="0.3">
      <c r="N260" s="111"/>
    </row>
    <row r="261" spans="14:14" ht="14.4" x14ac:dyDescent="0.3">
      <c r="N261" s="111"/>
    </row>
    <row r="262" spans="14:14" ht="14.4" x14ac:dyDescent="0.3">
      <c r="N262" s="111"/>
    </row>
    <row r="263" spans="14:14" ht="14.4" x14ac:dyDescent="0.3">
      <c r="N263" s="111"/>
    </row>
    <row r="264" spans="14:14" ht="14.4" x14ac:dyDescent="0.3">
      <c r="N264" s="111"/>
    </row>
    <row r="265" spans="14:14" ht="14.4" x14ac:dyDescent="0.3">
      <c r="N265" s="111"/>
    </row>
    <row r="266" spans="14:14" ht="14.4" x14ac:dyDescent="0.3">
      <c r="N266" s="111"/>
    </row>
    <row r="267" spans="14:14" ht="14.4" x14ac:dyDescent="0.3">
      <c r="N267" s="111"/>
    </row>
    <row r="268" spans="14:14" ht="14.4" x14ac:dyDescent="0.3">
      <c r="N268" s="111"/>
    </row>
    <row r="269" spans="14:14" ht="14.4" x14ac:dyDescent="0.3">
      <c r="N269" s="111"/>
    </row>
    <row r="270" spans="14:14" ht="14.4" x14ac:dyDescent="0.3">
      <c r="N270" s="111"/>
    </row>
    <row r="271" spans="14:14" ht="14.4" x14ac:dyDescent="0.3">
      <c r="N271" s="111"/>
    </row>
    <row r="272" spans="14:14" ht="14.4" x14ac:dyDescent="0.3">
      <c r="N272" s="111"/>
    </row>
    <row r="273" spans="14:14" ht="14.4" x14ac:dyDescent="0.3">
      <c r="N273" s="111"/>
    </row>
    <row r="274" spans="14:14" ht="14.4" x14ac:dyDescent="0.3">
      <c r="N274" s="111"/>
    </row>
    <row r="275" spans="14:14" ht="14.4" x14ac:dyDescent="0.3">
      <c r="N275" s="111"/>
    </row>
    <row r="276" spans="14:14" ht="14.4" x14ac:dyDescent="0.3">
      <c r="N276" s="111"/>
    </row>
    <row r="277" spans="14:14" ht="14.4" x14ac:dyDescent="0.3">
      <c r="N277" s="111"/>
    </row>
    <row r="278" spans="14:14" ht="14.4" x14ac:dyDescent="0.3">
      <c r="N278" s="111"/>
    </row>
    <row r="279" spans="14:14" ht="14.4" x14ac:dyDescent="0.3">
      <c r="N279" s="111"/>
    </row>
    <row r="280" spans="14:14" ht="14.4" x14ac:dyDescent="0.3">
      <c r="N280" s="111"/>
    </row>
    <row r="281" spans="14:14" ht="14.4" x14ac:dyDescent="0.3">
      <c r="N281" s="111"/>
    </row>
    <row r="282" spans="14:14" ht="14.4" x14ac:dyDescent="0.3">
      <c r="N282" s="111"/>
    </row>
    <row r="283" spans="14:14" ht="14.4" x14ac:dyDescent="0.3">
      <c r="N283" s="111"/>
    </row>
    <row r="284" spans="14:14" ht="14.4" x14ac:dyDescent="0.3">
      <c r="N284" s="111"/>
    </row>
    <row r="285" spans="14:14" ht="14.4" x14ac:dyDescent="0.3">
      <c r="N285" s="111"/>
    </row>
    <row r="286" spans="14:14" ht="14.4" x14ac:dyDescent="0.3">
      <c r="N286" s="111"/>
    </row>
    <row r="287" spans="14:14" ht="14.4" x14ac:dyDescent="0.3">
      <c r="N287" s="111"/>
    </row>
    <row r="288" spans="14:14" ht="14.4" x14ac:dyDescent="0.3">
      <c r="N288" s="111"/>
    </row>
    <row r="289" spans="14:14" ht="14.4" x14ac:dyDescent="0.3">
      <c r="N289" s="111"/>
    </row>
    <row r="290" spans="14:14" ht="14.4" x14ac:dyDescent="0.3">
      <c r="N290" s="111"/>
    </row>
    <row r="291" spans="14:14" ht="14.4" x14ac:dyDescent="0.3">
      <c r="N291" s="111"/>
    </row>
    <row r="292" spans="14:14" ht="14.4" x14ac:dyDescent="0.3">
      <c r="N292" s="111"/>
    </row>
    <row r="293" spans="14:14" ht="14.4" x14ac:dyDescent="0.3">
      <c r="N293" s="111"/>
    </row>
    <row r="294" spans="14:14" ht="14.4" x14ac:dyDescent="0.3">
      <c r="N294" s="111"/>
    </row>
    <row r="295" spans="14:14" ht="14.4" x14ac:dyDescent="0.3">
      <c r="N295" s="111"/>
    </row>
    <row r="296" spans="14:14" ht="14.4" x14ac:dyDescent="0.3">
      <c r="N296" s="111"/>
    </row>
    <row r="297" spans="14:14" ht="14.4" x14ac:dyDescent="0.3">
      <c r="N297" s="111"/>
    </row>
    <row r="298" spans="14:14" ht="14.4" x14ac:dyDescent="0.3">
      <c r="N298" s="111"/>
    </row>
    <row r="299" spans="14:14" ht="14.4" x14ac:dyDescent="0.3">
      <c r="N299" s="111"/>
    </row>
    <row r="300" spans="14:14" ht="14.4" x14ac:dyDescent="0.3">
      <c r="N300" s="111"/>
    </row>
    <row r="301" spans="14:14" ht="14.4" x14ac:dyDescent="0.3">
      <c r="N301" s="111"/>
    </row>
    <row r="302" spans="14:14" ht="14.4" x14ac:dyDescent="0.3">
      <c r="N302" s="111"/>
    </row>
    <row r="303" spans="14:14" ht="14.4" x14ac:dyDescent="0.3">
      <c r="N303" s="111"/>
    </row>
    <row r="304" spans="14:14" ht="14.4" x14ac:dyDescent="0.3">
      <c r="N304" s="111"/>
    </row>
    <row r="305" spans="14:14" ht="14.4" x14ac:dyDescent="0.3">
      <c r="N305" s="111"/>
    </row>
    <row r="306" spans="14:14" ht="14.4" x14ac:dyDescent="0.3">
      <c r="N306" s="111"/>
    </row>
    <row r="307" spans="14:14" ht="14.4" x14ac:dyDescent="0.3">
      <c r="N307" s="111"/>
    </row>
    <row r="308" spans="14:14" ht="14.4" x14ac:dyDescent="0.3">
      <c r="N308" s="111"/>
    </row>
    <row r="309" spans="14:14" ht="14.4" x14ac:dyDescent="0.3">
      <c r="N309" s="111"/>
    </row>
    <row r="310" spans="14:14" ht="14.4" x14ac:dyDescent="0.3">
      <c r="N310" s="111"/>
    </row>
    <row r="311" spans="14:14" ht="14.4" x14ac:dyDescent="0.3">
      <c r="N311" s="111"/>
    </row>
    <row r="312" spans="14:14" ht="14.4" x14ac:dyDescent="0.3">
      <c r="N312" s="111"/>
    </row>
    <row r="313" spans="14:14" ht="14.4" x14ac:dyDescent="0.3">
      <c r="N313" s="111"/>
    </row>
    <row r="314" spans="14:14" ht="14.4" x14ac:dyDescent="0.3">
      <c r="N314" s="111"/>
    </row>
    <row r="315" spans="14:14" ht="14.4" x14ac:dyDescent="0.3">
      <c r="N315" s="111"/>
    </row>
    <row r="316" spans="14:14" ht="14.4" x14ac:dyDescent="0.3">
      <c r="N316" s="111"/>
    </row>
    <row r="317" spans="14:14" ht="14.4" x14ac:dyDescent="0.3">
      <c r="N317" s="111"/>
    </row>
    <row r="318" spans="14:14" ht="14.4" x14ac:dyDescent="0.3">
      <c r="N318" s="111"/>
    </row>
    <row r="319" spans="14:14" ht="14.4" x14ac:dyDescent="0.3">
      <c r="N319" s="111"/>
    </row>
    <row r="320" spans="14:14" ht="14.4" x14ac:dyDescent="0.3">
      <c r="N320" s="111"/>
    </row>
    <row r="321" spans="14:14" ht="14.4" x14ac:dyDescent="0.3">
      <c r="N321" s="111"/>
    </row>
    <row r="322" spans="14:14" ht="14.4" x14ac:dyDescent="0.3">
      <c r="N322" s="111"/>
    </row>
    <row r="323" spans="14:14" ht="14.4" x14ac:dyDescent="0.3">
      <c r="N323" s="111"/>
    </row>
    <row r="324" spans="14:14" ht="14.4" x14ac:dyDescent="0.3">
      <c r="N324" s="111"/>
    </row>
    <row r="325" spans="14:14" ht="14.4" x14ac:dyDescent="0.3">
      <c r="N325" s="111"/>
    </row>
    <row r="326" spans="14:14" ht="14.4" x14ac:dyDescent="0.3">
      <c r="N326" s="111"/>
    </row>
    <row r="327" spans="14:14" ht="14.4" x14ac:dyDescent="0.3">
      <c r="N327" s="111"/>
    </row>
    <row r="328" spans="14:14" ht="14.4" x14ac:dyDescent="0.3">
      <c r="N328" s="111"/>
    </row>
    <row r="329" spans="14:14" ht="14.4" x14ac:dyDescent="0.3">
      <c r="N329" s="111"/>
    </row>
    <row r="330" spans="14:14" ht="14.4" x14ac:dyDescent="0.3">
      <c r="N330" s="111"/>
    </row>
    <row r="331" spans="14:14" ht="14.4" x14ac:dyDescent="0.3">
      <c r="N331" s="111"/>
    </row>
    <row r="332" spans="14:14" ht="14.4" x14ac:dyDescent="0.3">
      <c r="N332" s="111"/>
    </row>
    <row r="333" spans="14:14" ht="14.4" x14ac:dyDescent="0.3">
      <c r="N333" s="111"/>
    </row>
    <row r="334" spans="14:14" ht="14.4" x14ac:dyDescent="0.3">
      <c r="N334" s="111"/>
    </row>
    <row r="335" spans="14:14" ht="14.4" x14ac:dyDescent="0.3">
      <c r="N335" s="111"/>
    </row>
    <row r="336" spans="14:14" ht="14.4" x14ac:dyDescent="0.3">
      <c r="N336" s="111"/>
    </row>
    <row r="337" spans="14:14" ht="14.4" x14ac:dyDescent="0.3">
      <c r="N337" s="111"/>
    </row>
    <row r="338" spans="14:14" ht="14.4" x14ac:dyDescent="0.3">
      <c r="N338" s="111"/>
    </row>
    <row r="339" spans="14:14" ht="14.4" x14ac:dyDescent="0.3">
      <c r="N339" s="111"/>
    </row>
    <row r="340" spans="14:14" ht="14.4" x14ac:dyDescent="0.3">
      <c r="N340" s="111"/>
    </row>
    <row r="341" spans="14:14" ht="14.4" x14ac:dyDescent="0.3">
      <c r="N341" s="111"/>
    </row>
    <row r="342" spans="14:14" ht="14.4" x14ac:dyDescent="0.3">
      <c r="N342" s="111"/>
    </row>
    <row r="343" spans="14:14" ht="14.4" x14ac:dyDescent="0.3">
      <c r="N343" s="111"/>
    </row>
    <row r="344" spans="14:14" ht="14.4" x14ac:dyDescent="0.3">
      <c r="N344" s="111"/>
    </row>
    <row r="345" spans="14:14" ht="14.4" x14ac:dyDescent="0.3">
      <c r="N345" s="111"/>
    </row>
    <row r="346" spans="14:14" ht="14.4" x14ac:dyDescent="0.3">
      <c r="N346" s="111"/>
    </row>
    <row r="347" spans="14:14" ht="14.4" x14ac:dyDescent="0.3">
      <c r="N347" s="111"/>
    </row>
    <row r="348" spans="14:14" ht="14.4" x14ac:dyDescent="0.3">
      <c r="N348" s="111"/>
    </row>
    <row r="349" spans="14:14" ht="14.4" x14ac:dyDescent="0.3">
      <c r="N349" s="111"/>
    </row>
    <row r="350" spans="14:14" ht="14.4" x14ac:dyDescent="0.3">
      <c r="N350" s="111"/>
    </row>
    <row r="351" spans="14:14" ht="14.4" x14ac:dyDescent="0.3">
      <c r="N351" s="111"/>
    </row>
    <row r="352" spans="14:14" ht="14.4" x14ac:dyDescent="0.3">
      <c r="N352" s="111"/>
    </row>
    <row r="353" spans="14:14" ht="14.4" x14ac:dyDescent="0.3">
      <c r="N353" s="111"/>
    </row>
    <row r="354" spans="14:14" ht="14.4" x14ac:dyDescent="0.3">
      <c r="N354" s="111"/>
    </row>
    <row r="355" spans="14:14" ht="14.4" x14ac:dyDescent="0.3">
      <c r="N355" s="111"/>
    </row>
    <row r="356" spans="14:14" ht="14.4" x14ac:dyDescent="0.3">
      <c r="N356" s="111"/>
    </row>
    <row r="357" spans="14:14" ht="14.4" x14ac:dyDescent="0.3">
      <c r="N357" s="111"/>
    </row>
    <row r="358" spans="14:14" ht="14.4" x14ac:dyDescent="0.3">
      <c r="N358" s="111"/>
    </row>
    <row r="359" spans="14:14" ht="14.4" x14ac:dyDescent="0.3">
      <c r="N359" s="111"/>
    </row>
    <row r="360" spans="14:14" ht="14.4" x14ac:dyDescent="0.3">
      <c r="N360" s="111"/>
    </row>
    <row r="361" spans="14:14" ht="14.4" x14ac:dyDescent="0.3">
      <c r="N361" s="111"/>
    </row>
    <row r="362" spans="14:14" ht="14.4" x14ac:dyDescent="0.3">
      <c r="N362" s="111"/>
    </row>
    <row r="363" spans="14:14" ht="14.4" x14ac:dyDescent="0.3">
      <c r="N363" s="111"/>
    </row>
    <row r="364" spans="14:14" ht="14.4" x14ac:dyDescent="0.3">
      <c r="N364" s="111"/>
    </row>
    <row r="365" spans="14:14" ht="14.4" x14ac:dyDescent="0.3">
      <c r="N365" s="111"/>
    </row>
    <row r="366" spans="14:14" ht="14.4" x14ac:dyDescent="0.3">
      <c r="N366" s="111"/>
    </row>
    <row r="367" spans="14:14" ht="14.4" x14ac:dyDescent="0.3">
      <c r="N367" s="111"/>
    </row>
    <row r="368" spans="14:14" ht="14.4" x14ac:dyDescent="0.3">
      <c r="N368" s="111"/>
    </row>
    <row r="369" spans="14:14" ht="14.4" x14ac:dyDescent="0.3">
      <c r="N369" s="111"/>
    </row>
    <row r="370" spans="14:14" ht="14.4" x14ac:dyDescent="0.3">
      <c r="N370" s="111"/>
    </row>
    <row r="371" spans="14:14" ht="14.4" x14ac:dyDescent="0.3">
      <c r="N371" s="111"/>
    </row>
    <row r="372" spans="14:14" ht="14.4" x14ac:dyDescent="0.3">
      <c r="N372" s="111"/>
    </row>
    <row r="373" spans="14:14" ht="14.4" x14ac:dyDescent="0.3">
      <c r="N373" s="111"/>
    </row>
    <row r="374" spans="14:14" ht="14.4" x14ac:dyDescent="0.3">
      <c r="N374" s="111"/>
    </row>
    <row r="375" spans="14:14" ht="14.4" x14ac:dyDescent="0.3">
      <c r="N375" s="111"/>
    </row>
    <row r="376" spans="14:14" ht="14.4" x14ac:dyDescent="0.3">
      <c r="N376" s="111"/>
    </row>
    <row r="377" spans="14:14" ht="14.4" x14ac:dyDescent="0.3">
      <c r="N377" s="111"/>
    </row>
    <row r="378" spans="14:14" ht="14.4" x14ac:dyDescent="0.3">
      <c r="N378" s="111"/>
    </row>
    <row r="379" spans="14:14" ht="14.4" x14ac:dyDescent="0.3">
      <c r="N379" s="111"/>
    </row>
    <row r="380" spans="14:14" ht="14.4" x14ac:dyDescent="0.3">
      <c r="N380" s="111"/>
    </row>
    <row r="381" spans="14:14" ht="14.4" x14ac:dyDescent="0.3">
      <c r="N381" s="111"/>
    </row>
    <row r="382" spans="14:14" ht="14.4" x14ac:dyDescent="0.3">
      <c r="N382" s="111"/>
    </row>
    <row r="383" spans="14:14" ht="14.4" x14ac:dyDescent="0.3">
      <c r="N383" s="111"/>
    </row>
    <row r="384" spans="14:14" ht="14.4" x14ac:dyDescent="0.3">
      <c r="N384" s="111"/>
    </row>
    <row r="385" spans="14:14" ht="14.4" x14ac:dyDescent="0.3">
      <c r="N385" s="111"/>
    </row>
    <row r="386" spans="14:14" ht="14.4" x14ac:dyDescent="0.3">
      <c r="N386" s="111"/>
    </row>
    <row r="387" spans="14:14" ht="14.4" x14ac:dyDescent="0.3">
      <c r="N387" s="111"/>
    </row>
    <row r="388" spans="14:14" ht="14.4" x14ac:dyDescent="0.3">
      <c r="N388" s="111"/>
    </row>
    <row r="389" spans="14:14" ht="14.4" x14ac:dyDescent="0.3">
      <c r="N389" s="111"/>
    </row>
    <row r="390" spans="14:14" ht="14.4" x14ac:dyDescent="0.3">
      <c r="N390" s="111"/>
    </row>
    <row r="391" spans="14:14" ht="14.4" x14ac:dyDescent="0.3">
      <c r="N391" s="111"/>
    </row>
    <row r="392" spans="14:14" ht="14.4" x14ac:dyDescent="0.3">
      <c r="N392" s="111"/>
    </row>
    <row r="393" spans="14:14" ht="14.4" x14ac:dyDescent="0.3">
      <c r="N393" s="111"/>
    </row>
    <row r="394" spans="14:14" ht="14.4" x14ac:dyDescent="0.3">
      <c r="N394" s="111"/>
    </row>
    <row r="395" spans="14:14" ht="14.4" x14ac:dyDescent="0.3">
      <c r="N395" s="111"/>
    </row>
    <row r="396" spans="14:14" ht="14.4" x14ac:dyDescent="0.3">
      <c r="N396" s="111"/>
    </row>
    <row r="397" spans="14:14" ht="14.4" x14ac:dyDescent="0.3">
      <c r="N397" s="111"/>
    </row>
    <row r="398" spans="14:14" ht="14.4" x14ac:dyDescent="0.3">
      <c r="N398" s="111"/>
    </row>
    <row r="399" spans="14:14" ht="14.4" x14ac:dyDescent="0.3">
      <c r="N399" s="111"/>
    </row>
    <row r="400" spans="14:14" ht="14.4" x14ac:dyDescent="0.3">
      <c r="N400" s="111"/>
    </row>
    <row r="401" spans="14:14" ht="14.4" x14ac:dyDescent="0.3">
      <c r="N401" s="111"/>
    </row>
    <row r="402" spans="14:14" ht="14.4" x14ac:dyDescent="0.3">
      <c r="N402" s="111"/>
    </row>
    <row r="403" spans="14:14" ht="14.4" x14ac:dyDescent="0.3">
      <c r="N403" s="111"/>
    </row>
    <row r="404" spans="14:14" ht="14.4" x14ac:dyDescent="0.3">
      <c r="N404" s="111"/>
    </row>
    <row r="405" spans="14:14" ht="14.4" x14ac:dyDescent="0.3">
      <c r="N405" s="111"/>
    </row>
    <row r="406" spans="14:14" ht="14.4" x14ac:dyDescent="0.3">
      <c r="N406" s="111"/>
    </row>
    <row r="407" spans="14:14" ht="14.4" x14ac:dyDescent="0.3">
      <c r="N407" s="111"/>
    </row>
    <row r="408" spans="14:14" ht="14.4" x14ac:dyDescent="0.3">
      <c r="N408" s="111"/>
    </row>
    <row r="409" spans="14:14" ht="14.4" x14ac:dyDescent="0.3">
      <c r="N409" s="111"/>
    </row>
    <row r="410" spans="14:14" ht="14.4" x14ac:dyDescent="0.3">
      <c r="N410" s="111"/>
    </row>
    <row r="411" spans="14:14" ht="14.4" x14ac:dyDescent="0.3">
      <c r="N411" s="111"/>
    </row>
    <row r="412" spans="14:14" ht="14.4" x14ac:dyDescent="0.3">
      <c r="N412" s="111"/>
    </row>
    <row r="413" spans="14:14" ht="14.4" x14ac:dyDescent="0.3">
      <c r="N413" s="111"/>
    </row>
    <row r="414" spans="14:14" ht="14.4" x14ac:dyDescent="0.3">
      <c r="N414" s="111"/>
    </row>
    <row r="415" spans="14:14" ht="14.4" x14ac:dyDescent="0.3">
      <c r="N415" s="111"/>
    </row>
    <row r="416" spans="14:14" ht="14.4" x14ac:dyDescent="0.3">
      <c r="N416" s="111"/>
    </row>
    <row r="417" spans="14:14" ht="14.4" x14ac:dyDescent="0.3">
      <c r="N417" s="111"/>
    </row>
    <row r="418" spans="14:14" ht="14.4" x14ac:dyDescent="0.3">
      <c r="N418" s="111"/>
    </row>
    <row r="419" spans="14:14" ht="14.4" x14ac:dyDescent="0.3">
      <c r="N419" s="111"/>
    </row>
    <row r="420" spans="14:14" ht="14.4" x14ac:dyDescent="0.3">
      <c r="N420" s="111"/>
    </row>
    <row r="421" spans="14:14" ht="14.4" x14ac:dyDescent="0.3">
      <c r="N421" s="111"/>
    </row>
    <row r="422" spans="14:14" ht="14.4" x14ac:dyDescent="0.3">
      <c r="N422" s="111"/>
    </row>
    <row r="423" spans="14:14" ht="14.4" x14ac:dyDescent="0.3">
      <c r="N423" s="111"/>
    </row>
    <row r="424" spans="14:14" ht="14.4" x14ac:dyDescent="0.3">
      <c r="N424" s="111"/>
    </row>
    <row r="425" spans="14:14" ht="14.4" x14ac:dyDescent="0.3">
      <c r="N425" s="111"/>
    </row>
    <row r="426" spans="14:14" ht="14.4" x14ac:dyDescent="0.3">
      <c r="N426" s="111"/>
    </row>
    <row r="427" spans="14:14" ht="14.4" x14ac:dyDescent="0.3">
      <c r="N427" s="111"/>
    </row>
    <row r="428" spans="14:14" ht="14.4" x14ac:dyDescent="0.3">
      <c r="N428" s="111"/>
    </row>
    <row r="429" spans="14:14" ht="14.4" x14ac:dyDescent="0.3">
      <c r="N429" s="111"/>
    </row>
    <row r="430" spans="14:14" ht="14.4" x14ac:dyDescent="0.3">
      <c r="N430" s="111"/>
    </row>
    <row r="431" spans="14:14" ht="14.4" x14ac:dyDescent="0.3">
      <c r="N431" s="111"/>
    </row>
    <row r="432" spans="14:14" ht="14.4" x14ac:dyDescent="0.3">
      <c r="N432" s="111"/>
    </row>
    <row r="433" spans="14:14" ht="14.4" x14ac:dyDescent="0.3">
      <c r="N433" s="111"/>
    </row>
    <row r="434" spans="14:14" ht="14.4" x14ac:dyDescent="0.3">
      <c r="N434" s="111"/>
    </row>
    <row r="435" spans="14:14" ht="14.4" x14ac:dyDescent="0.3">
      <c r="N435" s="111"/>
    </row>
    <row r="436" spans="14:14" ht="14.4" x14ac:dyDescent="0.3">
      <c r="N436" s="111"/>
    </row>
    <row r="437" spans="14:14" ht="14.4" x14ac:dyDescent="0.3">
      <c r="N437" s="111"/>
    </row>
    <row r="438" spans="14:14" ht="14.4" x14ac:dyDescent="0.3">
      <c r="N438" s="111"/>
    </row>
    <row r="439" spans="14:14" ht="14.4" x14ac:dyDescent="0.3">
      <c r="N439" s="111"/>
    </row>
    <row r="440" spans="14:14" ht="14.4" x14ac:dyDescent="0.3">
      <c r="N440" s="111"/>
    </row>
    <row r="441" spans="14:14" ht="14.4" x14ac:dyDescent="0.3">
      <c r="N441" s="111"/>
    </row>
    <row r="442" spans="14:14" ht="14.4" x14ac:dyDescent="0.3">
      <c r="N442" s="111"/>
    </row>
    <row r="443" spans="14:14" ht="14.4" x14ac:dyDescent="0.3">
      <c r="N443" s="111"/>
    </row>
    <row r="444" spans="14:14" ht="14.4" x14ac:dyDescent="0.3">
      <c r="N444" s="111"/>
    </row>
    <row r="445" spans="14:14" ht="14.4" x14ac:dyDescent="0.3">
      <c r="N445" s="111"/>
    </row>
    <row r="446" spans="14:14" ht="14.4" x14ac:dyDescent="0.3">
      <c r="N446" s="111"/>
    </row>
    <row r="447" spans="14:14" ht="14.4" x14ac:dyDescent="0.3">
      <c r="N447" s="111"/>
    </row>
    <row r="448" spans="14:14" ht="14.4" x14ac:dyDescent="0.3">
      <c r="N448" s="111"/>
    </row>
    <row r="449" spans="14:14" ht="14.4" x14ac:dyDescent="0.3">
      <c r="N449" s="111"/>
    </row>
    <row r="450" spans="14:14" ht="14.4" x14ac:dyDescent="0.3">
      <c r="N450" s="111"/>
    </row>
    <row r="451" spans="14:14" ht="14.4" x14ac:dyDescent="0.3">
      <c r="N451" s="111"/>
    </row>
    <row r="452" spans="14:14" ht="14.4" x14ac:dyDescent="0.3">
      <c r="N452" s="111"/>
    </row>
    <row r="453" spans="14:14" ht="14.4" x14ac:dyDescent="0.3">
      <c r="N453" s="111"/>
    </row>
    <row r="454" spans="14:14" ht="14.4" x14ac:dyDescent="0.3">
      <c r="N454" s="111"/>
    </row>
    <row r="455" spans="14:14" ht="14.4" x14ac:dyDescent="0.3">
      <c r="N455" s="111"/>
    </row>
    <row r="456" spans="14:14" ht="14.4" x14ac:dyDescent="0.3">
      <c r="N456" s="111"/>
    </row>
    <row r="457" spans="14:14" ht="14.4" x14ac:dyDescent="0.3">
      <c r="N457" s="111"/>
    </row>
    <row r="458" spans="14:14" ht="14.4" x14ac:dyDescent="0.3">
      <c r="N458" s="111"/>
    </row>
    <row r="459" spans="14:14" ht="14.4" x14ac:dyDescent="0.3">
      <c r="N459" s="111"/>
    </row>
    <row r="460" spans="14:14" ht="14.4" x14ac:dyDescent="0.3">
      <c r="N460" s="111"/>
    </row>
    <row r="461" spans="14:14" ht="14.4" x14ac:dyDescent="0.3">
      <c r="N461" s="111"/>
    </row>
    <row r="462" spans="14:14" ht="14.4" x14ac:dyDescent="0.3">
      <c r="N462" s="111"/>
    </row>
    <row r="463" spans="14:14" ht="14.4" x14ac:dyDescent="0.3">
      <c r="N463" s="111"/>
    </row>
    <row r="464" spans="14:14" ht="14.4" x14ac:dyDescent="0.3">
      <c r="N464" s="111"/>
    </row>
    <row r="465" spans="14:14" ht="14.4" x14ac:dyDescent="0.3">
      <c r="N465" s="111"/>
    </row>
    <row r="466" spans="14:14" ht="14.4" x14ac:dyDescent="0.3">
      <c r="N466" s="111"/>
    </row>
    <row r="467" spans="14:14" ht="14.4" x14ac:dyDescent="0.3">
      <c r="N467" s="111"/>
    </row>
    <row r="468" spans="14:14" ht="14.4" x14ac:dyDescent="0.3">
      <c r="N468" s="111"/>
    </row>
    <row r="469" spans="14:14" ht="14.4" x14ac:dyDescent="0.3">
      <c r="N469" s="111"/>
    </row>
    <row r="470" spans="14:14" ht="14.4" x14ac:dyDescent="0.3">
      <c r="N470" s="111"/>
    </row>
    <row r="471" spans="14:14" ht="14.4" x14ac:dyDescent="0.3">
      <c r="N471" s="111"/>
    </row>
    <row r="472" spans="14:14" ht="14.4" x14ac:dyDescent="0.3">
      <c r="N472" s="111"/>
    </row>
    <row r="473" spans="14:14" ht="14.4" x14ac:dyDescent="0.3">
      <c r="N473" s="111"/>
    </row>
    <row r="474" spans="14:14" ht="14.4" x14ac:dyDescent="0.3">
      <c r="N474" s="111"/>
    </row>
    <row r="475" spans="14:14" ht="14.4" x14ac:dyDescent="0.3">
      <c r="N475" s="111"/>
    </row>
    <row r="476" spans="14:14" ht="14.4" x14ac:dyDescent="0.3">
      <c r="N476" s="111"/>
    </row>
    <row r="477" spans="14:14" ht="14.4" x14ac:dyDescent="0.3">
      <c r="N477" s="111"/>
    </row>
    <row r="478" spans="14:14" ht="14.4" x14ac:dyDescent="0.3">
      <c r="N478" s="111"/>
    </row>
    <row r="479" spans="14:14" ht="14.4" x14ac:dyDescent="0.3">
      <c r="N479" s="111"/>
    </row>
    <row r="480" spans="14:14" ht="14.4" x14ac:dyDescent="0.3">
      <c r="N480" s="111"/>
    </row>
    <row r="481" spans="14:14" ht="14.4" x14ac:dyDescent="0.3">
      <c r="N481" s="111"/>
    </row>
    <row r="482" spans="14:14" ht="14.4" x14ac:dyDescent="0.3">
      <c r="N482" s="111"/>
    </row>
    <row r="483" spans="14:14" ht="14.4" x14ac:dyDescent="0.3">
      <c r="N483" s="111"/>
    </row>
    <row r="484" spans="14:14" ht="14.4" x14ac:dyDescent="0.3">
      <c r="N484" s="111"/>
    </row>
    <row r="485" spans="14:14" ht="14.4" x14ac:dyDescent="0.3">
      <c r="N485" s="111"/>
    </row>
    <row r="486" spans="14:14" ht="14.4" x14ac:dyDescent="0.3">
      <c r="N486" s="111"/>
    </row>
    <row r="487" spans="14:14" ht="14.4" x14ac:dyDescent="0.3">
      <c r="N487" s="111"/>
    </row>
    <row r="488" spans="14:14" ht="14.4" x14ac:dyDescent="0.3">
      <c r="N488" s="111"/>
    </row>
    <row r="489" spans="14:14" ht="14.4" x14ac:dyDescent="0.3">
      <c r="N489" s="111"/>
    </row>
    <row r="490" spans="14:14" ht="14.4" x14ac:dyDescent="0.3">
      <c r="N490" s="111"/>
    </row>
    <row r="491" spans="14:14" ht="14.4" x14ac:dyDescent="0.3">
      <c r="N491" s="111"/>
    </row>
    <row r="492" spans="14:14" ht="14.4" x14ac:dyDescent="0.3">
      <c r="N492" s="111"/>
    </row>
    <row r="493" spans="14:14" ht="14.4" x14ac:dyDescent="0.3">
      <c r="N493" s="111"/>
    </row>
    <row r="494" spans="14:14" ht="14.4" x14ac:dyDescent="0.3">
      <c r="N494" s="111"/>
    </row>
    <row r="495" spans="14:14" ht="14.4" x14ac:dyDescent="0.3">
      <c r="N495" s="111"/>
    </row>
    <row r="496" spans="14:14" ht="14.4" x14ac:dyDescent="0.3">
      <c r="N496" s="111"/>
    </row>
    <row r="497" spans="14:14" ht="14.4" x14ac:dyDescent="0.3">
      <c r="N497" s="111"/>
    </row>
    <row r="498" spans="14:14" ht="14.4" x14ac:dyDescent="0.3">
      <c r="N498" s="111"/>
    </row>
    <row r="499" spans="14:14" ht="14.4" x14ac:dyDescent="0.3">
      <c r="N499" s="111"/>
    </row>
    <row r="500" spans="14:14" ht="14.4" x14ac:dyDescent="0.3">
      <c r="N500" s="111"/>
    </row>
    <row r="501" spans="14:14" ht="14.4" x14ac:dyDescent="0.3">
      <c r="N501" s="111"/>
    </row>
    <row r="502" spans="14:14" ht="14.4" x14ac:dyDescent="0.3">
      <c r="N502" s="111"/>
    </row>
    <row r="503" spans="14:14" ht="14.4" x14ac:dyDescent="0.3">
      <c r="N503" s="111"/>
    </row>
    <row r="504" spans="14:14" ht="14.4" x14ac:dyDescent="0.3">
      <c r="N504" s="111"/>
    </row>
    <row r="505" spans="14:14" ht="14.4" x14ac:dyDescent="0.3">
      <c r="N505" s="111"/>
    </row>
    <row r="506" spans="14:14" ht="14.4" x14ac:dyDescent="0.3">
      <c r="N506" s="111"/>
    </row>
    <row r="507" spans="14:14" ht="14.4" x14ac:dyDescent="0.3">
      <c r="N507" s="111"/>
    </row>
    <row r="508" spans="14:14" ht="14.4" x14ac:dyDescent="0.3">
      <c r="N508" s="111"/>
    </row>
    <row r="509" spans="14:14" ht="14.4" x14ac:dyDescent="0.3">
      <c r="N509" s="111"/>
    </row>
    <row r="510" spans="14:14" ht="14.4" x14ac:dyDescent="0.3">
      <c r="N510" s="111"/>
    </row>
    <row r="511" spans="14:14" ht="14.4" x14ac:dyDescent="0.3">
      <c r="N511" s="111"/>
    </row>
    <row r="512" spans="14:14" ht="14.4" x14ac:dyDescent="0.3">
      <c r="N512" s="111"/>
    </row>
    <row r="513" spans="14:14" ht="14.4" x14ac:dyDescent="0.3">
      <c r="N513" s="111"/>
    </row>
    <row r="514" spans="14:14" ht="14.4" x14ac:dyDescent="0.3">
      <c r="N514" s="111"/>
    </row>
    <row r="515" spans="14:14" ht="14.4" x14ac:dyDescent="0.3">
      <c r="N515" s="111"/>
    </row>
    <row r="516" spans="14:14" ht="14.4" x14ac:dyDescent="0.3">
      <c r="N516" s="111"/>
    </row>
    <row r="517" spans="14:14" ht="14.4" x14ac:dyDescent="0.3">
      <c r="N517" s="111"/>
    </row>
    <row r="518" spans="14:14" ht="14.4" x14ac:dyDescent="0.3">
      <c r="N518" s="111"/>
    </row>
    <row r="519" spans="14:14" ht="14.4" x14ac:dyDescent="0.3">
      <c r="N519" s="111"/>
    </row>
    <row r="520" spans="14:14" ht="14.4" x14ac:dyDescent="0.3">
      <c r="N520" s="111"/>
    </row>
    <row r="521" spans="14:14" ht="14.4" x14ac:dyDescent="0.3">
      <c r="N521" s="111"/>
    </row>
    <row r="522" spans="14:14" ht="14.4" x14ac:dyDescent="0.3">
      <c r="N522" s="111"/>
    </row>
    <row r="523" spans="14:14" ht="14.4" x14ac:dyDescent="0.3">
      <c r="N523" s="111"/>
    </row>
    <row r="524" spans="14:14" ht="14.4" x14ac:dyDescent="0.3">
      <c r="N524" s="111"/>
    </row>
    <row r="525" spans="14:14" ht="14.4" x14ac:dyDescent="0.3">
      <c r="N525" s="111"/>
    </row>
    <row r="526" spans="14:14" ht="14.4" x14ac:dyDescent="0.3">
      <c r="N526" s="111"/>
    </row>
    <row r="527" spans="14:14" ht="14.4" x14ac:dyDescent="0.3">
      <c r="N527" s="111"/>
    </row>
    <row r="528" spans="14:14" ht="14.4" x14ac:dyDescent="0.3">
      <c r="N528" s="111"/>
    </row>
    <row r="529" spans="14:14" ht="14.4" x14ac:dyDescent="0.3">
      <c r="N529" s="111"/>
    </row>
    <row r="530" spans="14:14" ht="14.4" x14ac:dyDescent="0.3">
      <c r="N530" s="111"/>
    </row>
    <row r="531" spans="14:14" ht="14.4" x14ac:dyDescent="0.3">
      <c r="N531" s="111"/>
    </row>
    <row r="532" spans="14:14" ht="14.4" x14ac:dyDescent="0.3">
      <c r="N532" s="111"/>
    </row>
    <row r="533" spans="14:14" ht="14.4" x14ac:dyDescent="0.3">
      <c r="N533" s="111"/>
    </row>
    <row r="534" spans="14:14" ht="14.4" x14ac:dyDescent="0.3">
      <c r="N534" s="111"/>
    </row>
    <row r="535" spans="14:14" ht="14.4" x14ac:dyDescent="0.3">
      <c r="N535" s="111"/>
    </row>
    <row r="536" spans="14:14" ht="14.4" x14ac:dyDescent="0.3">
      <c r="N536" s="111"/>
    </row>
    <row r="537" spans="14:14" ht="14.4" x14ac:dyDescent="0.3">
      <c r="N537" s="111"/>
    </row>
    <row r="538" spans="14:14" ht="14.4" x14ac:dyDescent="0.3">
      <c r="N538" s="111"/>
    </row>
    <row r="539" spans="14:14" ht="14.4" x14ac:dyDescent="0.3">
      <c r="N539" s="111"/>
    </row>
    <row r="540" spans="14:14" ht="14.4" x14ac:dyDescent="0.3">
      <c r="N540" s="111"/>
    </row>
    <row r="541" spans="14:14" ht="14.4" x14ac:dyDescent="0.3">
      <c r="N541" s="111"/>
    </row>
    <row r="542" spans="14:14" ht="14.4" x14ac:dyDescent="0.3">
      <c r="N542" s="111"/>
    </row>
    <row r="543" spans="14:14" ht="14.4" x14ac:dyDescent="0.3">
      <c r="N543" s="111"/>
    </row>
    <row r="544" spans="14:14" ht="14.4" x14ac:dyDescent="0.3">
      <c r="N544" s="111"/>
    </row>
    <row r="545" spans="14:14" ht="14.4" x14ac:dyDescent="0.3">
      <c r="N545" s="111"/>
    </row>
    <row r="546" spans="14:14" ht="14.4" x14ac:dyDescent="0.3">
      <c r="N546" s="111"/>
    </row>
    <row r="547" spans="14:14" ht="14.4" x14ac:dyDescent="0.3">
      <c r="N547" s="111"/>
    </row>
    <row r="548" spans="14:14" ht="14.4" x14ac:dyDescent="0.3">
      <c r="N548" s="111"/>
    </row>
    <row r="549" spans="14:14" ht="14.4" x14ac:dyDescent="0.3">
      <c r="N549" s="111"/>
    </row>
    <row r="550" spans="14:14" ht="14.4" x14ac:dyDescent="0.3">
      <c r="N550" s="111"/>
    </row>
    <row r="551" spans="14:14" ht="14.4" x14ac:dyDescent="0.3">
      <c r="N551" s="111"/>
    </row>
    <row r="552" spans="14:14" ht="14.4" x14ac:dyDescent="0.3">
      <c r="N552" s="111"/>
    </row>
    <row r="553" spans="14:14" ht="14.4" x14ac:dyDescent="0.3">
      <c r="N553" s="111"/>
    </row>
    <row r="554" spans="14:14" ht="14.4" x14ac:dyDescent="0.3">
      <c r="N554" s="111"/>
    </row>
    <row r="555" spans="14:14" ht="14.4" x14ac:dyDescent="0.3">
      <c r="N555" s="111"/>
    </row>
    <row r="556" spans="14:14" ht="14.4" x14ac:dyDescent="0.3">
      <c r="N556" s="111"/>
    </row>
    <row r="557" spans="14:14" ht="14.4" x14ac:dyDescent="0.3">
      <c r="N557" s="111"/>
    </row>
    <row r="558" spans="14:14" ht="14.4" x14ac:dyDescent="0.3">
      <c r="N558" s="111"/>
    </row>
    <row r="559" spans="14:14" ht="14.4" x14ac:dyDescent="0.3">
      <c r="N559" s="111"/>
    </row>
    <row r="560" spans="14:14" ht="14.4" x14ac:dyDescent="0.3">
      <c r="N560" s="111"/>
    </row>
    <row r="561" spans="14:14" ht="14.4" x14ac:dyDescent="0.3">
      <c r="N561" s="111"/>
    </row>
    <row r="562" spans="14:14" ht="14.4" x14ac:dyDescent="0.3">
      <c r="N562" s="111"/>
    </row>
    <row r="563" spans="14:14" ht="14.4" x14ac:dyDescent="0.3">
      <c r="N563" s="111"/>
    </row>
    <row r="564" spans="14:14" ht="14.4" x14ac:dyDescent="0.3">
      <c r="N564" s="111"/>
    </row>
    <row r="565" spans="14:14" ht="14.4" x14ac:dyDescent="0.3">
      <c r="N565" s="111"/>
    </row>
    <row r="566" spans="14:14" ht="14.4" x14ac:dyDescent="0.3">
      <c r="N566" s="111"/>
    </row>
    <row r="567" spans="14:14" ht="14.4" x14ac:dyDescent="0.3">
      <c r="N567" s="111"/>
    </row>
    <row r="568" spans="14:14" ht="14.4" x14ac:dyDescent="0.3">
      <c r="N568" s="111"/>
    </row>
    <row r="569" spans="14:14" ht="14.4" x14ac:dyDescent="0.3">
      <c r="N569" s="111"/>
    </row>
    <row r="570" spans="14:14" ht="14.4" x14ac:dyDescent="0.3">
      <c r="N570" s="111"/>
    </row>
    <row r="571" spans="14:14" ht="14.4" x14ac:dyDescent="0.3">
      <c r="N571" s="111"/>
    </row>
    <row r="572" spans="14:14" ht="14.4" x14ac:dyDescent="0.3">
      <c r="N572" s="111"/>
    </row>
    <row r="573" spans="14:14" ht="14.4" x14ac:dyDescent="0.3">
      <c r="N573" s="111"/>
    </row>
    <row r="574" spans="14:14" ht="14.4" x14ac:dyDescent="0.3">
      <c r="N574" s="111"/>
    </row>
    <row r="575" spans="14:14" ht="14.4" x14ac:dyDescent="0.3">
      <c r="N575" s="111"/>
    </row>
    <row r="576" spans="14:14" ht="14.4" x14ac:dyDescent="0.3">
      <c r="N576" s="111"/>
    </row>
    <row r="577" spans="14:14" ht="14.4" x14ac:dyDescent="0.3">
      <c r="N577" s="111"/>
    </row>
    <row r="578" spans="14:14" ht="14.4" x14ac:dyDescent="0.3">
      <c r="N578" s="111"/>
    </row>
    <row r="579" spans="14:14" ht="14.4" x14ac:dyDescent="0.3">
      <c r="N579" s="111"/>
    </row>
    <row r="580" spans="14:14" ht="14.4" x14ac:dyDescent="0.3">
      <c r="N580" s="111"/>
    </row>
    <row r="581" spans="14:14" ht="14.4" x14ac:dyDescent="0.3">
      <c r="N581" s="111"/>
    </row>
    <row r="582" spans="14:14" ht="14.4" x14ac:dyDescent="0.3">
      <c r="N582" s="111"/>
    </row>
    <row r="583" spans="14:14" ht="14.4" x14ac:dyDescent="0.3">
      <c r="N583" s="111"/>
    </row>
    <row r="584" spans="14:14" ht="14.4" x14ac:dyDescent="0.3">
      <c r="N584" s="111"/>
    </row>
    <row r="585" spans="14:14" ht="14.4" x14ac:dyDescent="0.3">
      <c r="N585" s="111"/>
    </row>
    <row r="586" spans="14:14" ht="14.4" x14ac:dyDescent="0.3">
      <c r="N586" s="111"/>
    </row>
    <row r="587" spans="14:14" ht="14.4" x14ac:dyDescent="0.3">
      <c r="N587" s="111"/>
    </row>
    <row r="588" spans="14:14" ht="14.4" x14ac:dyDescent="0.3">
      <c r="N588" s="111"/>
    </row>
    <row r="589" spans="14:14" ht="14.4" x14ac:dyDescent="0.3">
      <c r="N589" s="111"/>
    </row>
    <row r="590" spans="14:14" ht="14.4" x14ac:dyDescent="0.3">
      <c r="N590" s="111"/>
    </row>
    <row r="591" spans="14:14" ht="14.4" x14ac:dyDescent="0.3">
      <c r="N591" s="111"/>
    </row>
    <row r="592" spans="14:14" ht="14.4" x14ac:dyDescent="0.3">
      <c r="N592" s="111"/>
    </row>
    <row r="593" spans="14:14" ht="14.4" x14ac:dyDescent="0.3">
      <c r="N593" s="111"/>
    </row>
    <row r="594" spans="14:14" ht="14.4" x14ac:dyDescent="0.3">
      <c r="N594" s="111"/>
    </row>
    <row r="595" spans="14:14" ht="14.4" x14ac:dyDescent="0.3">
      <c r="N595" s="111"/>
    </row>
    <row r="596" spans="14:14" ht="14.4" x14ac:dyDescent="0.3">
      <c r="N596" s="111"/>
    </row>
    <row r="597" spans="14:14" ht="14.4" x14ac:dyDescent="0.3">
      <c r="N597" s="111"/>
    </row>
    <row r="598" spans="14:14" ht="14.4" x14ac:dyDescent="0.3">
      <c r="N598" s="111"/>
    </row>
    <row r="599" spans="14:14" ht="14.4" x14ac:dyDescent="0.3">
      <c r="N599" s="111"/>
    </row>
    <row r="600" spans="14:14" ht="14.4" x14ac:dyDescent="0.3">
      <c r="N600" s="111"/>
    </row>
    <row r="601" spans="14:14" ht="14.4" x14ac:dyDescent="0.3">
      <c r="N601" s="111"/>
    </row>
    <row r="602" spans="14:14" ht="14.4" x14ac:dyDescent="0.3">
      <c r="N602" s="111"/>
    </row>
    <row r="603" spans="14:14" ht="14.4" x14ac:dyDescent="0.3">
      <c r="N603" s="111"/>
    </row>
    <row r="604" spans="14:14" ht="14.4" x14ac:dyDescent="0.3">
      <c r="N604" s="111"/>
    </row>
    <row r="605" spans="14:14" ht="14.4" x14ac:dyDescent="0.3">
      <c r="N605" s="111"/>
    </row>
    <row r="606" spans="14:14" ht="14.4" x14ac:dyDescent="0.3">
      <c r="N606" s="111"/>
    </row>
    <row r="607" spans="14:14" ht="14.4" x14ac:dyDescent="0.3">
      <c r="N607" s="111"/>
    </row>
    <row r="608" spans="14:14" ht="14.4" x14ac:dyDescent="0.3">
      <c r="N608" s="111"/>
    </row>
    <row r="609" spans="14:14" ht="14.4" x14ac:dyDescent="0.3">
      <c r="N609" s="111"/>
    </row>
    <row r="610" spans="14:14" ht="14.4" x14ac:dyDescent="0.3">
      <c r="N610" s="111"/>
    </row>
    <row r="611" spans="14:14" ht="14.4" x14ac:dyDescent="0.3">
      <c r="N611" s="111"/>
    </row>
    <row r="612" spans="14:14" ht="14.4" x14ac:dyDescent="0.3">
      <c r="N612" s="111"/>
    </row>
    <row r="613" spans="14:14" ht="14.4" x14ac:dyDescent="0.3">
      <c r="N613" s="111"/>
    </row>
    <row r="614" spans="14:14" ht="14.4" x14ac:dyDescent="0.3">
      <c r="N614" s="111"/>
    </row>
    <row r="615" spans="14:14" ht="14.4" x14ac:dyDescent="0.3">
      <c r="N615" s="111"/>
    </row>
    <row r="616" spans="14:14" ht="14.4" x14ac:dyDescent="0.3">
      <c r="N616" s="111"/>
    </row>
    <row r="617" spans="14:14" ht="14.4" x14ac:dyDescent="0.3">
      <c r="N617" s="111"/>
    </row>
    <row r="618" spans="14:14" ht="14.4" x14ac:dyDescent="0.3">
      <c r="N618" s="111"/>
    </row>
    <row r="619" spans="14:14" ht="14.4" x14ac:dyDescent="0.3">
      <c r="N619" s="111"/>
    </row>
    <row r="620" spans="14:14" ht="14.4" x14ac:dyDescent="0.3">
      <c r="N620" s="111"/>
    </row>
    <row r="621" spans="14:14" ht="14.4" x14ac:dyDescent="0.3">
      <c r="N621" s="111"/>
    </row>
    <row r="622" spans="14:14" ht="14.4" x14ac:dyDescent="0.3">
      <c r="N622" s="111"/>
    </row>
    <row r="623" spans="14:14" ht="14.4" x14ac:dyDescent="0.3">
      <c r="N623" s="111"/>
    </row>
    <row r="624" spans="14:14" ht="14.4" x14ac:dyDescent="0.3">
      <c r="N624" s="111"/>
    </row>
    <row r="625" spans="14:14" ht="14.4" x14ac:dyDescent="0.3">
      <c r="N625" s="111"/>
    </row>
    <row r="626" spans="14:14" ht="14.4" x14ac:dyDescent="0.3">
      <c r="N626" s="111"/>
    </row>
    <row r="627" spans="14:14" ht="14.4" x14ac:dyDescent="0.3">
      <c r="N627" s="111"/>
    </row>
    <row r="628" spans="14:14" ht="14.4" x14ac:dyDescent="0.3">
      <c r="N628" s="111"/>
    </row>
    <row r="629" spans="14:14" ht="14.4" x14ac:dyDescent="0.3">
      <c r="N629" s="111"/>
    </row>
    <row r="630" spans="14:14" ht="14.4" x14ac:dyDescent="0.3">
      <c r="N630" s="111"/>
    </row>
    <row r="631" spans="14:14" ht="14.4" x14ac:dyDescent="0.3">
      <c r="N631" s="111"/>
    </row>
    <row r="632" spans="14:14" ht="14.4" x14ac:dyDescent="0.3">
      <c r="N632" s="111"/>
    </row>
    <row r="633" spans="14:14" ht="14.4" x14ac:dyDescent="0.3">
      <c r="N633" s="111"/>
    </row>
    <row r="634" spans="14:14" ht="14.4" x14ac:dyDescent="0.3">
      <c r="N634" s="111"/>
    </row>
    <row r="635" spans="14:14" ht="14.4" x14ac:dyDescent="0.3">
      <c r="N635" s="111"/>
    </row>
    <row r="636" spans="14:14" ht="14.4" x14ac:dyDescent="0.3">
      <c r="N636" s="111"/>
    </row>
    <row r="637" spans="14:14" ht="14.4" x14ac:dyDescent="0.3">
      <c r="N637" s="111"/>
    </row>
    <row r="638" spans="14:14" ht="14.4" x14ac:dyDescent="0.3">
      <c r="N638" s="111"/>
    </row>
    <row r="639" spans="14:14" ht="14.4" x14ac:dyDescent="0.3">
      <c r="N639" s="111"/>
    </row>
    <row r="640" spans="14:14" ht="14.4" x14ac:dyDescent="0.3">
      <c r="N640" s="111"/>
    </row>
    <row r="641" spans="14:14" ht="14.4" x14ac:dyDescent="0.3">
      <c r="N641" s="111"/>
    </row>
    <row r="642" spans="14:14" ht="14.4" x14ac:dyDescent="0.3">
      <c r="N642" s="111"/>
    </row>
    <row r="643" spans="14:14" ht="14.4" x14ac:dyDescent="0.3">
      <c r="N643" s="111"/>
    </row>
    <row r="644" spans="14:14" ht="14.4" x14ac:dyDescent="0.3">
      <c r="N644" s="111"/>
    </row>
    <row r="645" spans="14:14" ht="14.4" x14ac:dyDescent="0.3">
      <c r="N645" s="111"/>
    </row>
    <row r="646" spans="14:14" ht="14.4" x14ac:dyDescent="0.3">
      <c r="N646" s="111"/>
    </row>
    <row r="647" spans="14:14" ht="14.4" x14ac:dyDescent="0.3">
      <c r="N647" s="111"/>
    </row>
    <row r="648" spans="14:14" ht="14.4" x14ac:dyDescent="0.3">
      <c r="N648" s="111"/>
    </row>
    <row r="649" spans="14:14" ht="14.4" x14ac:dyDescent="0.3">
      <c r="N649" s="111"/>
    </row>
    <row r="650" spans="14:14" ht="14.4" x14ac:dyDescent="0.3">
      <c r="N650" s="111"/>
    </row>
    <row r="651" spans="14:14" ht="14.4" x14ac:dyDescent="0.3">
      <c r="N651" s="111"/>
    </row>
    <row r="652" spans="14:14" ht="14.4" x14ac:dyDescent="0.3">
      <c r="N652" s="111"/>
    </row>
    <row r="653" spans="14:14" ht="14.4" x14ac:dyDescent="0.3">
      <c r="N653" s="111"/>
    </row>
    <row r="654" spans="14:14" ht="14.4" x14ac:dyDescent="0.3">
      <c r="N654" s="111"/>
    </row>
    <row r="655" spans="14:14" ht="14.4" x14ac:dyDescent="0.3">
      <c r="N655" s="111"/>
    </row>
    <row r="656" spans="14:14" ht="14.4" x14ac:dyDescent="0.3">
      <c r="N656" s="111"/>
    </row>
    <row r="657" spans="14:14" ht="14.4" x14ac:dyDescent="0.3">
      <c r="N657" s="111"/>
    </row>
    <row r="658" spans="14:14" ht="14.4" x14ac:dyDescent="0.3">
      <c r="N658" s="111"/>
    </row>
    <row r="659" spans="14:14" ht="14.4" x14ac:dyDescent="0.3">
      <c r="N659" s="111"/>
    </row>
    <row r="660" spans="14:14" ht="14.4" x14ac:dyDescent="0.3">
      <c r="N660" s="111"/>
    </row>
    <row r="661" spans="14:14" ht="14.4" x14ac:dyDescent="0.3">
      <c r="N661" s="111"/>
    </row>
    <row r="662" spans="14:14" ht="14.4" x14ac:dyDescent="0.3">
      <c r="N662" s="111"/>
    </row>
    <row r="663" spans="14:14" ht="14.4" x14ac:dyDescent="0.3">
      <c r="N663" s="111"/>
    </row>
    <row r="664" spans="14:14" ht="14.4" x14ac:dyDescent="0.3">
      <c r="N664" s="111"/>
    </row>
    <row r="665" spans="14:14" ht="14.4" x14ac:dyDescent="0.3">
      <c r="N665" s="111"/>
    </row>
    <row r="666" spans="14:14" ht="14.4" x14ac:dyDescent="0.3">
      <c r="N666" s="111"/>
    </row>
    <row r="667" spans="14:14" ht="14.4" x14ac:dyDescent="0.3">
      <c r="N667" s="111"/>
    </row>
    <row r="668" spans="14:14" ht="14.4" x14ac:dyDescent="0.3">
      <c r="N668" s="111"/>
    </row>
    <row r="669" spans="14:14" ht="14.4" x14ac:dyDescent="0.3">
      <c r="N669" s="111"/>
    </row>
    <row r="670" spans="14:14" ht="14.4" x14ac:dyDescent="0.3">
      <c r="N670" s="111"/>
    </row>
    <row r="671" spans="14:14" ht="14.4" x14ac:dyDescent="0.3">
      <c r="N671" s="111"/>
    </row>
    <row r="672" spans="14:14" ht="14.4" x14ac:dyDescent="0.3">
      <c r="N672" s="111"/>
    </row>
    <row r="673" spans="14:14" ht="14.4" x14ac:dyDescent="0.3">
      <c r="N673" s="111"/>
    </row>
    <row r="674" spans="14:14" ht="14.4" x14ac:dyDescent="0.3">
      <c r="N674" s="111"/>
    </row>
    <row r="675" spans="14:14" ht="14.4" x14ac:dyDescent="0.3">
      <c r="N675" s="111"/>
    </row>
    <row r="676" spans="14:14" ht="14.4" x14ac:dyDescent="0.3">
      <c r="N676" s="111"/>
    </row>
    <row r="677" spans="14:14" ht="14.4" x14ac:dyDescent="0.3">
      <c r="N677" s="111"/>
    </row>
    <row r="678" spans="14:14" ht="14.4" x14ac:dyDescent="0.3">
      <c r="N678" s="111"/>
    </row>
    <row r="679" spans="14:14" ht="14.4" x14ac:dyDescent="0.3">
      <c r="N679" s="111"/>
    </row>
    <row r="680" spans="14:14" ht="14.4" x14ac:dyDescent="0.3">
      <c r="N680" s="111"/>
    </row>
    <row r="681" spans="14:14" ht="14.4" x14ac:dyDescent="0.3">
      <c r="N681" s="111"/>
    </row>
    <row r="682" spans="14:14" ht="14.4" x14ac:dyDescent="0.3">
      <c r="N682" s="111"/>
    </row>
    <row r="683" spans="14:14" ht="14.4" x14ac:dyDescent="0.3">
      <c r="N683" s="111"/>
    </row>
    <row r="684" spans="14:14" ht="14.4" x14ac:dyDescent="0.3">
      <c r="N684" s="111"/>
    </row>
    <row r="685" spans="14:14" ht="14.4" x14ac:dyDescent="0.3">
      <c r="N685" s="111"/>
    </row>
    <row r="686" spans="14:14" ht="14.4" x14ac:dyDescent="0.3">
      <c r="N686" s="111"/>
    </row>
    <row r="687" spans="14:14" ht="14.4" x14ac:dyDescent="0.3">
      <c r="N687" s="111"/>
    </row>
    <row r="688" spans="14:14" ht="14.4" x14ac:dyDescent="0.3">
      <c r="N688" s="111"/>
    </row>
    <row r="689" spans="14:14" ht="14.4" x14ac:dyDescent="0.3">
      <c r="N689" s="111"/>
    </row>
    <row r="690" spans="14:14" ht="14.4" x14ac:dyDescent="0.3">
      <c r="N690" s="111"/>
    </row>
    <row r="691" spans="14:14" ht="14.4" x14ac:dyDescent="0.3">
      <c r="N691" s="111"/>
    </row>
    <row r="692" spans="14:14" ht="14.4" x14ac:dyDescent="0.3">
      <c r="N692" s="111"/>
    </row>
    <row r="693" spans="14:14" ht="14.4" x14ac:dyDescent="0.3">
      <c r="N693" s="111"/>
    </row>
    <row r="694" spans="14:14" ht="14.4" x14ac:dyDescent="0.3">
      <c r="N694" s="111"/>
    </row>
    <row r="695" spans="14:14" ht="14.4" x14ac:dyDescent="0.3">
      <c r="N695" s="111"/>
    </row>
    <row r="696" spans="14:14" ht="14.4" x14ac:dyDescent="0.3">
      <c r="N696" s="111"/>
    </row>
    <row r="697" spans="14:14" ht="14.4" x14ac:dyDescent="0.3">
      <c r="N697" s="111"/>
    </row>
    <row r="698" spans="14:14" ht="14.4" x14ac:dyDescent="0.3">
      <c r="N698" s="111"/>
    </row>
    <row r="699" spans="14:14" ht="14.4" x14ac:dyDescent="0.3">
      <c r="N699" s="111"/>
    </row>
    <row r="700" spans="14:14" ht="14.4" x14ac:dyDescent="0.3">
      <c r="N700" s="111"/>
    </row>
    <row r="701" spans="14:14" ht="14.4" x14ac:dyDescent="0.3">
      <c r="N701" s="111"/>
    </row>
    <row r="702" spans="14:14" ht="14.4" x14ac:dyDescent="0.3">
      <c r="N702" s="111"/>
    </row>
    <row r="703" spans="14:14" ht="14.4" x14ac:dyDescent="0.3">
      <c r="N703" s="111"/>
    </row>
    <row r="704" spans="14:14" ht="14.4" x14ac:dyDescent="0.3">
      <c r="N704" s="111"/>
    </row>
    <row r="705" spans="14:14" ht="14.4" x14ac:dyDescent="0.3">
      <c r="N705" s="111"/>
    </row>
    <row r="706" spans="14:14" ht="14.4" x14ac:dyDescent="0.3">
      <c r="N706" s="111"/>
    </row>
    <row r="707" spans="14:14" ht="14.4" x14ac:dyDescent="0.3">
      <c r="N707" s="111"/>
    </row>
    <row r="708" spans="14:14" ht="14.4" x14ac:dyDescent="0.3">
      <c r="N708" s="111"/>
    </row>
    <row r="709" spans="14:14" ht="14.4" x14ac:dyDescent="0.3">
      <c r="N709" s="111"/>
    </row>
    <row r="710" spans="14:14" ht="14.4" x14ac:dyDescent="0.3">
      <c r="N710" s="111"/>
    </row>
    <row r="711" spans="14:14" ht="14.4" x14ac:dyDescent="0.3">
      <c r="N711" s="111"/>
    </row>
    <row r="712" spans="14:14" ht="14.4" x14ac:dyDescent="0.3">
      <c r="N712" s="111"/>
    </row>
    <row r="713" spans="14:14" ht="14.4" x14ac:dyDescent="0.3">
      <c r="N713" s="111"/>
    </row>
    <row r="714" spans="14:14" ht="14.4" x14ac:dyDescent="0.3">
      <c r="N714" s="111"/>
    </row>
    <row r="715" spans="14:14" ht="14.4" x14ac:dyDescent="0.3">
      <c r="N715" s="111"/>
    </row>
    <row r="716" spans="14:14" ht="14.4" x14ac:dyDescent="0.3">
      <c r="N716" s="111"/>
    </row>
    <row r="717" spans="14:14" ht="14.4" x14ac:dyDescent="0.3">
      <c r="N717" s="111"/>
    </row>
    <row r="718" spans="14:14" ht="14.4" x14ac:dyDescent="0.3">
      <c r="N718" s="111"/>
    </row>
    <row r="719" spans="14:14" ht="14.4" x14ac:dyDescent="0.3">
      <c r="N719" s="111"/>
    </row>
    <row r="720" spans="14:14" ht="14.4" x14ac:dyDescent="0.3">
      <c r="N720" s="111"/>
    </row>
    <row r="721" spans="14:14" ht="14.4" x14ac:dyDescent="0.3">
      <c r="N721" s="111"/>
    </row>
    <row r="722" spans="14:14" ht="14.4" x14ac:dyDescent="0.3">
      <c r="N722" s="111"/>
    </row>
    <row r="723" spans="14:14" ht="14.4" x14ac:dyDescent="0.3">
      <c r="N723" s="111"/>
    </row>
    <row r="724" spans="14:14" ht="14.4" x14ac:dyDescent="0.3">
      <c r="N724" s="111"/>
    </row>
    <row r="725" spans="14:14" ht="14.4" x14ac:dyDescent="0.3">
      <c r="N725" s="111"/>
    </row>
    <row r="726" spans="14:14" ht="14.4" x14ac:dyDescent="0.3">
      <c r="N726" s="111"/>
    </row>
    <row r="727" spans="14:14" ht="14.4" x14ac:dyDescent="0.3">
      <c r="N727" s="111"/>
    </row>
    <row r="728" spans="14:14" ht="14.4" x14ac:dyDescent="0.3">
      <c r="N728" s="111"/>
    </row>
    <row r="729" spans="14:14" ht="14.4" x14ac:dyDescent="0.3">
      <c r="N729" s="111"/>
    </row>
    <row r="730" spans="14:14" ht="14.4" x14ac:dyDescent="0.3">
      <c r="N730" s="111"/>
    </row>
    <row r="731" spans="14:14" ht="14.4" x14ac:dyDescent="0.3">
      <c r="N731" s="111"/>
    </row>
    <row r="732" spans="14:14" ht="14.4" x14ac:dyDescent="0.3">
      <c r="N732" s="111"/>
    </row>
    <row r="733" spans="14:14" ht="14.4" x14ac:dyDescent="0.3">
      <c r="N733" s="111"/>
    </row>
    <row r="734" spans="14:14" ht="14.4" x14ac:dyDescent="0.3">
      <c r="N734" s="111"/>
    </row>
    <row r="735" spans="14:14" ht="14.4" x14ac:dyDescent="0.3">
      <c r="N735" s="111"/>
    </row>
    <row r="736" spans="14:14" ht="14.4" x14ac:dyDescent="0.3">
      <c r="N736" s="111"/>
    </row>
    <row r="737" spans="14:14" ht="14.4" x14ac:dyDescent="0.3">
      <c r="N737" s="111"/>
    </row>
    <row r="738" spans="14:14" ht="14.4" x14ac:dyDescent="0.3">
      <c r="N738" s="111"/>
    </row>
    <row r="739" spans="14:14" ht="14.4" x14ac:dyDescent="0.3">
      <c r="N739" s="111"/>
    </row>
    <row r="740" spans="14:14" ht="14.4" x14ac:dyDescent="0.3">
      <c r="N740" s="111"/>
    </row>
    <row r="741" spans="14:14" ht="14.4" x14ac:dyDescent="0.3">
      <c r="N741" s="111"/>
    </row>
    <row r="742" spans="14:14" ht="14.4" x14ac:dyDescent="0.3">
      <c r="N742" s="111"/>
    </row>
    <row r="743" spans="14:14" ht="14.4" x14ac:dyDescent="0.3">
      <c r="N743" s="111"/>
    </row>
    <row r="744" spans="14:14" ht="14.4" x14ac:dyDescent="0.3">
      <c r="N744" s="111"/>
    </row>
    <row r="745" spans="14:14" ht="14.4" x14ac:dyDescent="0.3">
      <c r="N745" s="111"/>
    </row>
    <row r="746" spans="14:14" ht="14.4" x14ac:dyDescent="0.3">
      <c r="N746" s="111"/>
    </row>
    <row r="747" spans="14:14" ht="14.4" x14ac:dyDescent="0.3">
      <c r="N747" s="111"/>
    </row>
    <row r="748" spans="14:14" ht="14.4" x14ac:dyDescent="0.3">
      <c r="N748" s="111"/>
    </row>
    <row r="749" spans="14:14" ht="14.4" x14ac:dyDescent="0.3">
      <c r="N749" s="111"/>
    </row>
    <row r="750" spans="14:14" ht="14.4" x14ac:dyDescent="0.3">
      <c r="N750" s="111"/>
    </row>
    <row r="751" spans="14:14" ht="14.4" x14ac:dyDescent="0.3">
      <c r="N751" s="111"/>
    </row>
    <row r="752" spans="14:14" ht="14.4" x14ac:dyDescent="0.3">
      <c r="N752" s="111"/>
    </row>
    <row r="753" spans="14:14" ht="14.4" x14ac:dyDescent="0.3">
      <c r="N753" s="111"/>
    </row>
    <row r="754" spans="14:14" ht="14.4" x14ac:dyDescent="0.3">
      <c r="N754" s="111"/>
    </row>
    <row r="755" spans="14:14" ht="14.4" x14ac:dyDescent="0.3">
      <c r="N755" s="111"/>
    </row>
    <row r="756" spans="14:14" ht="14.4" x14ac:dyDescent="0.3">
      <c r="N756" s="111"/>
    </row>
    <row r="757" spans="14:14" ht="14.4" x14ac:dyDescent="0.3">
      <c r="N757" s="111"/>
    </row>
    <row r="758" spans="14:14" ht="14.4" x14ac:dyDescent="0.3">
      <c r="N758" s="111"/>
    </row>
    <row r="759" spans="14:14" ht="14.4" x14ac:dyDescent="0.3">
      <c r="N759" s="111"/>
    </row>
    <row r="760" spans="14:14" ht="14.4" x14ac:dyDescent="0.3">
      <c r="N760" s="111"/>
    </row>
    <row r="761" spans="14:14" ht="14.4" x14ac:dyDescent="0.3">
      <c r="N761" s="111"/>
    </row>
    <row r="762" spans="14:14" ht="14.4" x14ac:dyDescent="0.3">
      <c r="N762" s="111"/>
    </row>
    <row r="763" spans="14:14" ht="14.4" x14ac:dyDescent="0.3">
      <c r="N763" s="111"/>
    </row>
    <row r="764" spans="14:14" ht="14.4" x14ac:dyDescent="0.3">
      <c r="N764" s="111"/>
    </row>
    <row r="765" spans="14:14" ht="14.4" x14ac:dyDescent="0.3">
      <c r="N765" s="111"/>
    </row>
    <row r="766" spans="14:14" ht="14.4" x14ac:dyDescent="0.3">
      <c r="N766" s="111"/>
    </row>
    <row r="767" spans="14:14" ht="14.4" x14ac:dyDescent="0.3">
      <c r="N767" s="111"/>
    </row>
    <row r="768" spans="14:14" ht="14.4" x14ac:dyDescent="0.3">
      <c r="N768" s="111"/>
    </row>
    <row r="769" spans="14:14" ht="14.4" x14ac:dyDescent="0.3">
      <c r="N769" s="111"/>
    </row>
    <row r="770" spans="14:14" ht="14.4" x14ac:dyDescent="0.3">
      <c r="N770" s="111"/>
    </row>
    <row r="771" spans="14:14" ht="14.4" x14ac:dyDescent="0.3">
      <c r="N771" s="111"/>
    </row>
    <row r="772" spans="14:14" ht="14.4" x14ac:dyDescent="0.3">
      <c r="N772" s="111"/>
    </row>
    <row r="773" spans="14:14" ht="14.4" x14ac:dyDescent="0.3">
      <c r="N773" s="111"/>
    </row>
    <row r="774" spans="14:14" ht="14.4" x14ac:dyDescent="0.3">
      <c r="N774" s="111"/>
    </row>
    <row r="775" spans="14:14" ht="14.4" x14ac:dyDescent="0.3">
      <c r="N775" s="111"/>
    </row>
    <row r="776" spans="14:14" ht="14.4" x14ac:dyDescent="0.3">
      <c r="N776" s="111"/>
    </row>
    <row r="777" spans="14:14" ht="14.4" x14ac:dyDescent="0.3">
      <c r="N777" s="111"/>
    </row>
    <row r="778" spans="14:14" ht="14.4" x14ac:dyDescent="0.3">
      <c r="N778" s="111"/>
    </row>
    <row r="779" spans="14:14" ht="14.4" x14ac:dyDescent="0.3">
      <c r="N779" s="111"/>
    </row>
    <row r="780" spans="14:14" ht="14.4" x14ac:dyDescent="0.3">
      <c r="N780" s="111"/>
    </row>
    <row r="781" spans="14:14" ht="14.4" x14ac:dyDescent="0.3">
      <c r="N781" s="111"/>
    </row>
    <row r="782" spans="14:14" ht="14.4" x14ac:dyDescent="0.3">
      <c r="N782" s="111"/>
    </row>
    <row r="783" spans="14:14" ht="14.4" x14ac:dyDescent="0.3">
      <c r="N783" s="111"/>
    </row>
    <row r="784" spans="14:14" ht="14.4" x14ac:dyDescent="0.3">
      <c r="N784" s="111"/>
    </row>
    <row r="785" spans="14:14" ht="14.4" x14ac:dyDescent="0.3">
      <c r="N785" s="111"/>
    </row>
    <row r="786" spans="14:14" ht="14.4" x14ac:dyDescent="0.3">
      <c r="N786" s="111"/>
    </row>
    <row r="787" spans="14:14" ht="14.4" x14ac:dyDescent="0.3">
      <c r="N787" s="111"/>
    </row>
    <row r="788" spans="14:14" ht="14.4" x14ac:dyDescent="0.3">
      <c r="N788" s="111"/>
    </row>
    <row r="789" spans="14:14" ht="14.4" x14ac:dyDescent="0.3">
      <c r="N789" s="111"/>
    </row>
    <row r="790" spans="14:14" ht="14.4" x14ac:dyDescent="0.3">
      <c r="N790" s="111"/>
    </row>
    <row r="791" spans="14:14" ht="14.4" x14ac:dyDescent="0.3">
      <c r="N791" s="111"/>
    </row>
    <row r="792" spans="14:14" ht="14.4" x14ac:dyDescent="0.3">
      <c r="N792" s="111"/>
    </row>
    <row r="793" spans="14:14" ht="14.4" x14ac:dyDescent="0.3">
      <c r="N793" s="111"/>
    </row>
    <row r="794" spans="14:14" ht="14.4" x14ac:dyDescent="0.3">
      <c r="N794" s="111"/>
    </row>
    <row r="795" spans="14:14" ht="14.4" x14ac:dyDescent="0.3">
      <c r="N795" s="111"/>
    </row>
    <row r="796" spans="14:14" ht="14.4" x14ac:dyDescent="0.3">
      <c r="N796" s="111"/>
    </row>
    <row r="797" spans="14:14" ht="14.4" x14ac:dyDescent="0.3">
      <c r="N797" s="111"/>
    </row>
    <row r="798" spans="14:14" ht="14.4" x14ac:dyDescent="0.3">
      <c r="N798" s="111"/>
    </row>
    <row r="799" spans="14:14" ht="14.4" x14ac:dyDescent="0.3">
      <c r="N799" s="111"/>
    </row>
    <row r="800" spans="14:14" ht="14.4" x14ac:dyDescent="0.3">
      <c r="N800" s="111"/>
    </row>
    <row r="801" spans="14:14" ht="14.4" x14ac:dyDescent="0.3">
      <c r="N801" s="111"/>
    </row>
    <row r="802" spans="14:14" ht="14.4" x14ac:dyDescent="0.3">
      <c r="N802" s="111"/>
    </row>
    <row r="803" spans="14:14" ht="14.4" x14ac:dyDescent="0.3">
      <c r="N803" s="111"/>
    </row>
    <row r="804" spans="14:14" ht="14.4" x14ac:dyDescent="0.3">
      <c r="N804" s="111"/>
    </row>
    <row r="805" spans="14:14" ht="14.4" x14ac:dyDescent="0.3">
      <c r="N805" s="111"/>
    </row>
    <row r="806" spans="14:14" ht="14.4" x14ac:dyDescent="0.3">
      <c r="N806" s="111"/>
    </row>
    <row r="807" spans="14:14" ht="14.4" x14ac:dyDescent="0.3">
      <c r="N807" s="111"/>
    </row>
    <row r="808" spans="14:14" ht="14.4" x14ac:dyDescent="0.3">
      <c r="N808" s="111"/>
    </row>
    <row r="809" spans="14:14" ht="14.4" x14ac:dyDescent="0.3">
      <c r="N809" s="111"/>
    </row>
    <row r="810" spans="14:14" ht="14.4" x14ac:dyDescent="0.3">
      <c r="N810" s="111"/>
    </row>
    <row r="811" spans="14:14" ht="14.4" x14ac:dyDescent="0.3">
      <c r="N811" s="111"/>
    </row>
    <row r="812" spans="14:14" ht="14.4" x14ac:dyDescent="0.3">
      <c r="N812" s="111"/>
    </row>
    <row r="813" spans="14:14" ht="14.4" x14ac:dyDescent="0.3">
      <c r="N813" s="111"/>
    </row>
    <row r="814" spans="14:14" ht="14.4" x14ac:dyDescent="0.3">
      <c r="N814" s="111"/>
    </row>
    <row r="815" spans="14:14" ht="14.4" x14ac:dyDescent="0.3">
      <c r="N815" s="111"/>
    </row>
    <row r="816" spans="14:14" ht="14.4" x14ac:dyDescent="0.3">
      <c r="N816" s="111"/>
    </row>
    <row r="817" spans="14:14" ht="14.4" x14ac:dyDescent="0.3">
      <c r="N817" s="111"/>
    </row>
    <row r="818" spans="14:14" ht="14.4" x14ac:dyDescent="0.3">
      <c r="N818" s="111"/>
    </row>
    <row r="819" spans="14:14" ht="14.4" x14ac:dyDescent="0.3">
      <c r="N819" s="111"/>
    </row>
    <row r="820" spans="14:14" ht="14.4" x14ac:dyDescent="0.3">
      <c r="N820" s="111"/>
    </row>
    <row r="821" spans="14:14" ht="14.4" x14ac:dyDescent="0.3">
      <c r="N821" s="111"/>
    </row>
    <row r="822" spans="14:14" ht="14.4" x14ac:dyDescent="0.3">
      <c r="N822" s="111"/>
    </row>
    <row r="823" spans="14:14" ht="14.4" x14ac:dyDescent="0.3">
      <c r="N823" s="111"/>
    </row>
    <row r="824" spans="14:14" ht="14.4" x14ac:dyDescent="0.3">
      <c r="N824" s="111"/>
    </row>
    <row r="825" spans="14:14" ht="14.4" x14ac:dyDescent="0.3">
      <c r="N825" s="111"/>
    </row>
    <row r="826" spans="14:14" ht="14.4" x14ac:dyDescent="0.3">
      <c r="N826" s="111"/>
    </row>
    <row r="827" spans="14:14" ht="14.4" x14ac:dyDescent="0.3">
      <c r="N827" s="111"/>
    </row>
    <row r="828" spans="14:14" ht="14.4" x14ac:dyDescent="0.3">
      <c r="N828" s="111"/>
    </row>
    <row r="829" spans="14:14" ht="14.4" x14ac:dyDescent="0.3">
      <c r="N829" s="111"/>
    </row>
    <row r="830" spans="14:14" ht="14.4" x14ac:dyDescent="0.3">
      <c r="N830" s="111"/>
    </row>
    <row r="831" spans="14:14" ht="14.4" x14ac:dyDescent="0.3">
      <c r="N831" s="111"/>
    </row>
    <row r="832" spans="14:14" ht="14.4" x14ac:dyDescent="0.3">
      <c r="N832" s="111"/>
    </row>
    <row r="833" spans="14:14" ht="14.4" x14ac:dyDescent="0.3">
      <c r="N833" s="111"/>
    </row>
    <row r="834" spans="14:14" ht="14.4" x14ac:dyDescent="0.3">
      <c r="N834" s="111"/>
    </row>
    <row r="835" spans="14:14" ht="14.4" x14ac:dyDescent="0.3">
      <c r="N835" s="111"/>
    </row>
    <row r="836" spans="14:14" ht="14.4" x14ac:dyDescent="0.3">
      <c r="N836" s="111"/>
    </row>
    <row r="837" spans="14:14" ht="14.4" x14ac:dyDescent="0.3">
      <c r="N837" s="111"/>
    </row>
    <row r="838" spans="14:14" ht="14.4" x14ac:dyDescent="0.3">
      <c r="N838" s="111"/>
    </row>
    <row r="839" spans="14:14" ht="14.4" x14ac:dyDescent="0.3">
      <c r="N839" s="111"/>
    </row>
    <row r="840" spans="14:14" ht="14.4" x14ac:dyDescent="0.3">
      <c r="N840" s="111"/>
    </row>
    <row r="841" spans="14:14" ht="14.4" x14ac:dyDescent="0.3">
      <c r="N841" s="111"/>
    </row>
    <row r="842" spans="14:14" ht="14.4" x14ac:dyDescent="0.3">
      <c r="N842" s="111"/>
    </row>
    <row r="843" spans="14:14" ht="14.4" x14ac:dyDescent="0.3">
      <c r="N843" s="111"/>
    </row>
    <row r="844" spans="14:14" ht="14.4" x14ac:dyDescent="0.3">
      <c r="N844" s="111"/>
    </row>
    <row r="845" spans="14:14" ht="14.4" x14ac:dyDescent="0.3">
      <c r="N845" s="111"/>
    </row>
    <row r="846" spans="14:14" ht="14.4" x14ac:dyDescent="0.3">
      <c r="N846" s="111"/>
    </row>
    <row r="847" spans="14:14" ht="14.4" x14ac:dyDescent="0.3">
      <c r="N847" s="111"/>
    </row>
    <row r="848" spans="14:14" ht="14.4" x14ac:dyDescent="0.3">
      <c r="N848" s="111"/>
    </row>
    <row r="849" spans="14:14" ht="14.4" x14ac:dyDescent="0.3">
      <c r="N849" s="111"/>
    </row>
    <row r="850" spans="14:14" ht="14.4" x14ac:dyDescent="0.3">
      <c r="N850" s="111"/>
    </row>
    <row r="851" spans="14:14" ht="14.4" x14ac:dyDescent="0.3">
      <c r="N851" s="111"/>
    </row>
    <row r="852" spans="14:14" ht="14.4" x14ac:dyDescent="0.3">
      <c r="N852" s="111"/>
    </row>
    <row r="853" spans="14:14" ht="14.4" x14ac:dyDescent="0.3">
      <c r="N853" s="111"/>
    </row>
    <row r="854" spans="14:14" ht="14.4" x14ac:dyDescent="0.3">
      <c r="N854" s="111"/>
    </row>
    <row r="855" spans="14:14" ht="14.4" x14ac:dyDescent="0.3">
      <c r="N855" s="111"/>
    </row>
    <row r="856" spans="14:14" ht="14.4" x14ac:dyDescent="0.3">
      <c r="N856" s="111"/>
    </row>
    <row r="857" spans="14:14" ht="14.4" x14ac:dyDescent="0.3">
      <c r="N857" s="111"/>
    </row>
    <row r="858" spans="14:14" ht="14.4" x14ac:dyDescent="0.3">
      <c r="N858" s="111"/>
    </row>
    <row r="859" spans="14:14" ht="14.4" x14ac:dyDescent="0.3">
      <c r="N859" s="111"/>
    </row>
    <row r="860" spans="14:14" ht="14.4" x14ac:dyDescent="0.3">
      <c r="N860" s="111"/>
    </row>
    <row r="861" spans="14:14" ht="14.4" x14ac:dyDescent="0.3">
      <c r="N861" s="111"/>
    </row>
    <row r="862" spans="14:14" ht="14.4" x14ac:dyDescent="0.3">
      <c r="N862" s="111"/>
    </row>
    <row r="863" spans="14:14" ht="14.4" x14ac:dyDescent="0.3">
      <c r="N863" s="111"/>
    </row>
    <row r="864" spans="14:14" ht="14.4" x14ac:dyDescent="0.3">
      <c r="N864" s="111"/>
    </row>
    <row r="865" spans="14:14" ht="14.4" x14ac:dyDescent="0.3">
      <c r="N865" s="111"/>
    </row>
    <row r="866" spans="14:14" ht="14.4" x14ac:dyDescent="0.3">
      <c r="N866" s="111"/>
    </row>
    <row r="867" spans="14:14" ht="14.4" x14ac:dyDescent="0.3">
      <c r="N867" s="111"/>
    </row>
    <row r="868" spans="14:14" ht="14.4" x14ac:dyDescent="0.3">
      <c r="N868" s="111"/>
    </row>
    <row r="869" spans="14:14" ht="14.4" x14ac:dyDescent="0.3">
      <c r="N869" s="111"/>
    </row>
    <row r="870" spans="14:14" ht="14.4" x14ac:dyDescent="0.3">
      <c r="N870" s="111"/>
    </row>
    <row r="871" spans="14:14" ht="14.4" x14ac:dyDescent="0.3">
      <c r="N871" s="111"/>
    </row>
    <row r="872" spans="14:14" ht="14.4" x14ac:dyDescent="0.3">
      <c r="N872" s="111"/>
    </row>
    <row r="873" spans="14:14" ht="14.4" x14ac:dyDescent="0.3">
      <c r="N873" s="111"/>
    </row>
    <row r="874" spans="14:14" ht="14.4" x14ac:dyDescent="0.3">
      <c r="N874" s="111"/>
    </row>
    <row r="875" spans="14:14" ht="14.4" x14ac:dyDescent="0.3">
      <c r="N875" s="111"/>
    </row>
    <row r="876" spans="14:14" ht="14.4" x14ac:dyDescent="0.3">
      <c r="N876" s="111"/>
    </row>
    <row r="877" spans="14:14" ht="14.4" x14ac:dyDescent="0.3">
      <c r="N877" s="111"/>
    </row>
    <row r="878" spans="14:14" ht="14.4" x14ac:dyDescent="0.3">
      <c r="N878" s="111"/>
    </row>
    <row r="879" spans="14:14" ht="14.4" x14ac:dyDescent="0.3">
      <c r="N879" s="111"/>
    </row>
    <row r="880" spans="14:14" ht="14.4" x14ac:dyDescent="0.3">
      <c r="N880" s="111"/>
    </row>
    <row r="881" spans="14:14" ht="14.4" x14ac:dyDescent="0.3">
      <c r="N881" s="111"/>
    </row>
    <row r="882" spans="14:14" ht="14.4" x14ac:dyDescent="0.3">
      <c r="N882" s="111"/>
    </row>
    <row r="883" spans="14:14" ht="14.4" x14ac:dyDescent="0.3">
      <c r="N883" s="111"/>
    </row>
    <row r="884" spans="14:14" ht="14.4" x14ac:dyDescent="0.3">
      <c r="N884" s="111"/>
    </row>
    <row r="885" spans="14:14" ht="14.4" x14ac:dyDescent="0.3">
      <c r="N885" s="111"/>
    </row>
    <row r="886" spans="14:14" ht="14.4" x14ac:dyDescent="0.3">
      <c r="N886" s="111"/>
    </row>
    <row r="887" spans="14:14" ht="14.4" x14ac:dyDescent="0.3">
      <c r="N887" s="111"/>
    </row>
    <row r="888" spans="14:14" ht="14.4" x14ac:dyDescent="0.3">
      <c r="N888" s="111"/>
    </row>
    <row r="889" spans="14:14" ht="14.4" x14ac:dyDescent="0.3">
      <c r="N889" s="111"/>
    </row>
    <row r="890" spans="14:14" ht="14.4" x14ac:dyDescent="0.3">
      <c r="N890" s="111"/>
    </row>
    <row r="891" spans="14:14" ht="14.4" x14ac:dyDescent="0.3">
      <c r="N891" s="111"/>
    </row>
    <row r="892" spans="14:14" ht="14.4" x14ac:dyDescent="0.3">
      <c r="N892" s="111"/>
    </row>
    <row r="893" spans="14:14" ht="14.4" x14ac:dyDescent="0.3">
      <c r="N893" s="111"/>
    </row>
    <row r="894" spans="14:14" ht="14.4" x14ac:dyDescent="0.3">
      <c r="N894" s="111"/>
    </row>
    <row r="895" spans="14:14" ht="14.4" x14ac:dyDescent="0.3">
      <c r="N895" s="111"/>
    </row>
    <row r="896" spans="14:14" ht="14.4" x14ac:dyDescent="0.3">
      <c r="N896" s="111"/>
    </row>
    <row r="897" spans="14:14" ht="14.4" x14ac:dyDescent="0.3">
      <c r="N897" s="111"/>
    </row>
    <row r="898" spans="14:14" ht="14.4" x14ac:dyDescent="0.3">
      <c r="N898" s="111"/>
    </row>
    <row r="899" spans="14:14" ht="14.4" x14ac:dyDescent="0.3">
      <c r="N899" s="111"/>
    </row>
    <row r="900" spans="14:14" ht="14.4" x14ac:dyDescent="0.3">
      <c r="N900" s="111"/>
    </row>
    <row r="901" spans="14:14" ht="14.4" x14ac:dyDescent="0.3">
      <c r="N901" s="111"/>
    </row>
    <row r="902" spans="14:14" ht="14.4" x14ac:dyDescent="0.3">
      <c r="N902" s="111"/>
    </row>
    <row r="903" spans="14:14" ht="14.4" x14ac:dyDescent="0.3">
      <c r="N903" s="111"/>
    </row>
    <row r="904" spans="14:14" ht="14.4" x14ac:dyDescent="0.3">
      <c r="N904" s="111"/>
    </row>
    <row r="905" spans="14:14" ht="14.4" x14ac:dyDescent="0.3">
      <c r="N905" s="111"/>
    </row>
    <row r="906" spans="14:14" ht="14.4" x14ac:dyDescent="0.3">
      <c r="N906" s="111"/>
    </row>
    <row r="907" spans="14:14" ht="14.4" x14ac:dyDescent="0.3">
      <c r="N907" s="111"/>
    </row>
    <row r="908" spans="14:14" ht="14.4" x14ac:dyDescent="0.3">
      <c r="N908" s="111"/>
    </row>
    <row r="909" spans="14:14" ht="14.4" x14ac:dyDescent="0.3">
      <c r="N909" s="111"/>
    </row>
    <row r="910" spans="14:14" ht="14.4" x14ac:dyDescent="0.3">
      <c r="N910" s="111"/>
    </row>
    <row r="911" spans="14:14" ht="14.4" x14ac:dyDescent="0.3">
      <c r="N911" s="111"/>
    </row>
    <row r="912" spans="14:14" ht="14.4" x14ac:dyDescent="0.3">
      <c r="N912" s="111"/>
    </row>
    <row r="913" spans="14:14" ht="14.4" x14ac:dyDescent="0.3">
      <c r="N913" s="111"/>
    </row>
    <row r="914" spans="14:14" ht="14.4" x14ac:dyDescent="0.3">
      <c r="N914" s="111"/>
    </row>
    <row r="915" spans="14:14" ht="14.4" x14ac:dyDescent="0.3">
      <c r="N915" s="111"/>
    </row>
    <row r="916" spans="14:14" ht="14.4" x14ac:dyDescent="0.3">
      <c r="N916" s="111"/>
    </row>
    <row r="917" spans="14:14" ht="14.4" x14ac:dyDescent="0.3">
      <c r="N917" s="111"/>
    </row>
    <row r="918" spans="14:14" ht="14.4" x14ac:dyDescent="0.3">
      <c r="N918" s="111"/>
    </row>
    <row r="919" spans="14:14" ht="14.4" x14ac:dyDescent="0.3">
      <c r="N919" s="111"/>
    </row>
    <row r="920" spans="14:14" ht="14.4" x14ac:dyDescent="0.3">
      <c r="N920" s="111"/>
    </row>
    <row r="921" spans="14:14" ht="14.4" x14ac:dyDescent="0.3">
      <c r="N921" s="111"/>
    </row>
    <row r="922" spans="14:14" ht="14.4" x14ac:dyDescent="0.3">
      <c r="N922" s="111"/>
    </row>
    <row r="923" spans="14:14" ht="14.4" x14ac:dyDescent="0.3">
      <c r="N923" s="111"/>
    </row>
    <row r="924" spans="14:14" ht="14.4" x14ac:dyDescent="0.3">
      <c r="N924" s="111"/>
    </row>
    <row r="925" spans="14:14" ht="14.4" x14ac:dyDescent="0.3">
      <c r="N925" s="111"/>
    </row>
    <row r="926" spans="14:14" ht="14.4" x14ac:dyDescent="0.3">
      <c r="N926" s="111"/>
    </row>
    <row r="927" spans="14:14" ht="14.4" x14ac:dyDescent="0.3">
      <c r="N927" s="111"/>
    </row>
    <row r="928" spans="14:14" ht="14.4" x14ac:dyDescent="0.3">
      <c r="N928" s="111"/>
    </row>
    <row r="929" spans="14:14" ht="14.4" x14ac:dyDescent="0.3">
      <c r="N929" s="111"/>
    </row>
    <row r="930" spans="14:14" ht="14.4" x14ac:dyDescent="0.3">
      <c r="N930" s="111"/>
    </row>
    <row r="931" spans="14:14" ht="14.4" x14ac:dyDescent="0.3">
      <c r="N931" s="111"/>
    </row>
    <row r="932" spans="14:14" ht="14.4" x14ac:dyDescent="0.3">
      <c r="N932" s="111"/>
    </row>
    <row r="933" spans="14:14" ht="14.4" x14ac:dyDescent="0.3">
      <c r="N933" s="111"/>
    </row>
    <row r="934" spans="14:14" ht="14.4" x14ac:dyDescent="0.3">
      <c r="N934" s="111"/>
    </row>
    <row r="935" spans="14:14" ht="14.4" x14ac:dyDescent="0.3">
      <c r="N935" s="111"/>
    </row>
    <row r="936" spans="14:14" ht="14.4" x14ac:dyDescent="0.3">
      <c r="N936" s="111"/>
    </row>
    <row r="937" spans="14:14" ht="14.4" x14ac:dyDescent="0.3">
      <c r="N937" s="111"/>
    </row>
    <row r="938" spans="14:14" ht="14.4" x14ac:dyDescent="0.3">
      <c r="N938" s="111"/>
    </row>
    <row r="939" spans="14:14" ht="14.4" x14ac:dyDescent="0.3">
      <c r="N939" s="111"/>
    </row>
    <row r="940" spans="14:14" ht="14.4" x14ac:dyDescent="0.3">
      <c r="N940" s="111"/>
    </row>
    <row r="941" spans="14:14" ht="14.4" x14ac:dyDescent="0.3">
      <c r="N941" s="111"/>
    </row>
    <row r="942" spans="14:14" ht="14.4" x14ac:dyDescent="0.3">
      <c r="N942" s="111"/>
    </row>
    <row r="943" spans="14:14" ht="14.4" x14ac:dyDescent="0.3">
      <c r="N943" s="111"/>
    </row>
    <row r="944" spans="14:14" ht="14.4" x14ac:dyDescent="0.3">
      <c r="N944" s="111"/>
    </row>
    <row r="945" spans="14:14" ht="14.4" x14ac:dyDescent="0.3">
      <c r="N945" s="111"/>
    </row>
    <row r="946" spans="14:14" ht="14.4" x14ac:dyDescent="0.3">
      <c r="N946" s="111"/>
    </row>
    <row r="947" spans="14:14" ht="14.4" x14ac:dyDescent="0.3">
      <c r="N947" s="111"/>
    </row>
    <row r="948" spans="14:14" ht="14.4" x14ac:dyDescent="0.3">
      <c r="N948" s="111"/>
    </row>
    <row r="949" spans="14:14" ht="14.4" x14ac:dyDescent="0.3">
      <c r="N949" s="111"/>
    </row>
    <row r="950" spans="14:14" ht="14.4" x14ac:dyDescent="0.3">
      <c r="N950" s="111"/>
    </row>
    <row r="951" spans="14:14" ht="14.4" x14ac:dyDescent="0.3">
      <c r="N951" s="111"/>
    </row>
    <row r="952" spans="14:14" ht="14.4" x14ac:dyDescent="0.3">
      <c r="N952" s="111"/>
    </row>
    <row r="953" spans="14:14" ht="14.4" x14ac:dyDescent="0.3">
      <c r="N953" s="111"/>
    </row>
    <row r="954" spans="14:14" ht="14.4" x14ac:dyDescent="0.3">
      <c r="N954" s="111"/>
    </row>
    <row r="955" spans="14:14" ht="14.4" x14ac:dyDescent="0.3">
      <c r="N955" s="111"/>
    </row>
    <row r="956" spans="14:14" ht="14.4" x14ac:dyDescent="0.3">
      <c r="N956" s="111"/>
    </row>
    <row r="957" spans="14:14" ht="14.4" x14ac:dyDescent="0.3">
      <c r="N957" s="111"/>
    </row>
    <row r="958" spans="14:14" ht="14.4" x14ac:dyDescent="0.3">
      <c r="N958" s="111"/>
    </row>
    <row r="959" spans="14:14" ht="14.4" x14ac:dyDescent="0.3">
      <c r="N959" s="111"/>
    </row>
    <row r="960" spans="14:14" ht="14.4" x14ac:dyDescent="0.3">
      <c r="N960" s="111"/>
    </row>
    <row r="961" spans="14:14" ht="14.4" x14ac:dyDescent="0.3">
      <c r="N961" s="111"/>
    </row>
    <row r="962" spans="14:14" ht="14.4" x14ac:dyDescent="0.3">
      <c r="N962" s="111"/>
    </row>
    <row r="963" spans="14:14" ht="14.4" x14ac:dyDescent="0.3">
      <c r="N963" s="111"/>
    </row>
    <row r="964" spans="14:14" ht="14.4" x14ac:dyDescent="0.3">
      <c r="N964" s="111"/>
    </row>
    <row r="965" spans="14:14" ht="14.4" x14ac:dyDescent="0.3">
      <c r="N965" s="111"/>
    </row>
    <row r="966" spans="14:14" ht="14.4" x14ac:dyDescent="0.3">
      <c r="N966" s="111"/>
    </row>
    <row r="967" spans="14:14" ht="14.4" x14ac:dyDescent="0.3">
      <c r="N967" s="111"/>
    </row>
    <row r="968" spans="14:14" ht="14.4" x14ac:dyDescent="0.3">
      <c r="N968" s="111"/>
    </row>
    <row r="969" spans="14:14" ht="14.4" x14ac:dyDescent="0.3">
      <c r="N969" s="111"/>
    </row>
    <row r="970" spans="14:14" ht="14.4" x14ac:dyDescent="0.3">
      <c r="N970" s="111"/>
    </row>
    <row r="971" spans="14:14" ht="14.4" x14ac:dyDescent="0.3">
      <c r="N971" s="111"/>
    </row>
    <row r="972" spans="14:14" ht="14.4" x14ac:dyDescent="0.3">
      <c r="N972" s="111"/>
    </row>
    <row r="973" spans="14:14" ht="14.4" x14ac:dyDescent="0.3">
      <c r="N973" s="111"/>
    </row>
    <row r="974" spans="14:14" ht="14.4" x14ac:dyDescent="0.3">
      <c r="N974" s="111"/>
    </row>
    <row r="975" spans="14:14" ht="14.4" x14ac:dyDescent="0.3">
      <c r="N975" s="111"/>
    </row>
    <row r="976" spans="14:14" ht="14.4" x14ac:dyDescent="0.3">
      <c r="N976" s="111"/>
    </row>
    <row r="977" spans="14:14" ht="14.4" x14ac:dyDescent="0.3">
      <c r="N977" s="111"/>
    </row>
    <row r="978" spans="14:14" ht="14.4" x14ac:dyDescent="0.3">
      <c r="N978" s="111"/>
    </row>
    <row r="979" spans="14:14" ht="14.4" x14ac:dyDescent="0.3">
      <c r="N979" s="111"/>
    </row>
    <row r="980" spans="14:14" ht="14.4" x14ac:dyDescent="0.3">
      <c r="N980" s="111"/>
    </row>
    <row r="981" spans="14:14" ht="14.4" x14ac:dyDescent="0.3">
      <c r="N981" s="111"/>
    </row>
    <row r="982" spans="14:14" ht="14.4" x14ac:dyDescent="0.3">
      <c r="N982" s="111"/>
    </row>
    <row r="983" spans="14:14" ht="14.4" x14ac:dyDescent="0.3">
      <c r="N983" s="111"/>
    </row>
    <row r="984" spans="14:14" ht="14.4" x14ac:dyDescent="0.3">
      <c r="N984" s="111"/>
    </row>
    <row r="985" spans="14:14" ht="14.4" x14ac:dyDescent="0.3">
      <c r="N985" s="111"/>
    </row>
    <row r="986" spans="14:14" ht="14.4" x14ac:dyDescent="0.3">
      <c r="N986" s="111"/>
    </row>
    <row r="987" spans="14:14" ht="14.4" x14ac:dyDescent="0.3">
      <c r="N987" s="111"/>
    </row>
    <row r="988" spans="14:14" ht="14.4" x14ac:dyDescent="0.3">
      <c r="N988" s="111"/>
    </row>
    <row r="989" spans="14:14" ht="14.4" x14ac:dyDescent="0.3">
      <c r="N989" s="111"/>
    </row>
    <row r="990" spans="14:14" ht="14.4" x14ac:dyDescent="0.3">
      <c r="N990" s="111"/>
    </row>
    <row r="991" spans="14:14" ht="14.4" x14ac:dyDescent="0.3">
      <c r="N991" s="111"/>
    </row>
    <row r="992" spans="14:14" ht="14.4" x14ac:dyDescent="0.3">
      <c r="N992" s="111"/>
    </row>
    <row r="993" spans="14:14" ht="14.4" x14ac:dyDescent="0.3">
      <c r="N993" s="111"/>
    </row>
    <row r="994" spans="14:14" ht="14.4" x14ac:dyDescent="0.3">
      <c r="N994" s="111"/>
    </row>
    <row r="995" spans="14:14" ht="14.4" x14ac:dyDescent="0.3">
      <c r="N995" s="111"/>
    </row>
    <row r="996" spans="14:14" ht="14.4" x14ac:dyDescent="0.3">
      <c r="N996" s="111"/>
    </row>
    <row r="997" spans="14:14" ht="14.4" x14ac:dyDescent="0.3">
      <c r="N997" s="111"/>
    </row>
    <row r="998" spans="14:14" ht="14.4" x14ac:dyDescent="0.3">
      <c r="N998" s="111"/>
    </row>
    <row r="999" spans="14:14" ht="14.4" x14ac:dyDescent="0.3">
      <c r="N999" s="111"/>
    </row>
  </sheetData>
  <autoFilter ref="A2:AF37" xr:uid="{00000000-0009-0000-0000-000004000000}">
    <sortState xmlns:xlrd2="http://schemas.microsoft.com/office/spreadsheetml/2017/richdata2" ref="A2:AF37">
      <sortCondition ref="D2:D37"/>
      <sortCondition ref="A2:A37"/>
    </sortState>
  </autoFilter>
  <conditionalFormatting sqref="L30">
    <cfRule type="expression" dxfId="2" priority="1">
      <formula>"B:B=Listed"</formula>
    </cfRule>
  </conditionalFormatting>
  <conditionalFormatting sqref="N1:N999">
    <cfRule type="cellIs" dxfId="1" priority="2" operator="lessThan">
      <formula>0</formula>
    </cfRule>
  </conditionalFormatting>
  <dataValidations count="4">
    <dataValidation type="list" allowBlank="1" showErrorMessage="1" sqref="B13:B16" xr:uid="{DA7764F8-BEC1-49DD-8676-E837DD1A047E}">
      <formula1>"Sold,Pending Sale,Active,Under Rehab,Listed"</formula1>
    </dataValidation>
    <dataValidation type="list" allowBlank="1" showErrorMessage="1" sqref="B17:B30" xr:uid="{4A72FCF8-9987-465A-9974-4816A196F792}">
      <formula1>"Sold,Pending Sale,Active,Under Rehab,Listed,Need Sale HUD"</formula1>
    </dataValidation>
    <dataValidation type="list" allowBlank="1" showErrorMessage="1" sqref="B3:B12 B31:B37" xr:uid="{8F4427BD-31E8-4F68-A69F-D98A1BEE02C7}">
      <formula1>"Sold,Pending Sale,Active,Under Rehab,Listed,Need Sale HUD,Need Purchase HUD"</formula1>
    </dataValidation>
    <dataValidation type="list" allowBlank="1" showErrorMessage="1" sqref="Z12:Z36" xr:uid="{A5D94F30-1DAE-4682-88FD-A3A49569D016}">
      <formula1>"Not Assigned,Immanuel Home Improvement,Pollitti Contracting,Herrera Remodeling,Sylvester Legend Anthony,Will and Sons,Shiny Diamond,Labs Real Estate,Mainline Construction,Building Construction Services,Angel 5 Properties,Chambers Property Management"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1B937-41F5-4C07-93FC-B767DCDF88F9}">
  <sheetPr>
    <tabColor rgb="FF38761D"/>
    <outlinePr summaryBelow="0" summaryRight="0"/>
  </sheetPr>
  <dimension ref="A1:AE992"/>
  <sheetViews>
    <sheetView workbookViewId="0">
      <selection activeCell="B2" sqref="B2"/>
    </sheetView>
  </sheetViews>
  <sheetFormatPr defaultColWidth="12.6640625" defaultRowHeight="15" customHeight="1" x14ac:dyDescent="0.3"/>
  <cols>
    <col min="1" max="1" width="20.44140625" style="1" customWidth="1"/>
    <col min="2" max="16384" width="12.6640625" style="1"/>
  </cols>
  <sheetData>
    <row r="1" spans="1:31" ht="15.75" customHeight="1" x14ac:dyDescent="0.3">
      <c r="A1" s="113">
        <f ca="1">TODAY()</f>
        <v>45579</v>
      </c>
      <c r="B1" s="41"/>
      <c r="C1" s="83"/>
      <c r="D1" s="114">
        <f>'[1]Kiavi Loans'!G1</f>
        <v>45545</v>
      </c>
      <c r="E1" s="84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4"/>
      <c r="U1" s="41"/>
      <c r="V1" s="115"/>
      <c r="W1" s="87"/>
      <c r="X1" s="87"/>
      <c r="Y1" s="87"/>
      <c r="Z1" s="87"/>
      <c r="AA1" s="87"/>
      <c r="AB1" s="87"/>
      <c r="AC1" s="87"/>
      <c r="AD1" s="87"/>
      <c r="AE1" s="87"/>
    </row>
    <row r="2" spans="1:31" ht="15.75" customHeight="1" x14ac:dyDescent="0.3">
      <c r="A2" s="116" t="s">
        <v>1</v>
      </c>
      <c r="B2" s="42" t="s">
        <v>54</v>
      </c>
      <c r="C2" s="43" t="s">
        <v>55</v>
      </c>
      <c r="D2" s="44" t="s">
        <v>163</v>
      </c>
      <c r="E2" s="44" t="s">
        <v>57</v>
      </c>
      <c r="F2" s="45" t="s">
        <v>58</v>
      </c>
      <c r="G2" s="45" t="s">
        <v>85</v>
      </c>
      <c r="H2" s="45" t="s">
        <v>60</v>
      </c>
      <c r="I2" s="45" t="s">
        <v>61</v>
      </c>
      <c r="J2" s="45" t="s">
        <v>164</v>
      </c>
      <c r="K2" s="45" t="s">
        <v>63</v>
      </c>
      <c r="L2" s="45" t="s">
        <v>86</v>
      </c>
      <c r="M2" s="45" t="s">
        <v>87</v>
      </c>
      <c r="N2" s="45" t="s">
        <v>88</v>
      </c>
      <c r="O2" s="45" t="s">
        <v>89</v>
      </c>
      <c r="P2" s="45" t="s">
        <v>65</v>
      </c>
      <c r="Q2" s="45" t="s">
        <v>69</v>
      </c>
      <c r="R2" s="45" t="s">
        <v>70</v>
      </c>
      <c r="S2" s="44" t="s">
        <v>75</v>
      </c>
      <c r="T2" s="44" t="s">
        <v>72</v>
      </c>
      <c r="U2" s="45" t="s">
        <v>73</v>
      </c>
      <c r="V2" s="45" t="s">
        <v>74</v>
      </c>
      <c r="W2" s="44" t="s">
        <v>75</v>
      </c>
      <c r="X2" s="42" t="s">
        <v>77</v>
      </c>
      <c r="Y2" s="42" t="s">
        <v>78</v>
      </c>
      <c r="Z2" s="42" t="s">
        <v>79</v>
      </c>
      <c r="AA2" s="42" t="s">
        <v>165</v>
      </c>
      <c r="AB2" s="117" t="s">
        <v>163</v>
      </c>
    </row>
    <row r="3" spans="1:31" ht="15.75" customHeight="1" x14ac:dyDescent="0.3">
      <c r="A3" s="118" t="s">
        <v>166</v>
      </c>
      <c r="B3" s="48" t="s">
        <v>91</v>
      </c>
      <c r="C3" s="49">
        <v>45384</v>
      </c>
      <c r="D3" s="49">
        <v>45384</v>
      </c>
      <c r="E3" s="119">
        <f t="shared" ref="E3:E22" si="0">IF(B3="Sold",D3-C3+1,IF(B3&lt;&gt;"Sold",$A$1-C3))</f>
        <v>1</v>
      </c>
      <c r="F3" s="93">
        <f>(HLOOKUP(A3,'[1]P&amp;L'!$A$5:$AAG$214,54,FALSE))</f>
        <v>75500</v>
      </c>
      <c r="G3" s="93">
        <v>670.14</v>
      </c>
      <c r="H3" s="93">
        <f>(HLOOKUP(A3,'[1]P&amp;L'!$A$5:$AAG$214,50,FALSE)+(HLOOKUP(A3,'[1]P&amp;L'!$A$5:$AAG$214,52,FALSE)+(HLOOKUP(A3,'[1]P&amp;L'!$A$5:$AAG$214,53,FALSE)+(HLOOKUP(A3,'[1]P&amp;L'!$A$5:$AAG$214,57,FALSE)+(HLOOKUP(A3,'[1]P&amp;L'!$A$5:$AAG$214,58,FALSE)-(HLOOKUP(A3,'[1]P&amp;L'!$A$5:$AAG$214,4,FALSE)))))))</f>
        <v>13020</v>
      </c>
      <c r="I3" s="93"/>
      <c r="J3" s="93">
        <f>(HLOOKUP(A3,'[1]P&amp;L'!$A$5:$AAG$214,55,FALSE))</f>
        <v>0</v>
      </c>
      <c r="K3" s="93">
        <f t="shared" ref="K3:K31" si="1">F3+G3+H3+J3</f>
        <v>89190.14</v>
      </c>
      <c r="L3" s="97">
        <f>(HLOOKUP(A3,'[1]P&amp;L'!$A$5:$AAG$214,15,FALSE))</f>
        <v>120000</v>
      </c>
      <c r="M3" s="93">
        <f>(HLOOKUP(A3,'[1]P&amp;L'!$A$5:$AAG$214,51,FALSE)-(G3))</f>
        <v>672.86</v>
      </c>
      <c r="N3" s="51">
        <f t="shared" ref="N3:N31" si="2">L3-K3-M3</f>
        <v>30137</v>
      </c>
      <c r="O3" s="93">
        <f>HLOOKUP(A3,'[1]P&amp;L'!$A$5:$ZZ$194,176,0)</f>
        <v>30137</v>
      </c>
      <c r="P3" s="51">
        <f t="shared" ref="P3:P31" si="3">N3-O3</f>
        <v>0</v>
      </c>
      <c r="Q3" s="51"/>
      <c r="R3" s="51"/>
      <c r="S3" s="51"/>
      <c r="T3" s="51"/>
      <c r="U3" s="54">
        <f t="shared" ref="U3:U31" si="4">L3-M3-Q3</f>
        <v>119327.14</v>
      </c>
      <c r="V3" s="51">
        <f t="shared" ref="V3:V31" si="5">J3/E3</f>
        <v>0</v>
      </c>
      <c r="W3" s="56" t="s">
        <v>115</v>
      </c>
      <c r="X3" s="74" t="s">
        <v>144</v>
      </c>
      <c r="Y3" s="74"/>
      <c r="Z3" s="74" t="s">
        <v>113</v>
      </c>
      <c r="AA3" s="74"/>
      <c r="AB3" s="120" t="str">
        <f t="shared" ref="AB3:AB31" si="6">TEXT(C3,"mm/yyyy")</f>
        <v>04/2024</v>
      </c>
    </row>
    <row r="4" spans="1:31" ht="15.75" customHeight="1" x14ac:dyDescent="0.3">
      <c r="A4" s="118" t="s">
        <v>167</v>
      </c>
      <c r="B4" s="48" t="s">
        <v>91</v>
      </c>
      <c r="C4" s="49">
        <v>45121</v>
      </c>
      <c r="D4" s="49">
        <v>45125</v>
      </c>
      <c r="E4" s="119">
        <f t="shared" si="0"/>
        <v>5</v>
      </c>
      <c r="F4" s="93">
        <f>(HLOOKUP(A4,'[1]P&amp;L'!$A$5:$AAG$214,54,FALSE))</f>
        <v>87000</v>
      </c>
      <c r="G4" s="93">
        <v>1532.2</v>
      </c>
      <c r="H4" s="93">
        <f>(HLOOKUP(A4,'[1]P&amp;L'!$A$5:$AAG$214,50,FALSE)+(HLOOKUP(A4,'[1]P&amp;L'!$A$5:$AAG$214,52,FALSE)+(HLOOKUP(A4,'[1]P&amp;L'!$A$5:$AAG$214,53,FALSE)+(HLOOKUP(A4,'[1]P&amp;L'!$A$5:$AAG$214,57,FALSE)+(HLOOKUP(A4,'[1]P&amp;L'!$A$5:$AAG$214,58,FALSE)-(HLOOKUP(A4,'[1]P&amp;L'!$A$5:$AAG$214,4,FALSE)))))))</f>
        <v>9250</v>
      </c>
      <c r="I4" s="93"/>
      <c r="J4" s="93">
        <f>(HLOOKUP(A4,'[1]P&amp;L'!$A$5:$AAG$214,55,FALSE))</f>
        <v>0</v>
      </c>
      <c r="K4" s="93">
        <f t="shared" si="1"/>
        <v>97782.2</v>
      </c>
      <c r="L4" s="97">
        <f>(HLOOKUP(A4,'[1]P&amp;L'!$A$5:$AAG$214,15,FALSE))</f>
        <v>125000</v>
      </c>
      <c r="M4" s="93">
        <f>(HLOOKUP(A4,'[1]P&amp;L'!$A$5:$AAG$214,51,FALSE)-(G4))</f>
        <v>457.79999999999995</v>
      </c>
      <c r="N4" s="51">
        <f t="shared" si="2"/>
        <v>26760.000000000004</v>
      </c>
      <c r="O4" s="93">
        <f>HLOOKUP(A4,'[1]P&amp;L'!$A$5:$ZZ$194,176,0)</f>
        <v>26760</v>
      </c>
      <c r="P4" s="51">
        <f t="shared" si="3"/>
        <v>0</v>
      </c>
      <c r="Q4" s="51"/>
      <c r="R4" s="51"/>
      <c r="S4" s="51"/>
      <c r="T4" s="51"/>
      <c r="U4" s="54">
        <f t="shared" si="4"/>
        <v>124542.2</v>
      </c>
      <c r="V4" s="51">
        <f t="shared" si="5"/>
        <v>0</v>
      </c>
      <c r="W4" s="56" t="s">
        <v>115</v>
      </c>
      <c r="X4" s="74"/>
      <c r="Y4" s="74"/>
      <c r="Z4" s="74" t="s">
        <v>168</v>
      </c>
      <c r="AA4" s="74"/>
      <c r="AB4" s="120" t="str">
        <f t="shared" si="6"/>
        <v>07/2023</v>
      </c>
    </row>
    <row r="5" spans="1:31" ht="15.75" customHeight="1" x14ac:dyDescent="0.3">
      <c r="A5" s="118" t="s">
        <v>169</v>
      </c>
      <c r="B5" s="48" t="s">
        <v>91</v>
      </c>
      <c r="C5" s="49">
        <v>45247</v>
      </c>
      <c r="D5" s="49">
        <v>45250</v>
      </c>
      <c r="E5" s="119">
        <f t="shared" si="0"/>
        <v>4</v>
      </c>
      <c r="F5" s="93">
        <f>(HLOOKUP(A5,'[1]P&amp;L'!$A$5:$AAG$214,54,FALSE))</f>
        <v>174600</v>
      </c>
      <c r="G5" s="93">
        <v>16268.78</v>
      </c>
      <c r="H5" s="93">
        <f>(HLOOKUP(A5,'[1]P&amp;L'!$A$5:$AAG$214,50,FALSE)+(HLOOKUP(A5,'[1]P&amp;L'!$A$5:$AAG$214,52,FALSE)+(HLOOKUP(A5,'[1]P&amp;L'!$A$5:$AAG$214,53,FALSE)+(HLOOKUP(A5,'[1]P&amp;L'!$A$5:$AAG$214,57,FALSE)+(HLOOKUP(A5,'[1]P&amp;L'!$A$5:$AAG$214,58,FALSE)-(HLOOKUP(A5,'[1]P&amp;L'!$A$5:$AAG$214,4,FALSE)))))))</f>
        <v>-3547.91</v>
      </c>
      <c r="I5" s="93"/>
      <c r="J5" s="93">
        <f>(HLOOKUP(A5,'[1]P&amp;L'!$A$5:$AAG$214,55,FALSE))</f>
        <v>4109.05</v>
      </c>
      <c r="K5" s="93">
        <f t="shared" si="1"/>
        <v>191429.91999999998</v>
      </c>
      <c r="L5" s="97">
        <f>(HLOOKUP(A5,'[1]P&amp;L'!$A$5:$AAG$214,15,FALSE))</f>
        <v>210000</v>
      </c>
      <c r="M5" s="93">
        <f>(HLOOKUP(A5,'[1]P&amp;L'!$A$5:$AAG$214,51,FALSE)-(G5))</f>
        <v>0</v>
      </c>
      <c r="N5" s="51">
        <f t="shared" si="2"/>
        <v>18570.080000000016</v>
      </c>
      <c r="O5" s="93">
        <f>HLOOKUP(A5,'[1]P&amp;L'!$A$5:$ZZ$194,176,0)</f>
        <v>18570.080000000002</v>
      </c>
      <c r="P5" s="51">
        <f t="shared" si="3"/>
        <v>0</v>
      </c>
      <c r="Q5" s="51"/>
      <c r="R5" s="51"/>
      <c r="S5" s="51"/>
      <c r="T5" s="51"/>
      <c r="U5" s="54">
        <f t="shared" si="4"/>
        <v>210000</v>
      </c>
      <c r="V5" s="51">
        <f t="shared" si="5"/>
        <v>1027.2625</v>
      </c>
      <c r="W5" s="56" t="s">
        <v>115</v>
      </c>
      <c r="X5" s="74"/>
      <c r="Y5" s="74"/>
      <c r="Z5" s="74" t="s">
        <v>141</v>
      </c>
      <c r="AA5" s="74"/>
      <c r="AB5" s="120" t="str">
        <f t="shared" si="6"/>
        <v>11/2023</v>
      </c>
    </row>
    <row r="6" spans="1:31" ht="15.75" customHeight="1" x14ac:dyDescent="0.3">
      <c r="A6" s="118" t="s">
        <v>170</v>
      </c>
      <c r="B6" s="48" t="s">
        <v>91</v>
      </c>
      <c r="C6" s="49">
        <v>45243</v>
      </c>
      <c r="D6" s="49">
        <v>45321</v>
      </c>
      <c r="E6" s="119">
        <f t="shared" si="0"/>
        <v>79</v>
      </c>
      <c r="F6" s="93">
        <f>(HLOOKUP(A6,'[1]P&amp;L'!$A$5:$AAG$214,54,FALSE))</f>
        <v>190000</v>
      </c>
      <c r="G6" s="93">
        <v>8467.68</v>
      </c>
      <c r="H6" s="93">
        <f>(HLOOKUP(A6,'[1]P&amp;L'!$A$5:$AAG$214,50,FALSE)+(HLOOKUP(A6,'[1]P&amp;L'!$A$5:$AAG$214,52,FALSE)+(HLOOKUP(A6,'[1]P&amp;L'!$A$5:$AAG$214,53,FALSE)+(HLOOKUP(A6,'[1]P&amp;L'!$A$5:$AAG$214,57,FALSE)+(HLOOKUP(A6,'[1]P&amp;L'!$A$5:$AAG$214,58,FALSE)-(HLOOKUP(A6,'[1]P&amp;L'!$A$5:$AAG$214,4,FALSE)))))))</f>
        <v>16257.05</v>
      </c>
      <c r="I6" s="93">
        <v>85000</v>
      </c>
      <c r="J6" s="93">
        <f>(HLOOKUP(A6,'[1]P&amp;L'!$A$5:$AAG$214,55,FALSE))</f>
        <v>2100</v>
      </c>
      <c r="K6" s="93">
        <f t="shared" si="1"/>
        <v>216824.72999999998</v>
      </c>
      <c r="L6" s="97">
        <f>(HLOOKUP(A6,'[1]P&amp;L'!$A$5:$AAG$214,15,FALSE))</f>
        <v>249000</v>
      </c>
      <c r="M6" s="93">
        <f>(HLOOKUP(A6,'[1]P&amp;L'!$A$5:$AAG$214,51,FALSE)-(G6))</f>
        <v>11912.259999999998</v>
      </c>
      <c r="N6" s="51">
        <f t="shared" si="2"/>
        <v>20263.01000000002</v>
      </c>
      <c r="O6" s="93">
        <f>HLOOKUP(A6,'[1]P&amp;L'!$A$5:$ZZ$194,176,0)</f>
        <v>20263.009999999998</v>
      </c>
      <c r="P6" s="51">
        <f t="shared" si="3"/>
        <v>0</v>
      </c>
      <c r="Q6" s="51">
        <v>190000</v>
      </c>
      <c r="R6" s="51"/>
      <c r="S6" s="51"/>
      <c r="T6" s="51"/>
      <c r="U6" s="54">
        <f t="shared" si="4"/>
        <v>47087.739999999991</v>
      </c>
      <c r="V6" s="51">
        <f t="shared" si="5"/>
        <v>26.582278481012658</v>
      </c>
      <c r="W6" s="56" t="s">
        <v>115</v>
      </c>
      <c r="X6" s="74"/>
      <c r="Y6" s="74"/>
      <c r="Z6" s="74" t="s">
        <v>171</v>
      </c>
      <c r="AA6" s="74"/>
      <c r="AB6" s="120" t="str">
        <f t="shared" si="6"/>
        <v>11/2023</v>
      </c>
    </row>
    <row r="7" spans="1:31" ht="15.75" customHeight="1" x14ac:dyDescent="0.3">
      <c r="A7" s="118" t="s">
        <v>172</v>
      </c>
      <c r="B7" s="48" t="s">
        <v>91</v>
      </c>
      <c r="C7" s="49">
        <v>45401</v>
      </c>
      <c r="D7" s="49">
        <v>45405</v>
      </c>
      <c r="E7" s="119">
        <f t="shared" si="0"/>
        <v>5</v>
      </c>
      <c r="F7" s="93">
        <f>(HLOOKUP(A7,'[1]P&amp;L'!$A$5:$AAG$214,54,FALSE))</f>
        <v>219185.42</v>
      </c>
      <c r="G7" s="93">
        <v>1798.84</v>
      </c>
      <c r="H7" s="93">
        <f>(HLOOKUP(A7,'[1]P&amp;L'!$A$5:$AAG$214,50,FALSE)+(HLOOKUP(A7,'[1]P&amp;L'!$A$5:$AAG$214,52,FALSE)+(HLOOKUP(A7,'[1]P&amp;L'!$A$5:$AAG$214,53,FALSE)+(HLOOKUP(A7,'[1]P&amp;L'!$A$5:$AAG$214,57,FALSE)+(HLOOKUP(A7,'[1]P&amp;L'!$A$5:$AAG$214,58,FALSE)-(HLOOKUP(A7,'[1]P&amp;L'!$A$5:$AAG$214,4,FALSE)))))))</f>
        <v>500</v>
      </c>
      <c r="I7" s="93"/>
      <c r="J7" s="93">
        <f>(HLOOKUP(A7,'[1]P&amp;L'!$A$5:$AAG$214,55,FALSE))</f>
        <v>0</v>
      </c>
      <c r="K7" s="93">
        <f t="shared" si="1"/>
        <v>221484.26</v>
      </c>
      <c r="L7" s="97">
        <f>(HLOOKUP(A7,'[1]P&amp;L'!$A$5:$AAG$214,15,FALSE))</f>
        <v>243000</v>
      </c>
      <c r="M7" s="93">
        <f>(HLOOKUP(A7,'[1]P&amp;L'!$A$5:$AAG$214,51,FALSE)-(G7))</f>
        <v>0</v>
      </c>
      <c r="N7" s="51">
        <f t="shared" si="2"/>
        <v>21515.739999999991</v>
      </c>
      <c r="O7" s="93">
        <f>HLOOKUP(A7,'[1]P&amp;L'!$A$5:$ZZ$194,176,0)</f>
        <v>21515.74</v>
      </c>
      <c r="P7" s="51">
        <f t="shared" si="3"/>
        <v>0</v>
      </c>
      <c r="Q7" s="51"/>
      <c r="R7" s="51"/>
      <c r="S7" s="51"/>
      <c r="T7" s="51"/>
      <c r="U7" s="54">
        <f t="shared" si="4"/>
        <v>243000</v>
      </c>
      <c r="V7" s="51">
        <f t="shared" si="5"/>
        <v>0</v>
      </c>
      <c r="W7" s="56" t="s">
        <v>115</v>
      </c>
      <c r="X7" s="74"/>
      <c r="Y7" s="74"/>
      <c r="Z7" s="74"/>
      <c r="AA7" s="74"/>
      <c r="AB7" s="120" t="str">
        <f t="shared" si="6"/>
        <v>04/2024</v>
      </c>
    </row>
    <row r="8" spans="1:31" ht="15.75" customHeight="1" x14ac:dyDescent="0.3">
      <c r="A8" s="118" t="s">
        <v>20</v>
      </c>
      <c r="B8" s="48" t="s">
        <v>81</v>
      </c>
      <c r="C8" s="49">
        <f>VLOOKUP(A8,'[1]Property List'!$A:$B,2,FALSE)</f>
        <v>45498</v>
      </c>
      <c r="D8" s="49"/>
      <c r="E8" s="119">
        <f t="shared" ca="1" si="0"/>
        <v>81</v>
      </c>
      <c r="F8" s="93">
        <f>IFERROR(VLOOKUP("200 Willow Rd Purchase Price",'[1]Balance Sheet'!$A:$B,2,0),0)</f>
        <v>430000</v>
      </c>
      <c r="G8" s="93">
        <f>IFERROR(VLOOKUP("200 Willow Rd Closing Costs",'[1]Balance Sheet'!$A:$B,2,0),0)</f>
        <v>20597.89</v>
      </c>
      <c r="H8" s="93">
        <f>IFERROR(VLOOKUP("200 Willow Rd Holding COsts",'[1]Balance Sheet'!$A:$B,2,0),0)</f>
        <v>5188.71</v>
      </c>
      <c r="I8" s="93"/>
      <c r="J8" s="93">
        <f>IFERROR(VLOOKUP("200 Willow Rd CConstruction",'[1]Balance Sheet'!$A:$B,2,0),0)</f>
        <v>0</v>
      </c>
      <c r="K8" s="93">
        <f t="shared" si="1"/>
        <v>455786.60000000003</v>
      </c>
      <c r="L8" s="97">
        <f>VLOOKUP(A8,'[1]Kiavi Loans'!A:H,7,FALSE)</f>
        <v>758000</v>
      </c>
      <c r="M8" s="93">
        <f>L8*0.07</f>
        <v>53060.000000000007</v>
      </c>
      <c r="N8" s="51">
        <f t="shared" si="2"/>
        <v>249153.39999999997</v>
      </c>
      <c r="O8" s="93" t="e">
        <f>HLOOKUP(A8,'[1]P&amp;L'!$A$5:$ZZ$194,176,0)</f>
        <v>#N/A</v>
      </c>
      <c r="P8" s="51" t="e">
        <f t="shared" si="3"/>
        <v>#N/A</v>
      </c>
      <c r="Q8" s="51">
        <f>VLOOKUP(A8,'[1]Kiavi Loans'!$A$3:$H$34,4,FALSE)</f>
        <v>430000</v>
      </c>
      <c r="R8" s="51">
        <f>VLOOKUP(A8, '[1]Kiavi Loans'!$A$3:$H$34, 5, FALSE)</f>
        <v>130000</v>
      </c>
      <c r="S8" s="51"/>
      <c r="T8" s="56"/>
      <c r="U8" s="54">
        <f t="shared" si="4"/>
        <v>274940</v>
      </c>
      <c r="V8" s="51">
        <f t="shared" ca="1" si="5"/>
        <v>0</v>
      </c>
      <c r="W8" s="51" t="str">
        <f>VLOOKUP(A8,'[1]Property List'!$A:$H,7,FALSE)</f>
        <v>Wholesale</v>
      </c>
      <c r="X8" s="74" t="str">
        <f>VLOOKUP(A8,'[1]Property List'!$A:$H,4,FALSE)</f>
        <v>Homelight</v>
      </c>
      <c r="Y8" s="74"/>
      <c r="Z8" s="74" t="str">
        <f>VLOOKUP(A8,'[1]Property List'!$A:$H,6,FALSE)</f>
        <v>Hillsborough</v>
      </c>
      <c r="AA8" s="74"/>
      <c r="AB8" s="120" t="str">
        <f t="shared" si="6"/>
        <v>07/2024</v>
      </c>
    </row>
    <row r="9" spans="1:31" ht="15.75" customHeight="1" x14ac:dyDescent="0.3">
      <c r="A9" s="118" t="s">
        <v>173</v>
      </c>
      <c r="B9" s="48" t="s">
        <v>91</v>
      </c>
      <c r="C9" s="49">
        <v>45453</v>
      </c>
      <c r="D9" s="49">
        <v>45453</v>
      </c>
      <c r="E9" s="119">
        <f t="shared" si="0"/>
        <v>1</v>
      </c>
      <c r="F9" s="93">
        <f>(HLOOKUP(A9,'[1]P&amp;L'!$A$5:$AAG$214,54,FALSE))</f>
        <v>185000</v>
      </c>
      <c r="G9" s="93">
        <v>2612</v>
      </c>
      <c r="H9" s="93">
        <f>(HLOOKUP(A9,'[1]P&amp;L'!$A$5:$AAG$214,50,FALSE)+(HLOOKUP(A9,'[1]P&amp;L'!$A$5:$AAG$214,52,FALSE)+(HLOOKUP(A9,'[1]P&amp;L'!$A$5:$AAG$214,53,FALSE)+(HLOOKUP(A9,'[1]P&amp;L'!$A$5:$AAG$214,57,FALSE)+(HLOOKUP(A9,'[1]P&amp;L'!$A$5:$AAG$214,58,FALSE)-(HLOOKUP(A9,'[1]P&amp;L'!$A$5:$AAG$214,4,FALSE)))))))</f>
        <v>10607</v>
      </c>
      <c r="I9" s="93"/>
      <c r="J9" s="93">
        <f>(HLOOKUP(A9,'[1]P&amp;L'!$A$5:$AAG$214,55,FALSE))</f>
        <v>0</v>
      </c>
      <c r="K9" s="93">
        <f t="shared" si="1"/>
        <v>198219</v>
      </c>
      <c r="L9" s="97">
        <f>(HLOOKUP(A9,'[1]P&amp;L'!$A$5:$AAG$214,15,FALSE))</f>
        <v>230000</v>
      </c>
      <c r="M9" s="93">
        <f>(HLOOKUP(A9,'[1]P&amp;L'!$A$5:$AAG$214,51,FALSE)-(G9))</f>
        <v>0</v>
      </c>
      <c r="N9" s="51">
        <f t="shared" si="2"/>
        <v>31781</v>
      </c>
      <c r="O9" s="93">
        <f>HLOOKUP(A9,'[1]P&amp;L'!$A$5:$ZZ$194,176,0)</f>
        <v>31781</v>
      </c>
      <c r="P9" s="51">
        <f t="shared" si="3"/>
        <v>0</v>
      </c>
      <c r="Q9" s="51"/>
      <c r="R9" s="51"/>
      <c r="S9" s="51"/>
      <c r="T9" s="51"/>
      <c r="U9" s="54">
        <f t="shared" si="4"/>
        <v>230000</v>
      </c>
      <c r="V9" s="51">
        <f t="shared" si="5"/>
        <v>0</v>
      </c>
      <c r="W9" s="56" t="s">
        <v>115</v>
      </c>
      <c r="X9" s="74" t="s">
        <v>174</v>
      </c>
      <c r="Y9" s="74"/>
      <c r="Z9" s="74" t="s">
        <v>141</v>
      </c>
      <c r="AA9" s="74" t="s">
        <v>175</v>
      </c>
      <c r="AB9" s="120" t="str">
        <f t="shared" si="6"/>
        <v>06/2024</v>
      </c>
    </row>
    <row r="10" spans="1:31" ht="15.75" customHeight="1" x14ac:dyDescent="0.3">
      <c r="A10" s="118" t="s">
        <v>176</v>
      </c>
      <c r="B10" s="48" t="s">
        <v>91</v>
      </c>
      <c r="C10" s="49">
        <v>45219</v>
      </c>
      <c r="D10" s="49">
        <v>45219</v>
      </c>
      <c r="E10" s="119">
        <f t="shared" si="0"/>
        <v>1</v>
      </c>
      <c r="F10" s="93">
        <f>(HLOOKUP(A10,'[1]P&amp;L'!$A$5:$AAG$214,54,FALSE))</f>
        <v>0</v>
      </c>
      <c r="G10" s="93">
        <v>0</v>
      </c>
      <c r="H10" s="93">
        <f>(HLOOKUP(A10,'[1]P&amp;L'!$A$5:$AAG$214,50,FALSE)+(HLOOKUP(A10,'[1]P&amp;L'!$A$5:$AAG$214,52,FALSE)+(HLOOKUP(A10,'[1]P&amp;L'!$A$5:$AAG$214,53,FALSE)+(HLOOKUP(A10,'[1]P&amp;L'!$A$5:$AAG$214,57,FALSE)+(HLOOKUP(A10,'[1]P&amp;L'!$A$5:$AAG$214,58,FALSE)-(HLOOKUP(A10,'[1]P&amp;L'!$A$5:$AAG$214,4,FALSE)))))))</f>
        <v>0</v>
      </c>
      <c r="I10" s="93"/>
      <c r="J10" s="93">
        <f>(HLOOKUP(A10,'[1]P&amp;L'!$A$5:$AAG$214,55,FALSE))</f>
        <v>1976.2</v>
      </c>
      <c r="K10" s="93">
        <f t="shared" si="1"/>
        <v>1976.2</v>
      </c>
      <c r="L10" s="97">
        <f>(HLOOKUP(A10,'[1]P&amp;L'!$A$5:$AAG$214,15,FALSE))</f>
        <v>17448.97</v>
      </c>
      <c r="M10" s="93">
        <f>(HLOOKUP(A10,'[1]P&amp;L'!$A$5:$AAG$214,51,FALSE)-(G10))</f>
        <v>0</v>
      </c>
      <c r="N10" s="51">
        <f t="shared" si="2"/>
        <v>15472.77</v>
      </c>
      <c r="O10" s="93">
        <f>HLOOKUP(A10,'[1]P&amp;L'!$A$5:$ZZ$194,176,0)</f>
        <v>15472.77</v>
      </c>
      <c r="P10" s="51">
        <f t="shared" si="3"/>
        <v>0</v>
      </c>
      <c r="Q10" s="51"/>
      <c r="R10" s="51"/>
      <c r="S10" s="51"/>
      <c r="T10" s="51"/>
      <c r="U10" s="54">
        <f t="shared" si="4"/>
        <v>17448.97</v>
      </c>
      <c r="V10" s="51">
        <f t="shared" si="5"/>
        <v>1976.2</v>
      </c>
      <c r="W10" s="56" t="s">
        <v>115</v>
      </c>
      <c r="X10" s="74"/>
      <c r="Y10" s="74"/>
      <c r="Z10" s="74" t="s">
        <v>106</v>
      </c>
      <c r="AA10" s="74"/>
      <c r="AB10" s="120" t="str">
        <f t="shared" si="6"/>
        <v>10/2023</v>
      </c>
    </row>
    <row r="11" spans="1:31" ht="15.75" customHeight="1" x14ac:dyDescent="0.3">
      <c r="A11" s="118" t="s">
        <v>177</v>
      </c>
      <c r="B11" s="48" t="s">
        <v>91</v>
      </c>
      <c r="C11" s="49">
        <v>45260</v>
      </c>
      <c r="D11" s="49">
        <v>45260</v>
      </c>
      <c r="E11" s="119">
        <f t="shared" si="0"/>
        <v>1</v>
      </c>
      <c r="F11" s="93">
        <f>(HLOOKUP(A11,'[1]P&amp;L'!$A$5:$AAG$214,54,FALSE))</f>
        <v>100000</v>
      </c>
      <c r="G11" s="93">
        <v>2533</v>
      </c>
      <c r="H11" s="93">
        <f>(HLOOKUP(A11,'[1]P&amp;L'!$A$5:$AAG$214,50,FALSE)+(HLOOKUP(A11,'[1]P&amp;L'!$A$5:$AAG$214,52,FALSE)+(HLOOKUP(A11,'[1]P&amp;L'!$A$5:$AAG$214,53,FALSE)+(HLOOKUP(A11,'[1]P&amp;L'!$A$5:$AAG$214,57,FALSE)+(HLOOKUP(A11,'[1]P&amp;L'!$A$5:$AAG$214,58,FALSE)-(HLOOKUP(A11,'[1]P&amp;L'!$A$5:$AAG$214,4,FALSE)))))))</f>
        <v>4850</v>
      </c>
      <c r="I11" s="93"/>
      <c r="J11" s="93">
        <f>(HLOOKUP(A11,'[1]P&amp;L'!$A$5:$AAG$214,55,FALSE))</f>
        <v>0</v>
      </c>
      <c r="K11" s="93">
        <f t="shared" si="1"/>
        <v>107383</v>
      </c>
      <c r="L11" s="97">
        <f>(HLOOKUP(A11,'[1]P&amp;L'!$A$5:$AAG$214,15,FALSE))</f>
        <v>140000</v>
      </c>
      <c r="M11" s="93">
        <f>(HLOOKUP(A11,'[1]P&amp;L'!$A$5:$AAG$214,51,FALSE)-(G11))</f>
        <v>0</v>
      </c>
      <c r="N11" s="51">
        <f t="shared" si="2"/>
        <v>32617</v>
      </c>
      <c r="O11" s="93">
        <f>HLOOKUP(A11,'[1]P&amp;L'!$A$5:$ZZ$194,176,0)</f>
        <v>32617</v>
      </c>
      <c r="P11" s="51">
        <f t="shared" si="3"/>
        <v>0</v>
      </c>
      <c r="Q11" s="51"/>
      <c r="R11" s="51"/>
      <c r="S11" s="51"/>
      <c r="T11" s="51"/>
      <c r="U11" s="54">
        <f t="shared" si="4"/>
        <v>140000</v>
      </c>
      <c r="V11" s="51">
        <f t="shared" si="5"/>
        <v>0</v>
      </c>
      <c r="W11" s="56" t="s">
        <v>115</v>
      </c>
      <c r="X11" s="74"/>
      <c r="Y11" s="74"/>
      <c r="Z11" s="74" t="s">
        <v>113</v>
      </c>
      <c r="AA11" s="74" t="s">
        <v>178</v>
      </c>
      <c r="AB11" s="120" t="str">
        <f t="shared" si="6"/>
        <v>11/2023</v>
      </c>
    </row>
    <row r="12" spans="1:31" ht="15.75" customHeight="1" x14ac:dyDescent="0.3">
      <c r="A12" s="118" t="s">
        <v>179</v>
      </c>
      <c r="B12" s="48" t="s">
        <v>91</v>
      </c>
      <c r="C12" s="49">
        <v>45468</v>
      </c>
      <c r="D12" s="49">
        <v>45468</v>
      </c>
      <c r="E12" s="119">
        <f t="shared" si="0"/>
        <v>1</v>
      </c>
      <c r="F12" s="93">
        <f>(HLOOKUP(A12,'[1]P&amp;L'!$A$5:$AAG$214,54,FALSE))</f>
        <v>70000</v>
      </c>
      <c r="G12" s="93">
        <v>1353.5</v>
      </c>
      <c r="H12" s="93">
        <f>(HLOOKUP(A12,'[1]P&amp;L'!$A$5:$AAG$214,50,FALSE)+(HLOOKUP(A12,'[1]P&amp;L'!$A$5:$AAG$214,52,FALSE)+(HLOOKUP(A12,'[1]P&amp;L'!$A$5:$AAG$214,53,FALSE)+(HLOOKUP(A12,'[1]P&amp;L'!$A$5:$AAG$214,57,FALSE)+(HLOOKUP(A12,'[1]P&amp;L'!$A$5:$AAG$214,58,FALSE)-(HLOOKUP(A12,'[1]P&amp;L'!$A$5:$AAG$214,4,FALSE)))))))</f>
        <v>13825</v>
      </c>
      <c r="I12" s="93"/>
      <c r="J12" s="93">
        <f>(HLOOKUP(A12,'[1]P&amp;L'!$A$5:$AAG$214,55,FALSE))</f>
        <v>0</v>
      </c>
      <c r="K12" s="93">
        <f t="shared" si="1"/>
        <v>85178.5</v>
      </c>
      <c r="L12" s="97">
        <f>(HLOOKUP(A12,'[1]P&amp;L'!$A$5:$AAG$214,15,FALSE))</f>
        <v>128500</v>
      </c>
      <c r="M12" s="93">
        <f>(HLOOKUP(A12,'[1]P&amp;L'!$A$5:$AAG$214,51,FALSE)-(G12))</f>
        <v>643.5</v>
      </c>
      <c r="N12" s="51">
        <f t="shared" si="2"/>
        <v>42678</v>
      </c>
      <c r="O12" s="93">
        <f>HLOOKUP(A12,'[1]P&amp;L'!$A$5:$ZZ$194,176,0)</f>
        <v>42678</v>
      </c>
      <c r="P12" s="51">
        <f t="shared" si="3"/>
        <v>0</v>
      </c>
      <c r="Q12" s="51"/>
      <c r="R12" s="51"/>
      <c r="S12" s="51"/>
      <c r="T12" s="51"/>
      <c r="U12" s="54">
        <f t="shared" si="4"/>
        <v>127856.5</v>
      </c>
      <c r="V12" s="51">
        <f t="shared" si="5"/>
        <v>0</v>
      </c>
      <c r="W12" s="56" t="s">
        <v>115</v>
      </c>
      <c r="X12" s="74" t="s">
        <v>180</v>
      </c>
      <c r="Y12" s="74"/>
      <c r="Z12" s="74" t="s">
        <v>113</v>
      </c>
      <c r="AA12" s="74" t="s">
        <v>178</v>
      </c>
      <c r="AB12" s="120" t="str">
        <f t="shared" si="6"/>
        <v>06/2024</v>
      </c>
    </row>
    <row r="13" spans="1:31" ht="15.75" customHeight="1" x14ac:dyDescent="0.3">
      <c r="A13" s="118" t="s">
        <v>181</v>
      </c>
      <c r="B13" s="48" t="s">
        <v>81</v>
      </c>
      <c r="C13" s="49">
        <f>VLOOKUP(A13,'[1]Property List'!$A:$B,2,FALSE)</f>
        <v>45505</v>
      </c>
      <c r="D13" s="49"/>
      <c r="E13" s="119">
        <f t="shared" ca="1" si="0"/>
        <v>74</v>
      </c>
      <c r="F13" s="93">
        <f>IFERROR(VLOOKUP("314 9th St Purchase Price",'[1]Balance Sheet'!$A:$B,2,0),0)</f>
        <v>60000</v>
      </c>
      <c r="G13" s="93">
        <f>IFERROR(VLOOKUP("314 9th St Closing Costs",'[1]Balance Sheet'!$A:$B,2,0),0)</f>
        <v>12721.18</v>
      </c>
      <c r="H13" s="93">
        <f>IFERROR(VLOOKUP("314 9th St Holding COsts",'[1]Balance Sheet'!$A:$B,2,0),0)</f>
        <v>2000</v>
      </c>
      <c r="I13" s="93"/>
      <c r="J13" s="93">
        <f>IFERROR(VLOOKUP("314 9th St Construction",'[1]Balance Sheet'!$A:$B,2,0),0)</f>
        <v>3200</v>
      </c>
      <c r="K13" s="93">
        <f t="shared" si="1"/>
        <v>77921.179999999993</v>
      </c>
      <c r="L13" s="97">
        <v>0</v>
      </c>
      <c r="M13" s="93">
        <f>L13*0.07</f>
        <v>0</v>
      </c>
      <c r="N13" s="51">
        <f t="shared" si="2"/>
        <v>-77921.179999999993</v>
      </c>
      <c r="O13" s="93" t="e">
        <f>HLOOKUP(A13,'[1]P&amp;L'!$A$5:$ZZ$194,176,0)</f>
        <v>#N/A</v>
      </c>
      <c r="P13" s="51" t="e">
        <f t="shared" si="3"/>
        <v>#N/A</v>
      </c>
      <c r="Q13" s="51">
        <v>0</v>
      </c>
      <c r="R13" s="51">
        <v>0</v>
      </c>
      <c r="S13" s="51"/>
      <c r="T13" s="56"/>
      <c r="U13" s="54">
        <f t="shared" si="4"/>
        <v>0</v>
      </c>
      <c r="V13" s="51">
        <f t="shared" ca="1" si="5"/>
        <v>43.243243243243242</v>
      </c>
      <c r="W13" s="51" t="str">
        <f>VLOOKUP(A13,'[1]Property List'!$A:$H,7,FALSE)</f>
        <v>Wholesale</v>
      </c>
      <c r="X13" s="74" t="str">
        <f>VLOOKUP(A13,'[1]Property List'!$A:$H,4,FALSE)</f>
        <v>Wholesale</v>
      </c>
      <c r="Y13" s="74"/>
      <c r="Z13" s="74" t="str">
        <f>VLOOKUP(A13,'[1]Property List'!$A:$H,6,FALSE)</f>
        <v>Gloucester</v>
      </c>
      <c r="AA13" s="74"/>
      <c r="AB13" s="120" t="str">
        <f t="shared" si="6"/>
        <v>08/2024</v>
      </c>
    </row>
    <row r="14" spans="1:31" ht="15.75" customHeight="1" x14ac:dyDescent="0.3">
      <c r="A14" s="118" t="s">
        <v>182</v>
      </c>
      <c r="B14" s="48" t="s">
        <v>91</v>
      </c>
      <c r="C14" s="49">
        <v>45349</v>
      </c>
      <c r="D14" s="49">
        <v>45349</v>
      </c>
      <c r="E14" s="119">
        <f t="shared" si="0"/>
        <v>1</v>
      </c>
      <c r="F14" s="93">
        <f>(HLOOKUP(A14,'[1]P&amp;L'!$A$5:$AAG$214,54,FALSE))</f>
        <v>102000</v>
      </c>
      <c r="G14" s="93">
        <v>3033.19</v>
      </c>
      <c r="H14" s="93">
        <f>(HLOOKUP(A14,'[1]P&amp;L'!$A$5:$AAG$214,50,FALSE)+(HLOOKUP(A14,'[1]P&amp;L'!$A$5:$AAG$214,52,FALSE)+(HLOOKUP(A14,'[1]P&amp;L'!$A$5:$AAG$214,53,FALSE)+(HLOOKUP(A14,'[1]P&amp;L'!$A$5:$AAG$214,57,FALSE)+(HLOOKUP(A14,'[1]P&amp;L'!$A$5:$AAG$214,58,FALSE)-(HLOOKUP(A14,'[1]P&amp;L'!$A$5:$AAG$214,4,FALSE)))))))</f>
        <v>7250</v>
      </c>
      <c r="I14" s="93"/>
      <c r="J14" s="93">
        <f>(HLOOKUP(A14,'[1]P&amp;L'!$A$5:$AAG$214,55,FALSE))</f>
        <v>0</v>
      </c>
      <c r="K14" s="93">
        <f t="shared" si="1"/>
        <v>112283.19</v>
      </c>
      <c r="L14" s="97">
        <f>(HLOOKUP(A14,'[1]P&amp;L'!$A$5:$AAG$214,15,FALSE))</f>
        <v>140000</v>
      </c>
      <c r="M14" s="93">
        <f>(HLOOKUP(A14,'[1]P&amp;L'!$A$5:$AAG$214,51,FALSE)-(G14))</f>
        <v>0</v>
      </c>
      <c r="N14" s="51">
        <f t="shared" si="2"/>
        <v>27716.809999999998</v>
      </c>
      <c r="O14" s="93">
        <f>HLOOKUP(A14,'[1]P&amp;L'!$A$5:$ZZ$194,176,0)</f>
        <v>27716.81</v>
      </c>
      <c r="P14" s="51">
        <f t="shared" si="3"/>
        <v>0</v>
      </c>
      <c r="Q14" s="51"/>
      <c r="R14" s="51"/>
      <c r="S14" s="51"/>
      <c r="T14" s="51"/>
      <c r="U14" s="54">
        <f t="shared" si="4"/>
        <v>140000</v>
      </c>
      <c r="V14" s="51">
        <f t="shared" si="5"/>
        <v>0</v>
      </c>
      <c r="W14" s="56" t="s">
        <v>115</v>
      </c>
      <c r="X14" s="74" t="s">
        <v>102</v>
      </c>
      <c r="Y14" s="74"/>
      <c r="Z14" s="74" t="s">
        <v>183</v>
      </c>
      <c r="AA14" s="74"/>
      <c r="AB14" s="120" t="str">
        <f t="shared" si="6"/>
        <v>02/2024</v>
      </c>
    </row>
    <row r="15" spans="1:31" ht="15.75" customHeight="1" x14ac:dyDescent="0.3">
      <c r="A15" s="118" t="s">
        <v>184</v>
      </c>
      <c r="B15" s="48" t="s">
        <v>91</v>
      </c>
      <c r="C15" s="49">
        <v>45209</v>
      </c>
      <c r="D15" s="49">
        <v>45236</v>
      </c>
      <c r="E15" s="119">
        <f t="shared" si="0"/>
        <v>28</v>
      </c>
      <c r="F15" s="93">
        <f>(HLOOKUP(A15,'[1]P&amp;L'!$A$5:$AAG$214,54,FALSE))</f>
        <v>67500</v>
      </c>
      <c r="G15" s="93">
        <v>0</v>
      </c>
      <c r="H15" s="93">
        <f>(HLOOKUP(A15,'[1]P&amp;L'!$A$5:$AAG$214,50,FALSE)+(HLOOKUP(A15,'[1]P&amp;L'!$A$5:$AAG$214,52,FALSE)+(HLOOKUP(A15,'[1]P&amp;L'!$A$5:$AAG$214,53,FALSE)+(HLOOKUP(A15,'[1]P&amp;L'!$A$5:$AAG$214,57,FALSE)+(HLOOKUP(A15,'[1]P&amp;L'!$A$5:$AAG$214,58,FALSE)-(HLOOKUP(A15,'[1]P&amp;L'!$A$5:$AAG$214,4,FALSE)))))))</f>
        <v>0</v>
      </c>
      <c r="I15" s="93"/>
      <c r="J15" s="93">
        <f>(HLOOKUP(A15,'[1]P&amp;L'!$A$5:$AAG$214,55,FALSE))</f>
        <v>0</v>
      </c>
      <c r="K15" s="93">
        <f t="shared" si="1"/>
        <v>67500</v>
      </c>
      <c r="L15" s="97">
        <f>(HLOOKUP(A15,'[1]P&amp;L'!$A$5:$AAG$214,15,FALSE))</f>
        <v>78000</v>
      </c>
      <c r="M15" s="93">
        <f>(HLOOKUP(A15,'[1]P&amp;L'!$A$5:$AAG$214,51,FALSE)-(G15))</f>
        <v>12462</v>
      </c>
      <c r="N15" s="51">
        <f t="shared" si="2"/>
        <v>-1962</v>
      </c>
      <c r="O15" s="93">
        <f>HLOOKUP(A15,'[1]P&amp;L'!$A$5:$ZZ$194,176,0)</f>
        <v>-1962</v>
      </c>
      <c r="P15" s="51">
        <f t="shared" si="3"/>
        <v>0</v>
      </c>
      <c r="Q15" s="51"/>
      <c r="R15" s="51"/>
      <c r="S15" s="51"/>
      <c r="T15" s="51"/>
      <c r="U15" s="54">
        <f t="shared" si="4"/>
        <v>65538</v>
      </c>
      <c r="V15" s="51">
        <f t="shared" si="5"/>
        <v>0</v>
      </c>
      <c r="W15" s="56" t="s">
        <v>115</v>
      </c>
      <c r="X15" s="74"/>
      <c r="Y15" s="74"/>
      <c r="Z15" s="74" t="s">
        <v>113</v>
      </c>
      <c r="AA15" s="74"/>
      <c r="AB15" s="120" t="str">
        <f t="shared" si="6"/>
        <v>10/2023</v>
      </c>
    </row>
    <row r="16" spans="1:31" ht="15.75" customHeight="1" x14ac:dyDescent="0.3">
      <c r="A16" s="118" t="s">
        <v>185</v>
      </c>
      <c r="B16" s="48" t="s">
        <v>91</v>
      </c>
      <c r="C16" s="49">
        <v>45219</v>
      </c>
      <c r="D16" s="49">
        <v>45219</v>
      </c>
      <c r="E16" s="119">
        <f t="shared" si="0"/>
        <v>1</v>
      </c>
      <c r="F16" s="93">
        <f>(HLOOKUP(A16,'[1]P&amp;L'!$A$5:$AAG$214,54,FALSE))</f>
        <v>0</v>
      </c>
      <c r="G16" s="51">
        <v>0</v>
      </c>
      <c r="H16" s="93">
        <f>(HLOOKUP(A16,'[1]P&amp;L'!$A$5:$AAG$214,50,FALSE)+(HLOOKUP(A16,'[1]P&amp;L'!$A$5:$AAG$214,52,FALSE)+(HLOOKUP(A16,'[1]P&amp;L'!$A$5:$AAG$214,53,FALSE)+(HLOOKUP(A16,'[1]P&amp;L'!$A$5:$AAG$214,57,FALSE)+(HLOOKUP(A16,'[1]P&amp;L'!$A$5:$AAG$214,58,FALSE)-(HLOOKUP(A16,'[1]P&amp;L'!$A$5:$AAG$214,4,FALSE)))))))</f>
        <v>8250</v>
      </c>
      <c r="I16" s="51"/>
      <c r="J16" s="93">
        <f>(HLOOKUP(A16,'[1]P&amp;L'!$A$5:$AAG$214,55,FALSE))</f>
        <v>0</v>
      </c>
      <c r="K16" s="51">
        <f t="shared" si="1"/>
        <v>8250</v>
      </c>
      <c r="L16" s="97">
        <f>(HLOOKUP(A16,'[1]P&amp;L'!$A$5:$AAG$214,15,FALSE))</f>
        <v>31687.24</v>
      </c>
      <c r="M16" s="93">
        <f>(HLOOKUP(A16,'[1]P&amp;L'!$A$5:$AAG$214,51,FALSE)-(G16))</f>
        <v>0</v>
      </c>
      <c r="N16" s="51">
        <f t="shared" si="2"/>
        <v>23437.24</v>
      </c>
      <c r="O16" s="93">
        <f>HLOOKUP(A16,'[1]P&amp;L'!$A$5:$ZZ$194,176,0)</f>
        <v>23437.24</v>
      </c>
      <c r="P16" s="51">
        <f t="shared" si="3"/>
        <v>0</v>
      </c>
      <c r="Q16" s="51"/>
      <c r="R16" s="51"/>
      <c r="S16" s="51"/>
      <c r="T16" s="51"/>
      <c r="U16" s="54">
        <f t="shared" si="4"/>
        <v>31687.24</v>
      </c>
      <c r="V16" s="51">
        <f t="shared" si="5"/>
        <v>0</v>
      </c>
      <c r="W16" s="56" t="s">
        <v>115</v>
      </c>
      <c r="X16" s="74"/>
      <c r="Y16" s="74"/>
      <c r="Z16" s="74" t="s">
        <v>106</v>
      </c>
      <c r="AA16" s="74"/>
      <c r="AB16" s="120" t="str">
        <f t="shared" si="6"/>
        <v>10/2023</v>
      </c>
    </row>
    <row r="17" spans="1:28" ht="15.75" customHeight="1" x14ac:dyDescent="0.3">
      <c r="A17" s="118" t="s">
        <v>186</v>
      </c>
      <c r="B17" s="48" t="s">
        <v>91</v>
      </c>
      <c r="C17" s="49">
        <v>45296</v>
      </c>
      <c r="D17" s="49">
        <v>45296</v>
      </c>
      <c r="E17" s="119">
        <f t="shared" si="0"/>
        <v>1</v>
      </c>
      <c r="F17" s="93">
        <f>(HLOOKUP(A17,'[1]P&amp;L'!$A$5:$AAG$214,54,FALSE))</f>
        <v>200000</v>
      </c>
      <c r="G17" s="51">
        <v>2943</v>
      </c>
      <c r="H17" s="93">
        <f>(HLOOKUP(A17,'[1]P&amp;L'!$A$5:$AAG$214,50,FALSE)+(HLOOKUP(A17,'[1]P&amp;L'!$A$5:$AAG$214,52,FALSE)+(HLOOKUP(A17,'[1]P&amp;L'!$A$5:$AAG$214,53,FALSE)+(HLOOKUP(A17,'[1]P&amp;L'!$A$5:$AAG$214,57,FALSE)+(HLOOKUP(A17,'[1]P&amp;L'!$A$5:$AAG$214,58,FALSE)-(HLOOKUP(A17,'[1]P&amp;L'!$A$5:$AAG$214,4,FALSE)))))))</f>
        <v>8500</v>
      </c>
      <c r="I17" s="51"/>
      <c r="J17" s="93">
        <f>(HLOOKUP(A17,'[1]P&amp;L'!$A$5:$AAG$214,55,FALSE))</f>
        <v>0</v>
      </c>
      <c r="K17" s="51">
        <f t="shared" si="1"/>
        <v>211443</v>
      </c>
      <c r="L17" s="97">
        <f>(HLOOKUP(A17,'[1]P&amp;L'!$A$5:$AAG$214,15,FALSE))</f>
        <v>235000</v>
      </c>
      <c r="M17" s="93">
        <f>(HLOOKUP(A17,'[1]P&amp;L'!$A$5:$AAG$214,51,FALSE)-(G17))</f>
        <v>0</v>
      </c>
      <c r="N17" s="51">
        <f t="shared" si="2"/>
        <v>23557</v>
      </c>
      <c r="O17" s="93">
        <f>HLOOKUP(A17,'[1]P&amp;L'!$A$5:$ZZ$194,176,0)</f>
        <v>23557</v>
      </c>
      <c r="P17" s="51">
        <f t="shared" si="3"/>
        <v>0</v>
      </c>
      <c r="Q17" s="51"/>
      <c r="R17" s="51"/>
      <c r="S17" s="51"/>
      <c r="T17" s="51"/>
      <c r="U17" s="54">
        <f t="shared" si="4"/>
        <v>235000</v>
      </c>
      <c r="V17" s="51">
        <f t="shared" si="5"/>
        <v>0</v>
      </c>
      <c r="W17" s="56" t="s">
        <v>115</v>
      </c>
      <c r="X17" s="74" t="s">
        <v>112</v>
      </c>
      <c r="Y17" s="74"/>
      <c r="Z17" s="74" t="s">
        <v>187</v>
      </c>
      <c r="AA17" s="74"/>
      <c r="AB17" s="120" t="str">
        <f t="shared" si="6"/>
        <v>01/2024</v>
      </c>
    </row>
    <row r="18" spans="1:28" ht="15.75" customHeight="1" x14ac:dyDescent="0.3">
      <c r="A18" s="118" t="s">
        <v>188</v>
      </c>
      <c r="B18" s="48" t="s">
        <v>91</v>
      </c>
      <c r="C18" s="49">
        <v>45271</v>
      </c>
      <c r="D18" s="49">
        <v>45271</v>
      </c>
      <c r="E18" s="119">
        <f t="shared" si="0"/>
        <v>1</v>
      </c>
      <c r="F18" s="93">
        <f>(HLOOKUP(A18,'[1]P&amp;L'!$A$5:$AAG$214,54,FALSE))</f>
        <v>57500</v>
      </c>
      <c r="G18" s="51">
        <v>9330</v>
      </c>
      <c r="H18" s="93">
        <f>(HLOOKUP(A18,'[1]P&amp;L'!$A$5:$AAG$214,50,FALSE)+(HLOOKUP(A18,'[1]P&amp;L'!$A$5:$AAG$214,52,FALSE)+(HLOOKUP(A18,'[1]P&amp;L'!$A$5:$AAG$214,53,FALSE)+(HLOOKUP(A18,'[1]P&amp;L'!$A$5:$AAG$214,57,FALSE)+(HLOOKUP(A18,'[1]P&amp;L'!$A$5:$AAG$214,58,FALSE)-(HLOOKUP(A18,'[1]P&amp;L'!$A$5:$AAG$214,4,FALSE)))))))</f>
        <v>0</v>
      </c>
      <c r="I18" s="51"/>
      <c r="J18" s="93">
        <f>(HLOOKUP(A18,'[1]P&amp;L'!$A$5:$AAG$214,55,FALSE))</f>
        <v>0</v>
      </c>
      <c r="K18" s="51">
        <f t="shared" si="1"/>
        <v>66830</v>
      </c>
      <c r="L18" s="97">
        <f>(HLOOKUP(A18,'[1]P&amp;L'!$A$5:$AAG$214,15,FALSE))</f>
        <v>90000</v>
      </c>
      <c r="M18" s="93">
        <f>(HLOOKUP(A18,'[1]P&amp;L'!$A$5:$AAG$214,51,FALSE)-(G18))</f>
        <v>0</v>
      </c>
      <c r="N18" s="51">
        <f t="shared" si="2"/>
        <v>23170</v>
      </c>
      <c r="O18" s="93">
        <f>HLOOKUP(A18,'[1]P&amp;L'!$A$5:$ZZ$194,176,0)</f>
        <v>23170</v>
      </c>
      <c r="P18" s="51">
        <f t="shared" si="3"/>
        <v>0</v>
      </c>
      <c r="Q18" s="51"/>
      <c r="R18" s="51"/>
      <c r="S18" s="51"/>
      <c r="T18" s="51"/>
      <c r="U18" s="54">
        <f t="shared" si="4"/>
        <v>90000</v>
      </c>
      <c r="V18" s="51">
        <f t="shared" si="5"/>
        <v>0</v>
      </c>
      <c r="W18" s="56" t="s">
        <v>115</v>
      </c>
      <c r="X18" s="74"/>
      <c r="Y18" s="74"/>
      <c r="Z18" s="74" t="s">
        <v>113</v>
      </c>
      <c r="AA18" s="74"/>
      <c r="AB18" s="120" t="str">
        <f t="shared" si="6"/>
        <v>12/2023</v>
      </c>
    </row>
    <row r="19" spans="1:28" ht="15.75" customHeight="1" x14ac:dyDescent="0.3">
      <c r="A19" s="118" t="s">
        <v>189</v>
      </c>
      <c r="B19" s="48" t="s">
        <v>91</v>
      </c>
      <c r="C19" s="91">
        <f>VLOOKUP(A19,'[1]Property List'!$A:$B,2,FALSE)</f>
        <v>45443</v>
      </c>
      <c r="D19" s="91">
        <v>45526</v>
      </c>
      <c r="E19" s="121">
        <f t="shared" si="0"/>
        <v>84</v>
      </c>
      <c r="F19" s="93">
        <f>(HLOOKUP(A19,'[1]P&amp;L'!$A$5:$AAG$214,54,FALSE))</f>
        <v>279000</v>
      </c>
      <c r="G19" s="93">
        <v>14903.31</v>
      </c>
      <c r="H19" s="93">
        <f>(HLOOKUP(A19,'[1]P&amp;L'!$A$5:$AAG$214,50,FALSE)+(HLOOKUP(A19,'[1]P&amp;L'!$A$5:$AAG$214,52,FALSE)+(HLOOKUP(A19,'[1]P&amp;L'!$A$5:$AAG$214,53,FALSE)+(HLOOKUP(A19,'[1]P&amp;L'!$A$5:$AAG$214,57,FALSE)+(HLOOKUP(A19,'[1]P&amp;L'!$A$5:$AAG$214,58,FALSE)-(HLOOKUP(A19,'[1]P&amp;L'!$A$5:$AAG$214,4,FALSE)))))))</f>
        <v>6647.02</v>
      </c>
      <c r="I19" s="93"/>
      <c r="J19" s="93">
        <f>(HLOOKUP(A19,'[1]P&amp;L'!$A$5:$AAG$214,55,FALSE))</f>
        <v>5760</v>
      </c>
      <c r="K19" s="93">
        <f t="shared" si="1"/>
        <v>306310.33</v>
      </c>
      <c r="L19" s="97">
        <f>(HLOOKUP(A19,'[1]P&amp;L'!$A$5:$AAG$214,15,FALSE))</f>
        <v>355000</v>
      </c>
      <c r="M19" s="93">
        <f>(HLOOKUP(A19,'[1]P&amp;L'!$A$5:$AAG$214,51,FALSE)-(G19))</f>
        <v>17190.440000000002</v>
      </c>
      <c r="N19" s="51">
        <f t="shared" si="2"/>
        <v>31499.229999999981</v>
      </c>
      <c r="O19" s="93">
        <f>HLOOKUP(A19,'[1]P&amp;L'!$A$5:$ZZ$194,176,0)</f>
        <v>31499.23</v>
      </c>
      <c r="P19" s="51">
        <f t="shared" si="3"/>
        <v>0</v>
      </c>
      <c r="Q19" s="122">
        <f>IFERROR(VLOOKUP(A19,'[1]Kiavi Loans'!$A$3:$H$34, 2,0),0)</f>
        <v>0</v>
      </c>
      <c r="R19" s="122"/>
      <c r="S19" s="93"/>
      <c r="T19" s="122"/>
      <c r="U19" s="96">
        <f t="shared" si="4"/>
        <v>337809.56</v>
      </c>
      <c r="V19" s="93">
        <f t="shared" si="5"/>
        <v>68.571428571428569</v>
      </c>
      <c r="W19" s="93" t="str">
        <f>VLOOKUP(A19,'[1]Property List'!$A:$H,7,FALSE)</f>
        <v>Wholesale</v>
      </c>
      <c r="X19" s="123" t="str">
        <f>VLOOKUP(A19,'[1]Property List'!$A:$H,4,FALSE)</f>
        <v>MLS</v>
      </c>
      <c r="Y19" s="123"/>
      <c r="Z19" s="123" t="str">
        <f>VLOOKUP(A19,'[1]Property List'!$A:$H,6,FALSE)</f>
        <v>Ewing</v>
      </c>
      <c r="AA19" s="123"/>
      <c r="AB19" s="124" t="str">
        <f t="shared" si="6"/>
        <v>05/2024</v>
      </c>
    </row>
    <row r="20" spans="1:28" ht="15.75" customHeight="1" x14ac:dyDescent="0.3">
      <c r="A20" s="118" t="s">
        <v>190</v>
      </c>
      <c r="B20" s="48" t="s">
        <v>91</v>
      </c>
      <c r="C20" s="49">
        <v>45188</v>
      </c>
      <c r="D20" s="49">
        <v>45188</v>
      </c>
      <c r="E20" s="119">
        <f t="shared" si="0"/>
        <v>1</v>
      </c>
      <c r="F20" s="93">
        <f>(HLOOKUP(A20,'[1]P&amp;L'!$A$5:$AAG$214,54,FALSE))</f>
        <v>60000</v>
      </c>
      <c r="G20" s="51">
        <v>2000</v>
      </c>
      <c r="H20" s="93">
        <f>(HLOOKUP(A20,'[1]P&amp;L'!$A$5:$AAG$214,50,FALSE)+(HLOOKUP(A20,'[1]P&amp;L'!$A$5:$AAG$214,52,FALSE)+(HLOOKUP(A20,'[1]P&amp;L'!$A$5:$AAG$214,53,FALSE)+(HLOOKUP(A20,'[1]P&amp;L'!$A$5:$AAG$214,57,FALSE)+(HLOOKUP(A20,'[1]P&amp;L'!$A$5:$AAG$214,58,FALSE)-(HLOOKUP(A20,'[1]P&amp;L'!$A$5:$AAG$214,4,FALSE)))))))</f>
        <v>11400</v>
      </c>
      <c r="I20" s="51"/>
      <c r="J20" s="93">
        <f>(HLOOKUP(A20,'[1]P&amp;L'!$A$5:$AAG$214,55,FALSE))</f>
        <v>0</v>
      </c>
      <c r="K20" s="51">
        <f t="shared" si="1"/>
        <v>73400</v>
      </c>
      <c r="L20" s="97">
        <f>(HLOOKUP(A20,'[1]P&amp;L'!$A$5:$AAG$214,15,FALSE))</f>
        <v>100000</v>
      </c>
      <c r="M20" s="93">
        <f>(HLOOKUP(A20,'[1]P&amp;L'!$A$5:$AAG$214,51,FALSE)-(G20))</f>
        <v>0</v>
      </c>
      <c r="N20" s="51">
        <f t="shared" si="2"/>
        <v>26600</v>
      </c>
      <c r="O20" s="93">
        <f>HLOOKUP(A20,'[1]P&amp;L'!$A$5:$ZZ$194,176,0)</f>
        <v>26600</v>
      </c>
      <c r="P20" s="51">
        <f t="shared" si="3"/>
        <v>0</v>
      </c>
      <c r="Q20" s="51"/>
      <c r="R20" s="51"/>
      <c r="S20" s="51"/>
      <c r="T20" s="51"/>
      <c r="U20" s="54">
        <f t="shared" si="4"/>
        <v>100000</v>
      </c>
      <c r="V20" s="51">
        <f t="shared" si="5"/>
        <v>0</v>
      </c>
      <c r="W20" s="56" t="s">
        <v>115</v>
      </c>
      <c r="X20" s="74"/>
      <c r="Y20" s="74"/>
      <c r="Z20" s="74" t="s">
        <v>113</v>
      </c>
      <c r="AA20" s="74"/>
      <c r="AB20" s="120" t="str">
        <f t="shared" si="6"/>
        <v>09/2023</v>
      </c>
    </row>
    <row r="21" spans="1:28" ht="15.75" customHeight="1" x14ac:dyDescent="0.3">
      <c r="A21" s="118" t="s">
        <v>191</v>
      </c>
      <c r="B21" s="125" t="s">
        <v>91</v>
      </c>
      <c r="C21" s="49">
        <v>45107</v>
      </c>
      <c r="D21" s="49">
        <v>45128</v>
      </c>
      <c r="E21" s="119">
        <f t="shared" si="0"/>
        <v>22</v>
      </c>
      <c r="F21" s="93">
        <f>(HLOOKUP(A21,'[1]P&amp;L'!$A$5:$AAG$214,54,FALSE))</f>
        <v>149600</v>
      </c>
      <c r="G21" s="51">
        <v>16646.16</v>
      </c>
      <c r="H21" s="93">
        <f>(HLOOKUP(A21,'[1]P&amp;L'!$A$5:$AAG$214,50,FALSE)+(HLOOKUP(A21,'[1]P&amp;L'!$A$5:$AAG$214,52,FALSE)+(HLOOKUP(A21,'[1]P&amp;L'!$A$5:$AAG$214,53,FALSE)+(HLOOKUP(A21,'[1]P&amp;L'!$A$5:$AAG$214,57,FALSE)+(HLOOKUP(A21,'[1]P&amp;L'!$A$5:$AAG$214,58,FALSE)-(HLOOKUP(A21,'[1]P&amp;L'!$A$5:$AAG$214,4,FALSE)))))))</f>
        <v>0</v>
      </c>
      <c r="I21" s="51">
        <v>90000</v>
      </c>
      <c r="J21" s="93">
        <f>(HLOOKUP(A21,'[1]P&amp;L'!$A$5:$AAG$214,55,FALSE))</f>
        <v>350</v>
      </c>
      <c r="K21" s="51">
        <f t="shared" si="1"/>
        <v>166596.16</v>
      </c>
      <c r="L21" s="97">
        <f>(HLOOKUP(A21,'[1]P&amp;L'!$A$5:$AAG$214,15,FALSE))</f>
        <v>220000</v>
      </c>
      <c r="M21" s="93">
        <f>(HLOOKUP(A21,'[1]P&amp;L'!$A$5:$AAG$214,51,FALSE)-(G21))</f>
        <v>2035.9399999999987</v>
      </c>
      <c r="N21" s="51">
        <f t="shared" si="2"/>
        <v>51367.899999999994</v>
      </c>
      <c r="O21" s="93">
        <f>HLOOKUP(A21,'[1]P&amp;L'!$A$5:$ZZ$194,176,0)</f>
        <v>51367.9</v>
      </c>
      <c r="P21" s="51">
        <f t="shared" si="3"/>
        <v>0</v>
      </c>
      <c r="Q21" s="51">
        <v>150074.78</v>
      </c>
      <c r="R21" s="51"/>
      <c r="S21" s="51"/>
      <c r="T21" s="51"/>
      <c r="U21" s="54">
        <f t="shared" si="4"/>
        <v>67889.279999999999</v>
      </c>
      <c r="V21" s="51">
        <f t="shared" si="5"/>
        <v>15.909090909090908</v>
      </c>
      <c r="W21" s="56" t="s">
        <v>115</v>
      </c>
      <c r="X21" s="74"/>
      <c r="Y21" s="74"/>
      <c r="Z21" s="74" t="s">
        <v>168</v>
      </c>
      <c r="AA21" s="74" t="s">
        <v>175</v>
      </c>
      <c r="AB21" s="120" t="str">
        <f t="shared" si="6"/>
        <v>06/2023</v>
      </c>
    </row>
    <row r="22" spans="1:28" ht="15.75" customHeight="1" x14ac:dyDescent="0.3">
      <c r="A22" s="118" t="s">
        <v>192</v>
      </c>
      <c r="B22" s="125" t="s">
        <v>91</v>
      </c>
      <c r="C22" s="49">
        <v>45121</v>
      </c>
      <c r="D22" s="49">
        <v>45121</v>
      </c>
      <c r="E22" s="119">
        <f t="shared" si="0"/>
        <v>1</v>
      </c>
      <c r="F22" s="93">
        <f>(HLOOKUP(A22,'[1]P&amp;L'!$A$5:$AAG$214,54,FALSE))</f>
        <v>68668.899999999994</v>
      </c>
      <c r="G22" s="51">
        <v>22064.78</v>
      </c>
      <c r="H22" s="93">
        <f>(HLOOKUP(A22,'[1]P&amp;L'!$A$5:$AAG$214,50,FALSE)+(HLOOKUP(A22,'[1]P&amp;L'!$A$5:$AAG$214,52,FALSE)+(HLOOKUP(A22,'[1]P&amp;L'!$A$5:$AAG$214,53,FALSE)+(HLOOKUP(A22,'[1]P&amp;L'!$A$5:$AAG$214,57,FALSE)+(HLOOKUP(A22,'[1]P&amp;L'!$A$5:$AAG$214,58,FALSE)-(HLOOKUP(A22,'[1]P&amp;L'!$A$5:$AAG$214,4,FALSE)))))))</f>
        <v>500</v>
      </c>
      <c r="I22" s="51"/>
      <c r="J22" s="93">
        <f>(HLOOKUP(A22,'[1]P&amp;L'!$A$5:$AAG$214,55,FALSE))</f>
        <v>2126.39</v>
      </c>
      <c r="K22" s="51">
        <f t="shared" si="1"/>
        <v>93360.069999999992</v>
      </c>
      <c r="L22" s="97">
        <f>(HLOOKUP(A22,'[1]P&amp;L'!$A$5:$AAG$214,15,FALSE))</f>
        <v>117000</v>
      </c>
      <c r="M22" s="93">
        <f>(HLOOKUP(A22,'[1]P&amp;L'!$A$5:$AAG$214,51,FALSE)-(G22))</f>
        <v>0</v>
      </c>
      <c r="N22" s="51">
        <f t="shared" si="2"/>
        <v>23639.930000000008</v>
      </c>
      <c r="O22" s="93">
        <f>HLOOKUP(A22,'[1]P&amp;L'!$A$5:$ZZ$194,176,0)</f>
        <v>23639.93</v>
      </c>
      <c r="P22" s="51">
        <f t="shared" si="3"/>
        <v>0</v>
      </c>
      <c r="Q22" s="51"/>
      <c r="R22" s="51"/>
      <c r="S22" s="51"/>
      <c r="T22" s="51"/>
      <c r="U22" s="54">
        <f t="shared" si="4"/>
        <v>117000</v>
      </c>
      <c r="V22" s="51">
        <f t="shared" si="5"/>
        <v>2126.39</v>
      </c>
      <c r="W22" s="56" t="s">
        <v>115</v>
      </c>
      <c r="X22" s="74"/>
      <c r="Y22" s="74"/>
      <c r="Z22" s="74" t="s">
        <v>113</v>
      </c>
      <c r="AA22" s="74"/>
      <c r="AB22" s="120" t="str">
        <f t="shared" si="6"/>
        <v>07/2023</v>
      </c>
    </row>
    <row r="23" spans="1:28" ht="15.75" customHeight="1" x14ac:dyDescent="0.3">
      <c r="A23" s="118" t="s">
        <v>193</v>
      </c>
      <c r="B23" s="125" t="s">
        <v>91</v>
      </c>
      <c r="C23" s="49">
        <v>45321</v>
      </c>
      <c r="D23" s="49">
        <v>45352</v>
      </c>
      <c r="E23" s="119">
        <f t="shared" ref="E23:E29" si="7">IF(B23="Sold",D23-C23+1,IF(B23&lt;&gt;"Sold",$A$1-$C$23))</f>
        <v>32</v>
      </c>
      <c r="F23" s="93">
        <f>(HLOOKUP(A23,'[1]P&amp;L'!$A$5:$AAG$214,54,FALSE))</f>
        <v>80000</v>
      </c>
      <c r="G23" s="51">
        <v>16315.33</v>
      </c>
      <c r="H23" s="93">
        <f>(HLOOKUP(A23,'[1]P&amp;L'!$A$5:$AAG$214,50,FALSE)+(HLOOKUP(A23,'[1]P&amp;L'!$A$5:$AAG$214,52,FALSE)+(HLOOKUP(A23,'[1]P&amp;L'!$A$5:$AAG$214,53,FALSE)+(HLOOKUP(A23,'[1]P&amp;L'!$A$5:$AAG$214,57,FALSE)+(HLOOKUP(A23,'[1]P&amp;L'!$A$5:$AAG$214,58,FALSE)-(HLOOKUP(A23,'[1]P&amp;L'!$A$5:$AAG$214,4,FALSE)))))))</f>
        <v>712.42</v>
      </c>
      <c r="I23" s="51"/>
      <c r="J23" s="93">
        <f>(HLOOKUP(A23,'[1]P&amp;L'!$A$5:$AAG$214,55,FALSE))</f>
        <v>60</v>
      </c>
      <c r="K23" s="51">
        <f t="shared" si="1"/>
        <v>97087.75</v>
      </c>
      <c r="L23" s="97">
        <f>(HLOOKUP(A23,'[1]P&amp;L'!$A$5:$AAG$214,15,FALSE))</f>
        <v>112000</v>
      </c>
      <c r="M23" s="93">
        <f>(HLOOKUP(A23,'[1]P&amp;L'!$A$5:$AAG$214,51,FALSE)-(G23))</f>
        <v>4387.24</v>
      </c>
      <c r="N23" s="51">
        <f t="shared" si="2"/>
        <v>10525.01</v>
      </c>
      <c r="O23" s="93">
        <f>HLOOKUP(A23,'[1]P&amp;L'!$A$5:$ZZ$194,176,0)</f>
        <v>10525.01</v>
      </c>
      <c r="P23" s="51">
        <f t="shared" si="3"/>
        <v>0</v>
      </c>
      <c r="Q23" s="51"/>
      <c r="R23" s="51"/>
      <c r="S23" s="51"/>
      <c r="T23" s="51"/>
      <c r="U23" s="54">
        <f t="shared" si="4"/>
        <v>107612.76</v>
      </c>
      <c r="V23" s="51">
        <f t="shared" si="5"/>
        <v>1.875</v>
      </c>
      <c r="W23" s="56" t="s">
        <v>115</v>
      </c>
      <c r="X23" s="74" t="s">
        <v>194</v>
      </c>
      <c r="Y23" s="74"/>
      <c r="Z23" s="74" t="s">
        <v>195</v>
      </c>
      <c r="AA23" s="74"/>
      <c r="AB23" s="120" t="str">
        <f t="shared" si="6"/>
        <v>01/2024</v>
      </c>
    </row>
    <row r="24" spans="1:28" ht="15.75" customHeight="1" x14ac:dyDescent="0.3">
      <c r="A24" s="118" t="s">
        <v>173</v>
      </c>
      <c r="B24" s="125" t="s">
        <v>91</v>
      </c>
      <c r="C24" s="49"/>
      <c r="D24" s="49"/>
      <c r="E24" s="119">
        <f t="shared" si="7"/>
        <v>1</v>
      </c>
      <c r="F24" s="93">
        <f>(HLOOKUP(A24,'[1]P&amp;L'!$A$5:$AAG$214,54,FALSE))</f>
        <v>185000</v>
      </c>
      <c r="G24" s="51"/>
      <c r="H24" s="93">
        <f>(HLOOKUP(A24,'[1]P&amp;L'!$A$5:$AAG$214,50,FALSE)+(HLOOKUP(A24,'[1]P&amp;L'!$A$5:$AAG$214,52,FALSE)+(HLOOKUP(A24,'[1]P&amp;L'!$A$5:$AAG$214,53,FALSE)+(HLOOKUP(A24,'[1]P&amp;L'!$A$5:$AAG$214,57,FALSE)+(HLOOKUP(A24,'[1]P&amp;L'!$A$5:$AAG$214,58,FALSE)-(HLOOKUP(A24,'[1]P&amp;L'!$A$5:$AAG$214,4,FALSE)))))))</f>
        <v>10607</v>
      </c>
      <c r="I24" s="51"/>
      <c r="J24" s="93">
        <f>(HLOOKUP(A24,'[1]P&amp;L'!$A$5:$AAG$214,55,FALSE))</f>
        <v>0</v>
      </c>
      <c r="K24" s="51">
        <f t="shared" si="1"/>
        <v>195607</v>
      </c>
      <c r="L24" s="97">
        <f>(HLOOKUP(A24,'[1]P&amp;L'!$A$5:$AAG$214,15,FALSE))</f>
        <v>230000</v>
      </c>
      <c r="M24" s="93">
        <f>(HLOOKUP(A24,'[1]P&amp;L'!$A$5:$AAG$214,51,FALSE)-(G24))</f>
        <v>2612</v>
      </c>
      <c r="N24" s="51">
        <f t="shared" si="2"/>
        <v>31781</v>
      </c>
      <c r="O24" s="93">
        <f>HLOOKUP(A24,'[1]P&amp;L'!$A$5:$ZZ$194,176,0)</f>
        <v>31781</v>
      </c>
      <c r="P24" s="51">
        <f t="shared" si="3"/>
        <v>0</v>
      </c>
      <c r="Q24" s="51"/>
      <c r="R24" s="51"/>
      <c r="S24" s="51"/>
      <c r="T24" s="51"/>
      <c r="U24" s="54">
        <f t="shared" si="4"/>
        <v>227388</v>
      </c>
      <c r="V24" s="51">
        <f t="shared" si="5"/>
        <v>0</v>
      </c>
      <c r="W24" s="56" t="s">
        <v>115</v>
      </c>
      <c r="X24" s="74"/>
      <c r="Y24" s="74"/>
      <c r="Z24" s="74"/>
      <c r="AA24" s="74"/>
      <c r="AB24" s="120" t="str">
        <f t="shared" si="6"/>
        <v>01/1900</v>
      </c>
    </row>
    <row r="25" spans="1:28" ht="15.75" customHeight="1" x14ac:dyDescent="0.3">
      <c r="A25" s="118" t="s">
        <v>196</v>
      </c>
      <c r="B25" s="125" t="s">
        <v>91</v>
      </c>
      <c r="C25" s="49"/>
      <c r="D25" s="49"/>
      <c r="E25" s="119">
        <f t="shared" si="7"/>
        <v>1</v>
      </c>
      <c r="F25" s="93">
        <f>(HLOOKUP(A25,'[1]P&amp;L'!$A$5:$AAG$214,54,FALSE))</f>
        <v>136000</v>
      </c>
      <c r="G25" s="51"/>
      <c r="H25" s="93">
        <f>(HLOOKUP(A25,'[1]P&amp;L'!$A$5:$AAG$214,50,FALSE)+(HLOOKUP(A25,'[1]P&amp;L'!$A$5:$AAG$214,52,FALSE)+(HLOOKUP(A25,'[1]P&amp;L'!$A$5:$AAG$214,53,FALSE)+(HLOOKUP(A25,'[1]P&amp;L'!$A$5:$AAG$214,57,FALSE)+(HLOOKUP(A25,'[1]P&amp;L'!$A$5:$AAG$214,58,FALSE)-(HLOOKUP(A25,'[1]P&amp;L'!$A$5:$AAG$214,4,FALSE)))))))</f>
        <v>0</v>
      </c>
      <c r="I25" s="51"/>
      <c r="J25" s="93">
        <f>(HLOOKUP(A25,'[1]P&amp;L'!$A$5:$AAG$214,55,FALSE))</f>
        <v>0</v>
      </c>
      <c r="K25" s="51">
        <f t="shared" si="1"/>
        <v>136000</v>
      </c>
      <c r="L25" s="97">
        <f>(HLOOKUP(A25,'[1]P&amp;L'!$A$5:$AAG$214,15,FALSE))</f>
        <v>167500</v>
      </c>
      <c r="M25" s="93">
        <f>(HLOOKUP(A25,'[1]P&amp;L'!$A$5:$AAG$214,51,FALSE)-(G25))</f>
        <v>12656.11</v>
      </c>
      <c r="N25" s="51">
        <f t="shared" si="2"/>
        <v>18843.89</v>
      </c>
      <c r="O25" s="93">
        <f>HLOOKUP(A25,'[1]P&amp;L'!$A$5:$ZZ$194,176,0)</f>
        <v>18835.84</v>
      </c>
      <c r="P25" s="51">
        <f t="shared" si="3"/>
        <v>8.0499999999992724</v>
      </c>
      <c r="Q25" s="51"/>
      <c r="R25" s="51"/>
      <c r="S25" s="51"/>
      <c r="T25" s="51"/>
      <c r="U25" s="54">
        <f t="shared" si="4"/>
        <v>154843.89000000001</v>
      </c>
      <c r="V25" s="51">
        <f t="shared" si="5"/>
        <v>0</v>
      </c>
      <c r="W25" s="56" t="s">
        <v>115</v>
      </c>
      <c r="X25" s="74"/>
      <c r="Y25" s="74"/>
      <c r="Z25" s="74"/>
      <c r="AA25" s="74"/>
      <c r="AB25" s="120" t="str">
        <f t="shared" si="6"/>
        <v>01/1900</v>
      </c>
    </row>
    <row r="26" spans="1:28" ht="15.75" customHeight="1" x14ac:dyDescent="0.3">
      <c r="A26" s="118" t="s">
        <v>197</v>
      </c>
      <c r="B26" s="125" t="s">
        <v>91</v>
      </c>
      <c r="C26" s="49"/>
      <c r="D26" s="49"/>
      <c r="E26" s="119">
        <f t="shared" si="7"/>
        <v>1</v>
      </c>
      <c r="F26" s="93">
        <f>(HLOOKUP(A26,'[1]P&amp;L'!$A$5:$AAG$214,54,FALSE))</f>
        <v>45000</v>
      </c>
      <c r="G26" s="51"/>
      <c r="H26" s="93">
        <f>(HLOOKUP(A26,'[1]P&amp;L'!$A$5:$AAG$214,50,FALSE)+(HLOOKUP(A26,'[1]P&amp;L'!$A$5:$AAG$214,52,FALSE)+(HLOOKUP(A26,'[1]P&amp;L'!$A$5:$AAG$214,53,FALSE)+(HLOOKUP(A26,'[1]P&amp;L'!$A$5:$AAG$214,57,FALSE)+(HLOOKUP(A26,'[1]P&amp;L'!$A$5:$AAG$214,58,FALSE)-(HLOOKUP(A26,'[1]P&amp;L'!$A$5:$AAG$214,4,FALSE)))))))</f>
        <v>0</v>
      </c>
      <c r="I26" s="51"/>
      <c r="J26" s="93">
        <f>(HLOOKUP(A26,'[1]P&amp;L'!$A$5:$AAG$214,55,FALSE))</f>
        <v>0</v>
      </c>
      <c r="K26" s="51">
        <f t="shared" si="1"/>
        <v>45000</v>
      </c>
      <c r="L26" s="97">
        <f>(HLOOKUP(A26,'[1]P&amp;L'!$A$5:$AAG$214,15,FALSE))</f>
        <v>62500</v>
      </c>
      <c r="M26" s="93">
        <f>(HLOOKUP(A26,'[1]P&amp;L'!$A$5:$AAG$214,51,FALSE)-(G26))</f>
        <v>1346</v>
      </c>
      <c r="N26" s="51">
        <f t="shared" si="2"/>
        <v>16154</v>
      </c>
      <c r="O26" s="93">
        <f>HLOOKUP(A26,'[1]P&amp;L'!$A$5:$ZZ$194,176,0)</f>
        <v>16154</v>
      </c>
      <c r="P26" s="51">
        <f t="shared" si="3"/>
        <v>0</v>
      </c>
      <c r="Q26" s="51"/>
      <c r="R26" s="51"/>
      <c r="S26" s="51"/>
      <c r="T26" s="51"/>
      <c r="U26" s="54">
        <f t="shared" si="4"/>
        <v>61154</v>
      </c>
      <c r="V26" s="51">
        <f t="shared" si="5"/>
        <v>0</v>
      </c>
      <c r="W26" s="56" t="s">
        <v>115</v>
      </c>
      <c r="X26" s="74"/>
      <c r="Y26" s="74"/>
      <c r="Z26" s="74"/>
      <c r="AA26" s="74"/>
      <c r="AB26" s="120" t="str">
        <f t="shared" si="6"/>
        <v>01/1900</v>
      </c>
    </row>
    <row r="27" spans="1:28" ht="15.75" customHeight="1" x14ac:dyDescent="0.3">
      <c r="A27" s="118" t="s">
        <v>198</v>
      </c>
      <c r="B27" s="125" t="s">
        <v>91</v>
      </c>
      <c r="C27" s="49"/>
      <c r="D27" s="49"/>
      <c r="E27" s="119">
        <f t="shared" si="7"/>
        <v>1</v>
      </c>
      <c r="F27" s="93">
        <f>(HLOOKUP(A27,'[1]P&amp;L'!$A$5:$AAG$214,54,FALSE))</f>
        <v>7000</v>
      </c>
      <c r="G27" s="51"/>
      <c r="H27" s="93">
        <v>3172</v>
      </c>
      <c r="I27" s="51"/>
      <c r="J27" s="93">
        <f>(HLOOKUP(A27,'[1]P&amp;L'!$A$5:$AAG$214,55,FALSE))</f>
        <v>0</v>
      </c>
      <c r="K27" s="51">
        <f t="shared" si="1"/>
        <v>10172</v>
      </c>
      <c r="L27" s="97">
        <f>(HLOOKUP(A27,'[1]P&amp;L'!$A$5:$AAG$214,15,FALSE))</f>
        <v>60000</v>
      </c>
      <c r="M27" s="93">
        <f>(HLOOKUP(A27,'[1]P&amp;L'!$A$5:$AAG$214,51,FALSE)-(G27))</f>
        <v>44308.85</v>
      </c>
      <c r="N27" s="51">
        <f t="shared" si="2"/>
        <v>5519.1500000000015</v>
      </c>
      <c r="O27" s="93">
        <f>HLOOKUP(A27,'[1]P&amp;L'!$A$5:$ZZ$194,176,0)</f>
        <v>5519.15</v>
      </c>
      <c r="P27" s="51">
        <f t="shared" si="3"/>
        <v>0</v>
      </c>
      <c r="Q27" s="51"/>
      <c r="R27" s="51"/>
      <c r="S27" s="51"/>
      <c r="T27" s="51"/>
      <c r="U27" s="54">
        <f t="shared" si="4"/>
        <v>15691.150000000001</v>
      </c>
      <c r="V27" s="51">
        <f t="shared" si="5"/>
        <v>0</v>
      </c>
      <c r="W27" s="56" t="s">
        <v>115</v>
      </c>
      <c r="X27" s="74"/>
      <c r="Y27" s="74"/>
      <c r="Z27" s="74"/>
      <c r="AA27" s="74"/>
      <c r="AB27" s="120" t="str">
        <f t="shared" si="6"/>
        <v>01/1900</v>
      </c>
    </row>
    <row r="28" spans="1:28" ht="15.75" customHeight="1" x14ac:dyDescent="0.3">
      <c r="A28" s="118" t="s">
        <v>199</v>
      </c>
      <c r="B28" s="125" t="s">
        <v>91</v>
      </c>
      <c r="C28" s="49"/>
      <c r="D28" s="49"/>
      <c r="E28" s="119">
        <f t="shared" si="7"/>
        <v>1</v>
      </c>
      <c r="F28" s="93">
        <f>(HLOOKUP(A28,'[1]P&amp;L'!$A$5:$AAG$214,54,FALSE))</f>
        <v>45000</v>
      </c>
      <c r="G28" s="51"/>
      <c r="H28" s="93">
        <f>(HLOOKUP(A28,'[1]P&amp;L'!$A$5:$AAG$214,50,FALSE)+(HLOOKUP(A28,'[1]P&amp;L'!$A$5:$AAG$214,52,FALSE)+(HLOOKUP(A28,'[1]P&amp;L'!$A$5:$AAG$214,53,FALSE)+(HLOOKUP(A28,'[1]P&amp;L'!$A$5:$AAG$214,57,FALSE)+(HLOOKUP(A28,'[1]P&amp;L'!$A$5:$AAG$214,58,FALSE)-(HLOOKUP(A28,'[1]P&amp;L'!$A$5:$AAG$214,4,FALSE)))))))</f>
        <v>7500</v>
      </c>
      <c r="I28" s="51"/>
      <c r="J28" s="93">
        <f>(HLOOKUP(A28,'[1]P&amp;L'!$A$5:$AAG$214,55,FALSE))</f>
        <v>0</v>
      </c>
      <c r="K28" s="51">
        <f t="shared" si="1"/>
        <v>52500</v>
      </c>
      <c r="L28" s="97">
        <f>(HLOOKUP(A28,'[1]P&amp;L'!$A$5:$AAG$214,15,FALSE))</f>
        <v>79500</v>
      </c>
      <c r="M28" s="93">
        <f>(HLOOKUP(A28,'[1]P&amp;L'!$A$5:$AAG$214,51,FALSE)-(G28))</f>
        <v>4534.47</v>
      </c>
      <c r="N28" s="51">
        <f t="shared" si="2"/>
        <v>22465.53</v>
      </c>
      <c r="O28" s="93">
        <f>HLOOKUP(A28,'[1]P&amp;L'!$A$5:$ZZ$194,176,0)</f>
        <v>22465.53</v>
      </c>
      <c r="P28" s="51">
        <f t="shared" si="3"/>
        <v>0</v>
      </c>
      <c r="Q28" s="51"/>
      <c r="R28" s="51"/>
      <c r="S28" s="51"/>
      <c r="T28" s="51"/>
      <c r="U28" s="54">
        <f t="shared" si="4"/>
        <v>74965.53</v>
      </c>
      <c r="V28" s="51">
        <f t="shared" si="5"/>
        <v>0</v>
      </c>
      <c r="W28" s="56" t="s">
        <v>115</v>
      </c>
      <c r="X28" s="74"/>
      <c r="Y28" s="74"/>
      <c r="Z28" s="74"/>
      <c r="AA28" s="74"/>
      <c r="AB28" s="120" t="str">
        <f t="shared" si="6"/>
        <v>01/1900</v>
      </c>
    </row>
    <row r="29" spans="1:28" ht="15.75" customHeight="1" x14ac:dyDescent="0.3">
      <c r="A29" s="118" t="s">
        <v>200</v>
      </c>
      <c r="B29" s="125" t="s">
        <v>91</v>
      </c>
      <c r="C29" s="49"/>
      <c r="D29" s="49"/>
      <c r="E29" s="119">
        <f t="shared" si="7"/>
        <v>1</v>
      </c>
      <c r="F29" s="93">
        <f>(HLOOKUP(A29,'[1]P&amp;L'!$A$5:$AAG$214,54,FALSE))</f>
        <v>44000</v>
      </c>
      <c r="G29" s="51"/>
      <c r="H29" s="93">
        <f>(HLOOKUP(A29,'[1]P&amp;L'!$A$5:$AAG$214,50,FALSE)+(HLOOKUP(A29,'[1]P&amp;L'!$A$5:$AAG$214,52,FALSE)+(HLOOKUP(A29,'[1]P&amp;L'!$A$5:$AAG$214,53,FALSE)+(HLOOKUP(A29,'[1]P&amp;L'!$A$5:$AAG$214,57,FALSE)+(HLOOKUP(A29,'[1]P&amp;L'!$A$5:$AAG$214,58,FALSE)-(HLOOKUP(A29,'[1]P&amp;L'!$A$5:$AAG$214,4,FALSE)))))))</f>
        <v>19000</v>
      </c>
      <c r="I29" s="51"/>
      <c r="J29" s="93">
        <f>(HLOOKUP(A29,'[1]P&amp;L'!$A$5:$AAG$214,55,FALSE))</f>
        <v>0</v>
      </c>
      <c r="K29" s="51">
        <f t="shared" si="1"/>
        <v>63000</v>
      </c>
      <c r="L29" s="97">
        <f>(HLOOKUP(A29,'[1]P&amp;L'!$A$5:$AAG$214,15,FALSE))</f>
        <v>79000</v>
      </c>
      <c r="M29" s="93">
        <f>(HLOOKUP(A29,'[1]P&amp;L'!$A$5:$AAG$214,51,FALSE)-(G29))</f>
        <v>1667.06</v>
      </c>
      <c r="N29" s="51">
        <f t="shared" si="2"/>
        <v>14332.94</v>
      </c>
      <c r="O29" s="93">
        <f>HLOOKUP(A29,'[1]P&amp;L'!$A$5:$ZZ$194,176,0)</f>
        <v>14332.94</v>
      </c>
      <c r="P29" s="51">
        <f t="shared" si="3"/>
        <v>0</v>
      </c>
      <c r="Q29" s="51"/>
      <c r="R29" s="51"/>
      <c r="S29" s="51"/>
      <c r="T29" s="51"/>
      <c r="U29" s="54">
        <f t="shared" si="4"/>
        <v>77332.94</v>
      </c>
      <c r="V29" s="51">
        <f t="shared" si="5"/>
        <v>0</v>
      </c>
      <c r="W29" s="56" t="s">
        <v>115</v>
      </c>
      <c r="X29" s="74"/>
      <c r="Y29" s="74"/>
      <c r="Z29" s="74"/>
      <c r="AA29" s="74"/>
      <c r="AB29" s="120" t="str">
        <f t="shared" si="6"/>
        <v>01/1900</v>
      </c>
    </row>
    <row r="30" spans="1:28" ht="15.75" customHeight="1" x14ac:dyDescent="0.3">
      <c r="A30" s="118" t="s">
        <v>201</v>
      </c>
      <c r="B30" s="125" t="s">
        <v>91</v>
      </c>
      <c r="C30" s="49"/>
      <c r="D30" s="49"/>
      <c r="E30" s="119">
        <f>IF(B30="Sold",D30-C30+1,IF(B30&lt;&gt;"Sold",$A$1-C30))</f>
        <v>1</v>
      </c>
      <c r="F30" s="93">
        <f>(HLOOKUP(A30,'[1]P&amp;L'!$A$5:$AAG$214,54,FALSE))</f>
        <v>83000</v>
      </c>
      <c r="G30" s="51"/>
      <c r="H30" s="93">
        <f>(HLOOKUP(A30,'[1]P&amp;L'!$A$5:$AAG$214,50,FALSE)+(HLOOKUP(A30,'[1]P&amp;L'!$A$5:$AAG$214,52,FALSE)+(HLOOKUP(A30,'[1]P&amp;L'!$A$5:$AAG$214,53,FALSE)+(HLOOKUP(A30,'[1]P&amp;L'!$A$5:$AAG$214,57,FALSE)+(HLOOKUP(A30,'[1]P&amp;L'!$A$5:$AAG$214,58,FALSE)-(HLOOKUP(A30,'[1]P&amp;L'!$A$5:$AAG$214,4,FALSE)))))))</f>
        <v>-875.19</v>
      </c>
      <c r="I30" s="51"/>
      <c r="J30" s="93">
        <f>(HLOOKUP(A30,'[1]P&amp;L'!$A$5:$AAG$214,55,FALSE))</f>
        <v>160.88999999999999</v>
      </c>
      <c r="K30" s="51">
        <f t="shared" si="1"/>
        <v>82285.7</v>
      </c>
      <c r="L30" s="97">
        <f>(HLOOKUP(A30,'[1]P&amp;L'!$A$5:$AAG$214,15,FALSE))</f>
        <v>85000</v>
      </c>
      <c r="M30" s="93">
        <f>(HLOOKUP(A30,'[1]P&amp;L'!$A$5:$AAG$214,51,FALSE)-(G30))</f>
        <v>5880.11</v>
      </c>
      <c r="N30" s="51">
        <f t="shared" si="2"/>
        <v>-3165.8099999999968</v>
      </c>
      <c r="O30" s="93">
        <f>HLOOKUP(A30,'[1]P&amp;L'!$A$5:$ZZ$194,176,0)</f>
        <v>-3165.81</v>
      </c>
      <c r="P30" s="51">
        <f t="shared" si="3"/>
        <v>0</v>
      </c>
      <c r="Q30" s="51"/>
      <c r="R30" s="51"/>
      <c r="S30" s="51"/>
      <c r="T30" s="51"/>
      <c r="U30" s="54">
        <f t="shared" si="4"/>
        <v>79119.89</v>
      </c>
      <c r="V30" s="51">
        <f t="shared" si="5"/>
        <v>160.88999999999999</v>
      </c>
      <c r="W30" s="56" t="s">
        <v>115</v>
      </c>
      <c r="X30" s="74"/>
      <c r="Y30" s="74"/>
      <c r="Z30" s="74"/>
      <c r="AA30" s="74"/>
      <c r="AB30" s="120" t="str">
        <f t="shared" si="6"/>
        <v>01/1900</v>
      </c>
    </row>
    <row r="31" spans="1:28" ht="15.75" customHeight="1" x14ac:dyDescent="0.3">
      <c r="A31" s="118" t="s">
        <v>202</v>
      </c>
      <c r="B31" s="125" t="s">
        <v>91</v>
      </c>
      <c r="C31" s="49"/>
      <c r="D31" s="49"/>
      <c r="E31" s="119">
        <f>IF(B31="Sold",D31-C31+1,IF(B31&lt;&gt;"Sold",$A$1-$C$23))</f>
        <v>1</v>
      </c>
      <c r="F31" s="93">
        <f>(HLOOKUP(A31,'[1]P&amp;L'!$A$5:$AAG$214,54,FALSE))</f>
        <v>90000</v>
      </c>
      <c r="G31" s="51"/>
      <c r="H31" s="93">
        <f>(HLOOKUP(A31,'[1]P&amp;L'!$A$5:$AAG$214,50,FALSE)+(HLOOKUP(A31,'[1]P&amp;L'!$A$5:$AAG$214,52,FALSE)+(HLOOKUP(A31,'[1]P&amp;L'!$A$5:$AAG$214,53,FALSE)+(HLOOKUP(A31,'[1]P&amp;L'!$A$5:$AAG$214,57,FALSE)+(HLOOKUP(A31,'[1]P&amp;L'!$A$5:$AAG$214,58,FALSE)-(HLOOKUP(A31,'[1]P&amp;L'!$A$5:$AAG$214,4,FALSE)))))))</f>
        <v>1350</v>
      </c>
      <c r="I31" s="51"/>
      <c r="J31" s="93">
        <f>(HLOOKUP(A31,'[1]P&amp;L'!$A$5:$AAG$214,55,FALSE))</f>
        <v>0</v>
      </c>
      <c r="K31" s="51">
        <f t="shared" si="1"/>
        <v>91350</v>
      </c>
      <c r="L31" s="97">
        <f>(HLOOKUP(A31,'[1]P&amp;L'!$A$5:$AAG$214,15,FALSE))</f>
        <v>120000</v>
      </c>
      <c r="M31" s="93">
        <f>(HLOOKUP(A31,'[1]P&amp;L'!$A$5:$AAG$214,51,FALSE)-(G31))</f>
        <v>2960.68</v>
      </c>
      <c r="N31" s="51">
        <f t="shared" si="2"/>
        <v>25689.32</v>
      </c>
      <c r="O31" s="93">
        <f>HLOOKUP(A31,'[1]P&amp;L'!$A$5:$ZZ$194,176,0)</f>
        <v>25689.32</v>
      </c>
      <c r="P31" s="51">
        <f t="shared" si="3"/>
        <v>0</v>
      </c>
      <c r="Q31" s="51"/>
      <c r="R31" s="51"/>
      <c r="S31" s="51"/>
      <c r="T31" s="51"/>
      <c r="U31" s="54">
        <f t="shared" si="4"/>
        <v>117039.32</v>
      </c>
      <c r="V31" s="51">
        <f t="shared" si="5"/>
        <v>0</v>
      </c>
      <c r="W31" s="56" t="s">
        <v>115</v>
      </c>
      <c r="X31" s="74"/>
      <c r="Y31" s="74"/>
      <c r="Z31" s="74"/>
      <c r="AA31" s="74"/>
      <c r="AB31" s="120" t="str">
        <f t="shared" si="6"/>
        <v>01/1900</v>
      </c>
    </row>
    <row r="32" spans="1:28" ht="15.75" customHeight="1" x14ac:dyDescent="0.3">
      <c r="A32" s="118"/>
      <c r="B32" s="125"/>
      <c r="C32" s="49"/>
      <c r="D32" s="49"/>
      <c r="E32" s="119">
        <v>0</v>
      </c>
      <c r="F32" s="93"/>
      <c r="G32" s="51"/>
      <c r="H32" s="93"/>
      <c r="I32" s="51"/>
      <c r="J32" s="93"/>
      <c r="K32" s="51"/>
      <c r="L32" s="97"/>
      <c r="M32" s="93"/>
      <c r="N32" s="51"/>
      <c r="O32" s="93"/>
      <c r="P32" s="51"/>
      <c r="Q32" s="51"/>
      <c r="R32" s="51"/>
      <c r="S32" s="51"/>
      <c r="T32" s="51"/>
      <c r="U32" s="54"/>
      <c r="V32" s="51"/>
      <c r="W32" s="56"/>
      <c r="X32" s="74"/>
      <c r="Y32" s="74"/>
      <c r="Z32" s="74"/>
      <c r="AA32" s="74"/>
      <c r="AB32" s="120"/>
    </row>
    <row r="33" spans="22:22" ht="13.8" x14ac:dyDescent="0.3">
      <c r="V33" s="5"/>
    </row>
    <row r="34" spans="22:22" ht="13.8" x14ac:dyDescent="0.3">
      <c r="V34" s="5"/>
    </row>
    <row r="35" spans="22:22" ht="13.8" x14ac:dyDescent="0.3">
      <c r="V35" s="5"/>
    </row>
    <row r="36" spans="22:22" ht="13.8" x14ac:dyDescent="0.3">
      <c r="V36" s="5"/>
    </row>
    <row r="37" spans="22:22" ht="13.8" x14ac:dyDescent="0.3">
      <c r="V37" s="5"/>
    </row>
    <row r="38" spans="22:22" ht="13.8" x14ac:dyDescent="0.3">
      <c r="V38" s="5"/>
    </row>
    <row r="39" spans="22:22" ht="13.8" x14ac:dyDescent="0.3">
      <c r="V39" s="5"/>
    </row>
    <row r="40" spans="22:22" ht="13.8" x14ac:dyDescent="0.3">
      <c r="V40" s="5"/>
    </row>
    <row r="41" spans="22:22" ht="13.8" x14ac:dyDescent="0.3">
      <c r="V41" s="5"/>
    </row>
    <row r="42" spans="22:22" ht="13.8" x14ac:dyDescent="0.3">
      <c r="V42" s="5"/>
    </row>
    <row r="43" spans="22:22" ht="13.8" x14ac:dyDescent="0.3">
      <c r="V43" s="5"/>
    </row>
    <row r="44" spans="22:22" ht="13.8" x14ac:dyDescent="0.3">
      <c r="V44" s="5"/>
    </row>
    <row r="45" spans="22:22" ht="13.8" x14ac:dyDescent="0.3">
      <c r="V45" s="5"/>
    </row>
    <row r="46" spans="22:22" ht="13.8" x14ac:dyDescent="0.3">
      <c r="V46" s="5"/>
    </row>
    <row r="47" spans="22:22" ht="13.8" x14ac:dyDescent="0.3">
      <c r="V47" s="5"/>
    </row>
    <row r="48" spans="22:22" ht="13.8" x14ac:dyDescent="0.3">
      <c r="V48" s="5"/>
    </row>
    <row r="49" spans="22:22" ht="13.8" x14ac:dyDescent="0.3">
      <c r="V49" s="5"/>
    </row>
    <row r="50" spans="22:22" ht="13.8" x14ac:dyDescent="0.3">
      <c r="V50" s="5"/>
    </row>
    <row r="51" spans="22:22" ht="13.8" x14ac:dyDescent="0.3">
      <c r="V51" s="5"/>
    </row>
    <row r="52" spans="22:22" ht="13.8" x14ac:dyDescent="0.3">
      <c r="V52" s="5"/>
    </row>
    <row r="53" spans="22:22" ht="13.8" x14ac:dyDescent="0.3">
      <c r="V53" s="5"/>
    </row>
    <row r="54" spans="22:22" ht="13.8" x14ac:dyDescent="0.3">
      <c r="V54" s="5"/>
    </row>
    <row r="55" spans="22:22" ht="13.8" x14ac:dyDescent="0.3">
      <c r="V55" s="5"/>
    </row>
    <row r="56" spans="22:22" ht="13.8" x14ac:dyDescent="0.3">
      <c r="V56" s="5"/>
    </row>
    <row r="57" spans="22:22" ht="13.8" x14ac:dyDescent="0.3">
      <c r="V57" s="5"/>
    </row>
    <row r="58" spans="22:22" ht="13.8" x14ac:dyDescent="0.3">
      <c r="V58" s="5"/>
    </row>
    <row r="59" spans="22:22" ht="13.8" x14ac:dyDescent="0.3">
      <c r="V59" s="5"/>
    </row>
    <row r="60" spans="22:22" ht="13.8" x14ac:dyDescent="0.3">
      <c r="V60" s="5"/>
    </row>
    <row r="61" spans="22:22" ht="13.8" x14ac:dyDescent="0.3">
      <c r="V61" s="5"/>
    </row>
    <row r="62" spans="22:22" ht="13.8" x14ac:dyDescent="0.3">
      <c r="V62" s="5"/>
    </row>
    <row r="63" spans="22:22" ht="13.8" x14ac:dyDescent="0.3">
      <c r="V63" s="5"/>
    </row>
    <row r="64" spans="22:22" ht="13.8" x14ac:dyDescent="0.3">
      <c r="V64" s="5"/>
    </row>
    <row r="65" spans="22:22" ht="13.8" x14ac:dyDescent="0.3">
      <c r="V65" s="5"/>
    </row>
    <row r="66" spans="22:22" ht="13.8" x14ac:dyDescent="0.3">
      <c r="V66" s="5"/>
    </row>
    <row r="67" spans="22:22" ht="13.8" x14ac:dyDescent="0.3">
      <c r="V67" s="5"/>
    </row>
    <row r="68" spans="22:22" ht="13.8" x14ac:dyDescent="0.3">
      <c r="V68" s="5"/>
    </row>
    <row r="69" spans="22:22" ht="13.8" x14ac:dyDescent="0.3">
      <c r="V69" s="5"/>
    </row>
    <row r="70" spans="22:22" ht="13.8" x14ac:dyDescent="0.3">
      <c r="V70" s="5"/>
    </row>
    <row r="71" spans="22:22" ht="13.8" x14ac:dyDescent="0.3">
      <c r="V71" s="5"/>
    </row>
    <row r="72" spans="22:22" ht="13.8" x14ac:dyDescent="0.3">
      <c r="V72" s="5"/>
    </row>
    <row r="73" spans="22:22" ht="13.8" x14ac:dyDescent="0.3">
      <c r="V73" s="5"/>
    </row>
    <row r="74" spans="22:22" ht="13.8" x14ac:dyDescent="0.3">
      <c r="V74" s="5"/>
    </row>
    <row r="75" spans="22:22" ht="13.8" x14ac:dyDescent="0.3">
      <c r="V75" s="5"/>
    </row>
    <row r="76" spans="22:22" ht="13.8" x14ac:dyDescent="0.3">
      <c r="V76" s="5"/>
    </row>
    <row r="77" spans="22:22" ht="13.8" x14ac:dyDescent="0.3">
      <c r="V77" s="5"/>
    </row>
    <row r="78" spans="22:22" ht="13.8" x14ac:dyDescent="0.3">
      <c r="V78" s="5"/>
    </row>
    <row r="79" spans="22:22" ht="13.8" x14ac:dyDescent="0.3">
      <c r="V79" s="5"/>
    </row>
    <row r="80" spans="22:22" ht="13.8" x14ac:dyDescent="0.3">
      <c r="V80" s="5"/>
    </row>
    <row r="81" spans="22:22" ht="13.8" x14ac:dyDescent="0.3">
      <c r="V81" s="5"/>
    </row>
    <row r="82" spans="22:22" ht="13.8" x14ac:dyDescent="0.3">
      <c r="V82" s="5"/>
    </row>
    <row r="83" spans="22:22" ht="13.8" x14ac:dyDescent="0.3">
      <c r="V83" s="5"/>
    </row>
    <row r="84" spans="22:22" ht="13.8" x14ac:dyDescent="0.3">
      <c r="V84" s="5"/>
    </row>
    <row r="85" spans="22:22" ht="13.8" x14ac:dyDescent="0.3">
      <c r="V85" s="5"/>
    </row>
    <row r="86" spans="22:22" ht="13.8" x14ac:dyDescent="0.3">
      <c r="V86" s="5"/>
    </row>
    <row r="87" spans="22:22" ht="13.8" x14ac:dyDescent="0.3">
      <c r="V87" s="5"/>
    </row>
    <row r="88" spans="22:22" ht="13.8" x14ac:dyDescent="0.3">
      <c r="V88" s="5"/>
    </row>
    <row r="89" spans="22:22" ht="13.8" x14ac:dyDescent="0.3">
      <c r="V89" s="5"/>
    </row>
    <row r="90" spans="22:22" ht="13.8" x14ac:dyDescent="0.3">
      <c r="V90" s="5"/>
    </row>
    <row r="91" spans="22:22" ht="13.8" x14ac:dyDescent="0.3">
      <c r="V91" s="5"/>
    </row>
    <row r="92" spans="22:22" ht="13.8" x14ac:dyDescent="0.3">
      <c r="V92" s="5"/>
    </row>
    <row r="93" spans="22:22" ht="13.8" x14ac:dyDescent="0.3">
      <c r="V93" s="5"/>
    </row>
    <row r="94" spans="22:22" ht="13.8" x14ac:dyDescent="0.3">
      <c r="V94" s="5"/>
    </row>
    <row r="95" spans="22:22" ht="13.8" x14ac:dyDescent="0.3">
      <c r="V95" s="5"/>
    </row>
    <row r="96" spans="22:22" ht="13.8" x14ac:dyDescent="0.3">
      <c r="V96" s="5"/>
    </row>
    <row r="97" spans="22:22" ht="13.8" x14ac:dyDescent="0.3">
      <c r="V97" s="5"/>
    </row>
    <row r="98" spans="22:22" ht="13.8" x14ac:dyDescent="0.3">
      <c r="V98" s="5"/>
    </row>
    <row r="99" spans="22:22" ht="13.8" x14ac:dyDescent="0.3">
      <c r="V99" s="5"/>
    </row>
    <row r="100" spans="22:22" ht="13.8" x14ac:dyDescent="0.3">
      <c r="V100" s="5"/>
    </row>
    <row r="101" spans="22:22" ht="13.8" x14ac:dyDescent="0.3">
      <c r="V101" s="5"/>
    </row>
    <row r="102" spans="22:22" ht="13.8" x14ac:dyDescent="0.3">
      <c r="V102" s="5"/>
    </row>
    <row r="103" spans="22:22" ht="13.8" x14ac:dyDescent="0.3">
      <c r="V103" s="5"/>
    </row>
    <row r="104" spans="22:22" ht="13.8" x14ac:dyDescent="0.3">
      <c r="V104" s="5"/>
    </row>
    <row r="105" spans="22:22" ht="13.8" x14ac:dyDescent="0.3">
      <c r="V105" s="5"/>
    </row>
    <row r="106" spans="22:22" ht="13.8" x14ac:dyDescent="0.3">
      <c r="V106" s="5"/>
    </row>
    <row r="107" spans="22:22" ht="13.8" x14ac:dyDescent="0.3">
      <c r="V107" s="5"/>
    </row>
    <row r="108" spans="22:22" ht="13.8" x14ac:dyDescent="0.3">
      <c r="V108" s="5"/>
    </row>
    <row r="109" spans="22:22" ht="13.8" x14ac:dyDescent="0.3">
      <c r="V109" s="5"/>
    </row>
    <row r="110" spans="22:22" ht="13.8" x14ac:dyDescent="0.3">
      <c r="V110" s="5"/>
    </row>
    <row r="111" spans="22:22" ht="13.8" x14ac:dyDescent="0.3">
      <c r="V111" s="5"/>
    </row>
    <row r="112" spans="22:22" ht="13.8" x14ac:dyDescent="0.3">
      <c r="V112" s="5"/>
    </row>
    <row r="113" spans="22:22" ht="13.8" x14ac:dyDescent="0.3">
      <c r="V113" s="5"/>
    </row>
    <row r="114" spans="22:22" ht="13.8" x14ac:dyDescent="0.3">
      <c r="V114" s="5"/>
    </row>
    <row r="115" spans="22:22" ht="13.8" x14ac:dyDescent="0.3">
      <c r="V115" s="5"/>
    </row>
    <row r="116" spans="22:22" ht="13.8" x14ac:dyDescent="0.3">
      <c r="V116" s="5"/>
    </row>
    <row r="117" spans="22:22" ht="13.8" x14ac:dyDescent="0.3">
      <c r="V117" s="5"/>
    </row>
    <row r="118" spans="22:22" ht="13.8" x14ac:dyDescent="0.3">
      <c r="V118" s="5"/>
    </row>
    <row r="119" spans="22:22" ht="13.8" x14ac:dyDescent="0.3">
      <c r="V119" s="5"/>
    </row>
    <row r="120" spans="22:22" ht="13.8" x14ac:dyDescent="0.3">
      <c r="V120" s="5"/>
    </row>
    <row r="121" spans="22:22" ht="13.8" x14ac:dyDescent="0.3">
      <c r="V121" s="5"/>
    </row>
    <row r="122" spans="22:22" ht="13.8" x14ac:dyDescent="0.3">
      <c r="V122" s="5"/>
    </row>
    <row r="123" spans="22:22" ht="13.8" x14ac:dyDescent="0.3">
      <c r="V123" s="5"/>
    </row>
    <row r="124" spans="22:22" ht="13.8" x14ac:dyDescent="0.3">
      <c r="V124" s="5"/>
    </row>
    <row r="125" spans="22:22" ht="13.8" x14ac:dyDescent="0.3">
      <c r="V125" s="5"/>
    </row>
    <row r="126" spans="22:22" ht="13.8" x14ac:dyDescent="0.3">
      <c r="V126" s="5"/>
    </row>
    <row r="127" spans="22:22" ht="13.8" x14ac:dyDescent="0.3">
      <c r="V127" s="5"/>
    </row>
    <row r="128" spans="22:22" ht="13.8" x14ac:dyDescent="0.3">
      <c r="V128" s="5"/>
    </row>
    <row r="129" spans="22:22" ht="13.8" x14ac:dyDescent="0.3">
      <c r="V129" s="5"/>
    </row>
    <row r="130" spans="22:22" ht="13.8" x14ac:dyDescent="0.3">
      <c r="V130" s="5"/>
    </row>
    <row r="131" spans="22:22" ht="13.8" x14ac:dyDescent="0.3">
      <c r="V131" s="5"/>
    </row>
    <row r="132" spans="22:22" ht="13.8" x14ac:dyDescent="0.3">
      <c r="V132" s="5"/>
    </row>
    <row r="133" spans="22:22" ht="13.8" x14ac:dyDescent="0.3">
      <c r="V133" s="5"/>
    </row>
    <row r="134" spans="22:22" ht="13.8" x14ac:dyDescent="0.3">
      <c r="V134" s="5"/>
    </row>
    <row r="135" spans="22:22" ht="13.8" x14ac:dyDescent="0.3">
      <c r="V135" s="5"/>
    </row>
    <row r="136" spans="22:22" ht="13.8" x14ac:dyDescent="0.3">
      <c r="V136" s="5"/>
    </row>
    <row r="137" spans="22:22" ht="13.8" x14ac:dyDescent="0.3">
      <c r="V137" s="5"/>
    </row>
    <row r="138" spans="22:22" ht="13.8" x14ac:dyDescent="0.3">
      <c r="V138" s="5"/>
    </row>
    <row r="139" spans="22:22" ht="13.8" x14ac:dyDescent="0.3">
      <c r="V139" s="5"/>
    </row>
    <row r="140" spans="22:22" ht="13.8" x14ac:dyDescent="0.3">
      <c r="V140" s="5"/>
    </row>
    <row r="141" spans="22:22" ht="13.8" x14ac:dyDescent="0.3">
      <c r="V141" s="5"/>
    </row>
    <row r="142" spans="22:22" ht="13.8" x14ac:dyDescent="0.3">
      <c r="V142" s="5"/>
    </row>
    <row r="143" spans="22:22" ht="13.8" x14ac:dyDescent="0.3">
      <c r="V143" s="5"/>
    </row>
    <row r="144" spans="22:22" ht="13.8" x14ac:dyDescent="0.3">
      <c r="V144" s="5"/>
    </row>
    <row r="145" spans="22:22" ht="13.8" x14ac:dyDescent="0.3">
      <c r="V145" s="5"/>
    </row>
    <row r="146" spans="22:22" ht="13.8" x14ac:dyDescent="0.3">
      <c r="V146" s="5"/>
    </row>
    <row r="147" spans="22:22" ht="13.8" x14ac:dyDescent="0.3">
      <c r="V147" s="5"/>
    </row>
    <row r="148" spans="22:22" ht="13.8" x14ac:dyDescent="0.3">
      <c r="V148" s="5"/>
    </row>
    <row r="149" spans="22:22" ht="13.8" x14ac:dyDescent="0.3">
      <c r="V149" s="5"/>
    </row>
    <row r="150" spans="22:22" ht="13.8" x14ac:dyDescent="0.3">
      <c r="V150" s="5"/>
    </row>
    <row r="151" spans="22:22" ht="13.8" x14ac:dyDescent="0.3">
      <c r="V151" s="5"/>
    </row>
    <row r="152" spans="22:22" ht="13.8" x14ac:dyDescent="0.3">
      <c r="V152" s="5"/>
    </row>
    <row r="153" spans="22:22" ht="13.8" x14ac:dyDescent="0.3">
      <c r="V153" s="5"/>
    </row>
    <row r="154" spans="22:22" ht="13.8" x14ac:dyDescent="0.3">
      <c r="V154" s="5"/>
    </row>
    <row r="155" spans="22:22" ht="13.8" x14ac:dyDescent="0.3">
      <c r="V155" s="5"/>
    </row>
    <row r="156" spans="22:22" ht="13.8" x14ac:dyDescent="0.3">
      <c r="V156" s="5"/>
    </row>
    <row r="157" spans="22:22" ht="13.8" x14ac:dyDescent="0.3">
      <c r="V157" s="5"/>
    </row>
    <row r="158" spans="22:22" ht="13.8" x14ac:dyDescent="0.3">
      <c r="V158" s="5"/>
    </row>
    <row r="159" spans="22:22" ht="13.8" x14ac:dyDescent="0.3">
      <c r="V159" s="5"/>
    </row>
    <row r="160" spans="22:22" ht="13.8" x14ac:dyDescent="0.3">
      <c r="V160" s="5"/>
    </row>
    <row r="161" spans="22:22" ht="13.8" x14ac:dyDescent="0.3">
      <c r="V161" s="5"/>
    </row>
    <row r="162" spans="22:22" ht="13.8" x14ac:dyDescent="0.3">
      <c r="V162" s="5"/>
    </row>
    <row r="163" spans="22:22" ht="13.8" x14ac:dyDescent="0.3">
      <c r="V163" s="5"/>
    </row>
    <row r="164" spans="22:22" ht="13.8" x14ac:dyDescent="0.3">
      <c r="V164" s="5"/>
    </row>
    <row r="165" spans="22:22" ht="13.8" x14ac:dyDescent="0.3">
      <c r="V165" s="5"/>
    </row>
    <row r="166" spans="22:22" ht="13.8" x14ac:dyDescent="0.3">
      <c r="V166" s="5"/>
    </row>
    <row r="167" spans="22:22" ht="13.8" x14ac:dyDescent="0.3">
      <c r="V167" s="5"/>
    </row>
    <row r="168" spans="22:22" ht="13.8" x14ac:dyDescent="0.3">
      <c r="V168" s="5"/>
    </row>
    <row r="169" spans="22:22" ht="13.8" x14ac:dyDescent="0.3">
      <c r="V169" s="5"/>
    </row>
    <row r="170" spans="22:22" ht="13.8" x14ac:dyDescent="0.3">
      <c r="V170" s="5"/>
    </row>
    <row r="171" spans="22:22" ht="13.8" x14ac:dyDescent="0.3">
      <c r="V171" s="5"/>
    </row>
    <row r="172" spans="22:22" ht="13.8" x14ac:dyDescent="0.3">
      <c r="V172" s="5"/>
    </row>
    <row r="173" spans="22:22" ht="13.8" x14ac:dyDescent="0.3">
      <c r="V173" s="5"/>
    </row>
    <row r="174" spans="22:22" ht="13.8" x14ac:dyDescent="0.3">
      <c r="V174" s="5"/>
    </row>
    <row r="175" spans="22:22" ht="13.8" x14ac:dyDescent="0.3">
      <c r="V175" s="5"/>
    </row>
    <row r="176" spans="22:22" ht="13.8" x14ac:dyDescent="0.3">
      <c r="V176" s="5"/>
    </row>
    <row r="177" spans="22:22" ht="13.8" x14ac:dyDescent="0.3">
      <c r="V177" s="5"/>
    </row>
    <row r="178" spans="22:22" ht="13.8" x14ac:dyDescent="0.3">
      <c r="V178" s="5"/>
    </row>
    <row r="179" spans="22:22" ht="13.8" x14ac:dyDescent="0.3">
      <c r="V179" s="5"/>
    </row>
    <row r="180" spans="22:22" ht="13.8" x14ac:dyDescent="0.3">
      <c r="V180" s="5"/>
    </row>
    <row r="181" spans="22:22" ht="13.8" x14ac:dyDescent="0.3">
      <c r="V181" s="5"/>
    </row>
    <row r="182" spans="22:22" ht="13.8" x14ac:dyDescent="0.3">
      <c r="V182" s="5"/>
    </row>
    <row r="183" spans="22:22" ht="13.8" x14ac:dyDescent="0.3">
      <c r="V183" s="5"/>
    </row>
    <row r="184" spans="22:22" ht="13.8" x14ac:dyDescent="0.3">
      <c r="V184" s="5"/>
    </row>
    <row r="185" spans="22:22" ht="13.8" x14ac:dyDescent="0.3">
      <c r="V185" s="5"/>
    </row>
    <row r="186" spans="22:22" ht="13.8" x14ac:dyDescent="0.3">
      <c r="V186" s="5"/>
    </row>
    <row r="187" spans="22:22" ht="13.8" x14ac:dyDescent="0.3">
      <c r="V187" s="5"/>
    </row>
    <row r="188" spans="22:22" ht="13.8" x14ac:dyDescent="0.3">
      <c r="V188" s="5"/>
    </row>
    <row r="189" spans="22:22" ht="13.8" x14ac:dyDescent="0.3">
      <c r="V189" s="5"/>
    </row>
    <row r="190" spans="22:22" ht="13.8" x14ac:dyDescent="0.3">
      <c r="V190" s="5"/>
    </row>
    <row r="191" spans="22:22" ht="13.8" x14ac:dyDescent="0.3">
      <c r="V191" s="5"/>
    </row>
    <row r="192" spans="22:22" ht="13.8" x14ac:dyDescent="0.3">
      <c r="V192" s="5"/>
    </row>
    <row r="193" spans="22:22" ht="13.8" x14ac:dyDescent="0.3">
      <c r="V193" s="5"/>
    </row>
    <row r="194" spans="22:22" ht="13.8" x14ac:dyDescent="0.3">
      <c r="V194" s="5"/>
    </row>
    <row r="195" spans="22:22" ht="13.8" x14ac:dyDescent="0.3">
      <c r="V195" s="5"/>
    </row>
    <row r="196" spans="22:22" ht="13.8" x14ac:dyDescent="0.3">
      <c r="V196" s="5"/>
    </row>
    <row r="197" spans="22:22" ht="13.8" x14ac:dyDescent="0.3">
      <c r="V197" s="5"/>
    </row>
    <row r="198" spans="22:22" ht="13.8" x14ac:dyDescent="0.3">
      <c r="V198" s="5"/>
    </row>
    <row r="199" spans="22:22" ht="13.8" x14ac:dyDescent="0.3">
      <c r="V199" s="5"/>
    </row>
    <row r="200" spans="22:22" ht="13.8" x14ac:dyDescent="0.3">
      <c r="V200" s="5"/>
    </row>
    <row r="201" spans="22:22" ht="13.8" x14ac:dyDescent="0.3">
      <c r="V201" s="5"/>
    </row>
    <row r="202" spans="22:22" ht="13.8" x14ac:dyDescent="0.3">
      <c r="V202" s="5"/>
    </row>
    <row r="203" spans="22:22" ht="13.8" x14ac:dyDescent="0.3">
      <c r="V203" s="5"/>
    </row>
    <row r="204" spans="22:22" ht="13.8" x14ac:dyDescent="0.3">
      <c r="V204" s="5"/>
    </row>
    <row r="205" spans="22:22" ht="13.8" x14ac:dyDescent="0.3">
      <c r="V205" s="5"/>
    </row>
    <row r="206" spans="22:22" ht="13.8" x14ac:dyDescent="0.3">
      <c r="V206" s="5"/>
    </row>
    <row r="207" spans="22:22" ht="13.8" x14ac:dyDescent="0.3">
      <c r="V207" s="5"/>
    </row>
    <row r="208" spans="22:22" ht="13.8" x14ac:dyDescent="0.3">
      <c r="V208" s="5"/>
    </row>
    <row r="209" spans="22:22" ht="13.8" x14ac:dyDescent="0.3">
      <c r="V209" s="5"/>
    </row>
    <row r="210" spans="22:22" ht="13.8" x14ac:dyDescent="0.3">
      <c r="V210" s="5"/>
    </row>
    <row r="211" spans="22:22" ht="13.8" x14ac:dyDescent="0.3">
      <c r="V211" s="5"/>
    </row>
    <row r="212" spans="22:22" ht="13.8" x14ac:dyDescent="0.3">
      <c r="V212" s="5"/>
    </row>
    <row r="213" spans="22:22" ht="13.8" x14ac:dyDescent="0.3">
      <c r="V213" s="5"/>
    </row>
    <row r="214" spans="22:22" ht="13.8" x14ac:dyDescent="0.3">
      <c r="V214" s="5"/>
    </row>
    <row r="215" spans="22:22" ht="13.8" x14ac:dyDescent="0.3">
      <c r="V215" s="5"/>
    </row>
    <row r="216" spans="22:22" ht="13.8" x14ac:dyDescent="0.3">
      <c r="V216" s="5"/>
    </row>
    <row r="217" spans="22:22" ht="13.8" x14ac:dyDescent="0.3">
      <c r="V217" s="5"/>
    </row>
    <row r="218" spans="22:22" ht="13.8" x14ac:dyDescent="0.3">
      <c r="V218" s="5"/>
    </row>
    <row r="219" spans="22:22" ht="13.8" x14ac:dyDescent="0.3">
      <c r="V219" s="5"/>
    </row>
    <row r="220" spans="22:22" ht="13.8" x14ac:dyDescent="0.3">
      <c r="V220" s="5"/>
    </row>
    <row r="221" spans="22:22" ht="13.8" x14ac:dyDescent="0.3">
      <c r="V221" s="5"/>
    </row>
    <row r="222" spans="22:22" ht="13.8" x14ac:dyDescent="0.3">
      <c r="V222" s="5"/>
    </row>
    <row r="223" spans="22:22" ht="13.8" x14ac:dyDescent="0.3">
      <c r="V223" s="5"/>
    </row>
    <row r="224" spans="22:22" ht="13.8" x14ac:dyDescent="0.3">
      <c r="V224" s="5"/>
    </row>
    <row r="225" spans="22:22" ht="13.8" x14ac:dyDescent="0.3">
      <c r="V225" s="5"/>
    </row>
    <row r="226" spans="22:22" ht="13.8" x14ac:dyDescent="0.3">
      <c r="V226" s="5"/>
    </row>
    <row r="227" spans="22:22" ht="13.8" x14ac:dyDescent="0.3">
      <c r="V227" s="5"/>
    </row>
    <row r="228" spans="22:22" ht="13.8" x14ac:dyDescent="0.3">
      <c r="V228" s="5"/>
    </row>
    <row r="229" spans="22:22" ht="13.8" x14ac:dyDescent="0.3">
      <c r="V229" s="5"/>
    </row>
    <row r="230" spans="22:22" ht="13.8" x14ac:dyDescent="0.3">
      <c r="V230" s="5"/>
    </row>
    <row r="231" spans="22:22" ht="13.8" x14ac:dyDescent="0.3">
      <c r="V231" s="5"/>
    </row>
    <row r="232" spans="22:22" ht="13.8" x14ac:dyDescent="0.3">
      <c r="V232" s="5"/>
    </row>
    <row r="233" spans="22:22" ht="13.8" x14ac:dyDescent="0.3">
      <c r="V233" s="5"/>
    </row>
    <row r="234" spans="22:22" ht="13.8" x14ac:dyDescent="0.3">
      <c r="V234" s="5"/>
    </row>
    <row r="235" spans="22:22" ht="13.8" x14ac:dyDescent="0.3">
      <c r="V235" s="5"/>
    </row>
    <row r="236" spans="22:22" ht="13.8" x14ac:dyDescent="0.3">
      <c r="V236" s="5"/>
    </row>
    <row r="237" spans="22:22" ht="13.8" x14ac:dyDescent="0.3">
      <c r="V237" s="5"/>
    </row>
    <row r="238" spans="22:22" ht="13.8" x14ac:dyDescent="0.3">
      <c r="V238" s="5"/>
    </row>
    <row r="239" spans="22:22" ht="13.8" x14ac:dyDescent="0.3">
      <c r="V239" s="5"/>
    </row>
    <row r="240" spans="22:22" ht="13.8" x14ac:dyDescent="0.3">
      <c r="V240" s="5"/>
    </row>
    <row r="241" spans="22:22" ht="13.8" x14ac:dyDescent="0.3">
      <c r="V241" s="5"/>
    </row>
    <row r="242" spans="22:22" ht="13.8" x14ac:dyDescent="0.3">
      <c r="V242" s="5"/>
    </row>
    <row r="243" spans="22:22" ht="13.8" x14ac:dyDescent="0.3">
      <c r="V243" s="5"/>
    </row>
    <row r="244" spans="22:22" ht="13.8" x14ac:dyDescent="0.3">
      <c r="V244" s="5"/>
    </row>
    <row r="245" spans="22:22" ht="13.8" x14ac:dyDescent="0.3">
      <c r="V245" s="5"/>
    </row>
    <row r="246" spans="22:22" ht="13.8" x14ac:dyDescent="0.3">
      <c r="V246" s="5"/>
    </row>
    <row r="247" spans="22:22" ht="13.8" x14ac:dyDescent="0.3">
      <c r="V247" s="5"/>
    </row>
    <row r="248" spans="22:22" ht="13.8" x14ac:dyDescent="0.3">
      <c r="V248" s="5"/>
    </row>
    <row r="249" spans="22:22" ht="13.8" x14ac:dyDescent="0.3">
      <c r="V249" s="5"/>
    </row>
    <row r="250" spans="22:22" ht="13.8" x14ac:dyDescent="0.3">
      <c r="V250" s="5"/>
    </row>
    <row r="251" spans="22:22" ht="13.8" x14ac:dyDescent="0.3">
      <c r="V251" s="5"/>
    </row>
    <row r="252" spans="22:22" ht="13.8" x14ac:dyDescent="0.3">
      <c r="V252" s="5"/>
    </row>
    <row r="253" spans="22:22" ht="13.8" x14ac:dyDescent="0.3">
      <c r="V253" s="5"/>
    </row>
    <row r="254" spans="22:22" ht="13.8" x14ac:dyDescent="0.3">
      <c r="V254" s="5"/>
    </row>
    <row r="255" spans="22:22" ht="13.8" x14ac:dyDescent="0.3">
      <c r="V255" s="5"/>
    </row>
    <row r="256" spans="22:22" ht="13.8" x14ac:dyDescent="0.3">
      <c r="V256" s="5"/>
    </row>
    <row r="257" spans="22:22" ht="13.8" x14ac:dyDescent="0.3">
      <c r="V257" s="5"/>
    </row>
    <row r="258" spans="22:22" ht="13.8" x14ac:dyDescent="0.3">
      <c r="V258" s="5"/>
    </row>
    <row r="259" spans="22:22" ht="13.8" x14ac:dyDescent="0.3">
      <c r="V259" s="5"/>
    </row>
    <row r="260" spans="22:22" ht="13.8" x14ac:dyDescent="0.3">
      <c r="V260" s="5"/>
    </row>
    <row r="261" spans="22:22" ht="13.8" x14ac:dyDescent="0.3">
      <c r="V261" s="5"/>
    </row>
    <row r="262" spans="22:22" ht="13.8" x14ac:dyDescent="0.3">
      <c r="V262" s="5"/>
    </row>
    <row r="263" spans="22:22" ht="13.8" x14ac:dyDescent="0.3">
      <c r="V263" s="5"/>
    </row>
    <row r="264" spans="22:22" ht="13.8" x14ac:dyDescent="0.3">
      <c r="V264" s="5"/>
    </row>
    <row r="265" spans="22:22" ht="13.8" x14ac:dyDescent="0.3">
      <c r="V265" s="5"/>
    </row>
    <row r="266" spans="22:22" ht="13.8" x14ac:dyDescent="0.3">
      <c r="V266" s="5"/>
    </row>
    <row r="267" spans="22:22" ht="13.8" x14ac:dyDescent="0.3">
      <c r="V267" s="5"/>
    </row>
    <row r="268" spans="22:22" ht="13.8" x14ac:dyDescent="0.3">
      <c r="V268" s="5"/>
    </row>
    <row r="269" spans="22:22" ht="13.8" x14ac:dyDescent="0.3">
      <c r="V269" s="5"/>
    </row>
    <row r="270" spans="22:22" ht="13.8" x14ac:dyDescent="0.3">
      <c r="V270" s="5"/>
    </row>
    <row r="271" spans="22:22" ht="13.8" x14ac:dyDescent="0.3">
      <c r="V271" s="5"/>
    </row>
    <row r="272" spans="22:22" ht="13.8" x14ac:dyDescent="0.3">
      <c r="V272" s="5"/>
    </row>
    <row r="273" spans="22:22" ht="13.8" x14ac:dyDescent="0.3">
      <c r="V273" s="5"/>
    </row>
    <row r="274" spans="22:22" ht="13.8" x14ac:dyDescent="0.3">
      <c r="V274" s="5"/>
    </row>
    <row r="275" spans="22:22" ht="13.8" x14ac:dyDescent="0.3">
      <c r="V275" s="5"/>
    </row>
    <row r="276" spans="22:22" ht="13.8" x14ac:dyDescent="0.3">
      <c r="V276" s="5"/>
    </row>
    <row r="277" spans="22:22" ht="13.8" x14ac:dyDescent="0.3">
      <c r="V277" s="5"/>
    </row>
    <row r="278" spans="22:22" ht="13.8" x14ac:dyDescent="0.3">
      <c r="V278" s="5"/>
    </row>
    <row r="279" spans="22:22" ht="13.8" x14ac:dyDescent="0.3">
      <c r="V279" s="5"/>
    </row>
    <row r="280" spans="22:22" ht="13.8" x14ac:dyDescent="0.3">
      <c r="V280" s="5"/>
    </row>
    <row r="281" spans="22:22" ht="13.8" x14ac:dyDescent="0.3">
      <c r="V281" s="5"/>
    </row>
    <row r="282" spans="22:22" ht="13.8" x14ac:dyDescent="0.3">
      <c r="V282" s="5"/>
    </row>
    <row r="283" spans="22:22" ht="13.8" x14ac:dyDescent="0.3">
      <c r="V283" s="5"/>
    </row>
    <row r="284" spans="22:22" ht="13.8" x14ac:dyDescent="0.3">
      <c r="V284" s="5"/>
    </row>
    <row r="285" spans="22:22" ht="13.8" x14ac:dyDescent="0.3">
      <c r="V285" s="5"/>
    </row>
    <row r="286" spans="22:22" ht="13.8" x14ac:dyDescent="0.3">
      <c r="V286" s="5"/>
    </row>
    <row r="287" spans="22:22" ht="13.8" x14ac:dyDescent="0.3">
      <c r="V287" s="5"/>
    </row>
    <row r="288" spans="22:22" ht="13.8" x14ac:dyDescent="0.3">
      <c r="V288" s="5"/>
    </row>
    <row r="289" spans="22:22" ht="13.8" x14ac:dyDescent="0.3">
      <c r="V289" s="5"/>
    </row>
    <row r="290" spans="22:22" ht="13.8" x14ac:dyDescent="0.3">
      <c r="V290" s="5"/>
    </row>
    <row r="291" spans="22:22" ht="13.8" x14ac:dyDescent="0.3">
      <c r="V291" s="5"/>
    </row>
    <row r="292" spans="22:22" ht="13.8" x14ac:dyDescent="0.3">
      <c r="V292" s="5"/>
    </row>
    <row r="293" spans="22:22" ht="13.8" x14ac:dyDescent="0.3">
      <c r="V293" s="5"/>
    </row>
    <row r="294" spans="22:22" ht="13.8" x14ac:dyDescent="0.3">
      <c r="V294" s="5"/>
    </row>
    <row r="295" spans="22:22" ht="13.8" x14ac:dyDescent="0.3">
      <c r="V295" s="5"/>
    </row>
    <row r="296" spans="22:22" ht="13.8" x14ac:dyDescent="0.3">
      <c r="V296" s="5"/>
    </row>
    <row r="297" spans="22:22" ht="13.8" x14ac:dyDescent="0.3">
      <c r="V297" s="5"/>
    </row>
    <row r="298" spans="22:22" ht="13.8" x14ac:dyDescent="0.3">
      <c r="V298" s="5"/>
    </row>
    <row r="299" spans="22:22" ht="13.8" x14ac:dyDescent="0.3">
      <c r="V299" s="5"/>
    </row>
    <row r="300" spans="22:22" ht="13.8" x14ac:dyDescent="0.3">
      <c r="V300" s="5"/>
    </row>
    <row r="301" spans="22:22" ht="13.8" x14ac:dyDescent="0.3">
      <c r="V301" s="5"/>
    </row>
    <row r="302" spans="22:22" ht="13.8" x14ac:dyDescent="0.3">
      <c r="V302" s="5"/>
    </row>
    <row r="303" spans="22:22" ht="13.8" x14ac:dyDescent="0.3">
      <c r="V303" s="5"/>
    </row>
    <row r="304" spans="22:22" ht="13.8" x14ac:dyDescent="0.3">
      <c r="V304" s="5"/>
    </row>
    <row r="305" spans="22:22" ht="13.8" x14ac:dyDescent="0.3">
      <c r="V305" s="5"/>
    </row>
    <row r="306" spans="22:22" ht="13.8" x14ac:dyDescent="0.3">
      <c r="V306" s="5"/>
    </row>
    <row r="307" spans="22:22" ht="13.8" x14ac:dyDescent="0.3">
      <c r="V307" s="5"/>
    </row>
    <row r="308" spans="22:22" ht="13.8" x14ac:dyDescent="0.3">
      <c r="V308" s="5"/>
    </row>
    <row r="309" spans="22:22" ht="13.8" x14ac:dyDescent="0.3">
      <c r="V309" s="5"/>
    </row>
    <row r="310" spans="22:22" ht="13.8" x14ac:dyDescent="0.3">
      <c r="V310" s="5"/>
    </row>
    <row r="311" spans="22:22" ht="13.8" x14ac:dyDescent="0.3">
      <c r="V311" s="5"/>
    </row>
    <row r="312" spans="22:22" ht="13.8" x14ac:dyDescent="0.3">
      <c r="V312" s="5"/>
    </row>
    <row r="313" spans="22:22" ht="13.8" x14ac:dyDescent="0.3">
      <c r="V313" s="5"/>
    </row>
    <row r="314" spans="22:22" ht="13.8" x14ac:dyDescent="0.3">
      <c r="V314" s="5"/>
    </row>
    <row r="315" spans="22:22" ht="13.8" x14ac:dyDescent="0.3">
      <c r="V315" s="5"/>
    </row>
    <row r="316" spans="22:22" ht="13.8" x14ac:dyDescent="0.3">
      <c r="V316" s="5"/>
    </row>
    <row r="317" spans="22:22" ht="13.8" x14ac:dyDescent="0.3">
      <c r="V317" s="5"/>
    </row>
    <row r="318" spans="22:22" ht="13.8" x14ac:dyDescent="0.3">
      <c r="V318" s="5"/>
    </row>
    <row r="319" spans="22:22" ht="13.8" x14ac:dyDescent="0.3">
      <c r="V319" s="5"/>
    </row>
    <row r="320" spans="22:22" ht="13.8" x14ac:dyDescent="0.3">
      <c r="V320" s="5"/>
    </row>
    <row r="321" spans="22:22" ht="13.8" x14ac:dyDescent="0.3">
      <c r="V321" s="5"/>
    </row>
    <row r="322" spans="22:22" ht="13.8" x14ac:dyDescent="0.3">
      <c r="V322" s="5"/>
    </row>
    <row r="323" spans="22:22" ht="13.8" x14ac:dyDescent="0.3">
      <c r="V323" s="5"/>
    </row>
    <row r="324" spans="22:22" ht="13.8" x14ac:dyDescent="0.3">
      <c r="V324" s="5"/>
    </row>
    <row r="325" spans="22:22" ht="13.8" x14ac:dyDescent="0.3">
      <c r="V325" s="5"/>
    </row>
    <row r="326" spans="22:22" ht="13.8" x14ac:dyDescent="0.3">
      <c r="V326" s="5"/>
    </row>
    <row r="327" spans="22:22" ht="13.8" x14ac:dyDescent="0.3">
      <c r="V327" s="5"/>
    </row>
    <row r="328" spans="22:22" ht="13.8" x14ac:dyDescent="0.3">
      <c r="V328" s="5"/>
    </row>
    <row r="329" spans="22:22" ht="13.8" x14ac:dyDescent="0.3">
      <c r="V329" s="5"/>
    </row>
    <row r="330" spans="22:22" ht="13.8" x14ac:dyDescent="0.3">
      <c r="V330" s="5"/>
    </row>
    <row r="331" spans="22:22" ht="13.8" x14ac:dyDescent="0.3">
      <c r="V331" s="5"/>
    </row>
    <row r="332" spans="22:22" ht="13.8" x14ac:dyDescent="0.3">
      <c r="V332" s="5"/>
    </row>
    <row r="333" spans="22:22" ht="13.8" x14ac:dyDescent="0.3">
      <c r="V333" s="5"/>
    </row>
    <row r="334" spans="22:22" ht="13.8" x14ac:dyDescent="0.3">
      <c r="V334" s="5"/>
    </row>
    <row r="335" spans="22:22" ht="13.8" x14ac:dyDescent="0.3">
      <c r="V335" s="5"/>
    </row>
    <row r="336" spans="22:22" ht="13.8" x14ac:dyDescent="0.3">
      <c r="V336" s="5"/>
    </row>
    <row r="337" spans="22:22" ht="13.8" x14ac:dyDescent="0.3">
      <c r="V337" s="5"/>
    </row>
    <row r="338" spans="22:22" ht="13.8" x14ac:dyDescent="0.3">
      <c r="V338" s="5"/>
    </row>
    <row r="339" spans="22:22" ht="13.8" x14ac:dyDescent="0.3">
      <c r="V339" s="5"/>
    </row>
    <row r="340" spans="22:22" ht="13.8" x14ac:dyDescent="0.3">
      <c r="V340" s="5"/>
    </row>
    <row r="341" spans="22:22" ht="13.8" x14ac:dyDescent="0.3">
      <c r="V341" s="5"/>
    </row>
    <row r="342" spans="22:22" ht="13.8" x14ac:dyDescent="0.3">
      <c r="V342" s="5"/>
    </row>
    <row r="343" spans="22:22" ht="13.8" x14ac:dyDescent="0.3">
      <c r="V343" s="5"/>
    </row>
    <row r="344" spans="22:22" ht="13.8" x14ac:dyDescent="0.3">
      <c r="V344" s="5"/>
    </row>
    <row r="345" spans="22:22" ht="13.8" x14ac:dyDescent="0.3">
      <c r="V345" s="5"/>
    </row>
    <row r="346" spans="22:22" ht="13.8" x14ac:dyDescent="0.3">
      <c r="V346" s="5"/>
    </row>
    <row r="347" spans="22:22" ht="13.8" x14ac:dyDescent="0.3">
      <c r="V347" s="5"/>
    </row>
    <row r="348" spans="22:22" ht="13.8" x14ac:dyDescent="0.3">
      <c r="V348" s="5"/>
    </row>
    <row r="349" spans="22:22" ht="13.8" x14ac:dyDescent="0.3">
      <c r="V349" s="5"/>
    </row>
    <row r="350" spans="22:22" ht="13.8" x14ac:dyDescent="0.3">
      <c r="V350" s="5"/>
    </row>
    <row r="351" spans="22:22" ht="13.8" x14ac:dyDescent="0.3">
      <c r="V351" s="5"/>
    </row>
    <row r="352" spans="22:22" ht="13.8" x14ac:dyDescent="0.3">
      <c r="V352" s="5"/>
    </row>
    <row r="353" spans="22:22" ht="13.8" x14ac:dyDescent="0.3">
      <c r="V353" s="5"/>
    </row>
    <row r="354" spans="22:22" ht="13.8" x14ac:dyDescent="0.3">
      <c r="V354" s="5"/>
    </row>
    <row r="355" spans="22:22" ht="13.8" x14ac:dyDescent="0.3">
      <c r="V355" s="5"/>
    </row>
    <row r="356" spans="22:22" ht="13.8" x14ac:dyDescent="0.3">
      <c r="V356" s="5"/>
    </row>
    <row r="357" spans="22:22" ht="13.8" x14ac:dyDescent="0.3">
      <c r="V357" s="5"/>
    </row>
    <row r="358" spans="22:22" ht="13.8" x14ac:dyDescent="0.3">
      <c r="V358" s="5"/>
    </row>
    <row r="359" spans="22:22" ht="13.8" x14ac:dyDescent="0.3">
      <c r="V359" s="5"/>
    </row>
    <row r="360" spans="22:22" ht="13.8" x14ac:dyDescent="0.3">
      <c r="V360" s="5"/>
    </row>
    <row r="361" spans="22:22" ht="13.8" x14ac:dyDescent="0.3">
      <c r="V361" s="5"/>
    </row>
    <row r="362" spans="22:22" ht="13.8" x14ac:dyDescent="0.3">
      <c r="V362" s="5"/>
    </row>
    <row r="363" spans="22:22" ht="13.8" x14ac:dyDescent="0.3">
      <c r="V363" s="5"/>
    </row>
    <row r="364" spans="22:22" ht="13.8" x14ac:dyDescent="0.3">
      <c r="V364" s="5"/>
    </row>
    <row r="365" spans="22:22" ht="13.8" x14ac:dyDescent="0.3">
      <c r="V365" s="5"/>
    </row>
    <row r="366" spans="22:22" ht="13.8" x14ac:dyDescent="0.3">
      <c r="V366" s="5"/>
    </row>
    <row r="367" spans="22:22" ht="13.8" x14ac:dyDescent="0.3">
      <c r="V367" s="5"/>
    </row>
    <row r="368" spans="22:22" ht="13.8" x14ac:dyDescent="0.3">
      <c r="V368" s="5"/>
    </row>
    <row r="369" spans="22:22" ht="13.8" x14ac:dyDescent="0.3">
      <c r="V369" s="5"/>
    </row>
    <row r="370" spans="22:22" ht="13.8" x14ac:dyDescent="0.3">
      <c r="V370" s="5"/>
    </row>
    <row r="371" spans="22:22" ht="13.8" x14ac:dyDescent="0.3">
      <c r="V371" s="5"/>
    </row>
    <row r="372" spans="22:22" ht="13.8" x14ac:dyDescent="0.3">
      <c r="V372" s="5"/>
    </row>
    <row r="373" spans="22:22" ht="13.8" x14ac:dyDescent="0.3">
      <c r="V373" s="5"/>
    </row>
    <row r="374" spans="22:22" ht="13.8" x14ac:dyDescent="0.3">
      <c r="V374" s="5"/>
    </row>
    <row r="375" spans="22:22" ht="13.8" x14ac:dyDescent="0.3">
      <c r="V375" s="5"/>
    </row>
    <row r="376" spans="22:22" ht="13.8" x14ac:dyDescent="0.3">
      <c r="V376" s="5"/>
    </row>
    <row r="377" spans="22:22" ht="13.8" x14ac:dyDescent="0.3">
      <c r="V377" s="5"/>
    </row>
    <row r="378" spans="22:22" ht="13.8" x14ac:dyDescent="0.3">
      <c r="V378" s="5"/>
    </row>
    <row r="379" spans="22:22" ht="13.8" x14ac:dyDescent="0.3">
      <c r="V379" s="5"/>
    </row>
    <row r="380" spans="22:22" ht="13.8" x14ac:dyDescent="0.3">
      <c r="V380" s="5"/>
    </row>
    <row r="381" spans="22:22" ht="13.8" x14ac:dyDescent="0.3">
      <c r="V381" s="5"/>
    </row>
    <row r="382" spans="22:22" ht="13.8" x14ac:dyDescent="0.3">
      <c r="V382" s="5"/>
    </row>
    <row r="383" spans="22:22" ht="13.8" x14ac:dyDescent="0.3">
      <c r="V383" s="5"/>
    </row>
    <row r="384" spans="22:22" ht="13.8" x14ac:dyDescent="0.3">
      <c r="V384" s="5"/>
    </row>
    <row r="385" spans="22:22" ht="13.8" x14ac:dyDescent="0.3">
      <c r="V385" s="5"/>
    </row>
    <row r="386" spans="22:22" ht="13.8" x14ac:dyDescent="0.3">
      <c r="V386" s="5"/>
    </row>
    <row r="387" spans="22:22" ht="13.8" x14ac:dyDescent="0.3">
      <c r="V387" s="5"/>
    </row>
    <row r="388" spans="22:22" ht="13.8" x14ac:dyDescent="0.3">
      <c r="V388" s="5"/>
    </row>
    <row r="389" spans="22:22" ht="13.8" x14ac:dyDescent="0.3">
      <c r="V389" s="5"/>
    </row>
    <row r="390" spans="22:22" ht="13.8" x14ac:dyDescent="0.3">
      <c r="V390" s="5"/>
    </row>
    <row r="391" spans="22:22" ht="13.8" x14ac:dyDescent="0.3">
      <c r="V391" s="5"/>
    </row>
    <row r="392" spans="22:22" ht="13.8" x14ac:dyDescent="0.3">
      <c r="V392" s="5"/>
    </row>
    <row r="393" spans="22:22" ht="13.8" x14ac:dyDescent="0.3">
      <c r="V393" s="5"/>
    </row>
    <row r="394" spans="22:22" ht="13.8" x14ac:dyDescent="0.3">
      <c r="V394" s="5"/>
    </row>
    <row r="395" spans="22:22" ht="13.8" x14ac:dyDescent="0.3">
      <c r="V395" s="5"/>
    </row>
    <row r="396" spans="22:22" ht="13.8" x14ac:dyDescent="0.3">
      <c r="V396" s="5"/>
    </row>
    <row r="397" spans="22:22" ht="13.8" x14ac:dyDescent="0.3">
      <c r="V397" s="5"/>
    </row>
    <row r="398" spans="22:22" ht="13.8" x14ac:dyDescent="0.3">
      <c r="V398" s="5"/>
    </row>
    <row r="399" spans="22:22" ht="13.8" x14ac:dyDescent="0.3">
      <c r="V399" s="5"/>
    </row>
    <row r="400" spans="22:22" ht="13.8" x14ac:dyDescent="0.3">
      <c r="V400" s="5"/>
    </row>
    <row r="401" spans="22:22" ht="13.8" x14ac:dyDescent="0.3">
      <c r="V401" s="5"/>
    </row>
    <row r="402" spans="22:22" ht="13.8" x14ac:dyDescent="0.3">
      <c r="V402" s="5"/>
    </row>
    <row r="403" spans="22:22" ht="13.8" x14ac:dyDescent="0.3">
      <c r="V403" s="5"/>
    </row>
    <row r="404" spans="22:22" ht="13.8" x14ac:dyDescent="0.3">
      <c r="V404" s="5"/>
    </row>
    <row r="405" spans="22:22" ht="13.8" x14ac:dyDescent="0.3">
      <c r="V405" s="5"/>
    </row>
    <row r="406" spans="22:22" ht="13.8" x14ac:dyDescent="0.3">
      <c r="V406" s="5"/>
    </row>
    <row r="407" spans="22:22" ht="13.8" x14ac:dyDescent="0.3">
      <c r="V407" s="5"/>
    </row>
    <row r="408" spans="22:22" ht="13.8" x14ac:dyDescent="0.3">
      <c r="V408" s="5"/>
    </row>
    <row r="409" spans="22:22" ht="13.8" x14ac:dyDescent="0.3">
      <c r="V409" s="5"/>
    </row>
    <row r="410" spans="22:22" ht="13.8" x14ac:dyDescent="0.3">
      <c r="V410" s="5"/>
    </row>
    <row r="411" spans="22:22" ht="13.8" x14ac:dyDescent="0.3">
      <c r="V411" s="5"/>
    </row>
    <row r="412" spans="22:22" ht="13.8" x14ac:dyDescent="0.3">
      <c r="V412" s="5"/>
    </row>
    <row r="413" spans="22:22" ht="13.8" x14ac:dyDescent="0.3">
      <c r="V413" s="5"/>
    </row>
    <row r="414" spans="22:22" ht="13.8" x14ac:dyDescent="0.3">
      <c r="V414" s="5"/>
    </row>
    <row r="415" spans="22:22" ht="13.8" x14ac:dyDescent="0.3">
      <c r="V415" s="5"/>
    </row>
    <row r="416" spans="22:22" ht="13.8" x14ac:dyDescent="0.3">
      <c r="V416" s="5"/>
    </row>
    <row r="417" spans="22:22" ht="13.8" x14ac:dyDescent="0.3">
      <c r="V417" s="5"/>
    </row>
    <row r="418" spans="22:22" ht="13.8" x14ac:dyDescent="0.3">
      <c r="V418" s="5"/>
    </row>
    <row r="419" spans="22:22" ht="13.8" x14ac:dyDescent="0.3">
      <c r="V419" s="5"/>
    </row>
    <row r="420" spans="22:22" ht="13.8" x14ac:dyDescent="0.3">
      <c r="V420" s="5"/>
    </row>
    <row r="421" spans="22:22" ht="13.8" x14ac:dyDescent="0.3">
      <c r="V421" s="5"/>
    </row>
    <row r="422" spans="22:22" ht="13.8" x14ac:dyDescent="0.3">
      <c r="V422" s="5"/>
    </row>
    <row r="423" spans="22:22" ht="13.8" x14ac:dyDescent="0.3">
      <c r="V423" s="5"/>
    </row>
    <row r="424" spans="22:22" ht="13.8" x14ac:dyDescent="0.3">
      <c r="V424" s="5"/>
    </row>
    <row r="425" spans="22:22" ht="13.8" x14ac:dyDescent="0.3">
      <c r="V425" s="5"/>
    </row>
    <row r="426" spans="22:22" ht="13.8" x14ac:dyDescent="0.3">
      <c r="V426" s="5"/>
    </row>
    <row r="427" spans="22:22" ht="13.8" x14ac:dyDescent="0.3">
      <c r="V427" s="5"/>
    </row>
    <row r="428" spans="22:22" ht="13.8" x14ac:dyDescent="0.3">
      <c r="V428" s="5"/>
    </row>
    <row r="429" spans="22:22" ht="13.8" x14ac:dyDescent="0.3">
      <c r="V429" s="5"/>
    </row>
    <row r="430" spans="22:22" ht="13.8" x14ac:dyDescent="0.3">
      <c r="V430" s="5"/>
    </row>
    <row r="431" spans="22:22" ht="13.8" x14ac:dyDescent="0.3">
      <c r="V431" s="5"/>
    </row>
    <row r="432" spans="22:22" ht="13.8" x14ac:dyDescent="0.3">
      <c r="V432" s="5"/>
    </row>
    <row r="433" spans="22:22" ht="13.8" x14ac:dyDescent="0.3">
      <c r="V433" s="5"/>
    </row>
    <row r="434" spans="22:22" ht="13.8" x14ac:dyDescent="0.3">
      <c r="V434" s="5"/>
    </row>
    <row r="435" spans="22:22" ht="13.8" x14ac:dyDescent="0.3">
      <c r="V435" s="5"/>
    </row>
    <row r="436" spans="22:22" ht="13.8" x14ac:dyDescent="0.3">
      <c r="V436" s="5"/>
    </row>
    <row r="437" spans="22:22" ht="13.8" x14ac:dyDescent="0.3">
      <c r="V437" s="5"/>
    </row>
    <row r="438" spans="22:22" ht="13.8" x14ac:dyDescent="0.3">
      <c r="V438" s="5"/>
    </row>
    <row r="439" spans="22:22" ht="13.8" x14ac:dyDescent="0.3">
      <c r="V439" s="5"/>
    </row>
    <row r="440" spans="22:22" ht="13.8" x14ac:dyDescent="0.3">
      <c r="V440" s="5"/>
    </row>
    <row r="441" spans="22:22" ht="13.8" x14ac:dyDescent="0.3">
      <c r="V441" s="5"/>
    </row>
    <row r="442" spans="22:22" ht="13.8" x14ac:dyDescent="0.3">
      <c r="V442" s="5"/>
    </row>
    <row r="443" spans="22:22" ht="13.8" x14ac:dyDescent="0.3">
      <c r="V443" s="5"/>
    </row>
    <row r="444" spans="22:22" ht="13.8" x14ac:dyDescent="0.3">
      <c r="V444" s="5"/>
    </row>
    <row r="445" spans="22:22" ht="13.8" x14ac:dyDescent="0.3">
      <c r="V445" s="5"/>
    </row>
    <row r="446" spans="22:22" ht="13.8" x14ac:dyDescent="0.3">
      <c r="V446" s="5"/>
    </row>
    <row r="447" spans="22:22" ht="13.8" x14ac:dyDescent="0.3">
      <c r="V447" s="5"/>
    </row>
    <row r="448" spans="22:22" ht="13.8" x14ac:dyDescent="0.3">
      <c r="V448" s="5"/>
    </row>
    <row r="449" spans="22:22" ht="13.8" x14ac:dyDescent="0.3">
      <c r="V449" s="5"/>
    </row>
    <row r="450" spans="22:22" ht="13.8" x14ac:dyDescent="0.3">
      <c r="V450" s="5"/>
    </row>
    <row r="451" spans="22:22" ht="13.8" x14ac:dyDescent="0.3">
      <c r="V451" s="5"/>
    </row>
    <row r="452" spans="22:22" ht="13.8" x14ac:dyDescent="0.3">
      <c r="V452" s="5"/>
    </row>
    <row r="453" spans="22:22" ht="13.8" x14ac:dyDescent="0.3">
      <c r="V453" s="5"/>
    </row>
    <row r="454" spans="22:22" ht="13.8" x14ac:dyDescent="0.3">
      <c r="V454" s="5"/>
    </row>
    <row r="455" spans="22:22" ht="13.8" x14ac:dyDescent="0.3">
      <c r="V455" s="5"/>
    </row>
    <row r="456" spans="22:22" ht="13.8" x14ac:dyDescent="0.3">
      <c r="V456" s="5"/>
    </row>
    <row r="457" spans="22:22" ht="13.8" x14ac:dyDescent="0.3">
      <c r="V457" s="5"/>
    </row>
    <row r="458" spans="22:22" ht="13.8" x14ac:dyDescent="0.3">
      <c r="V458" s="5"/>
    </row>
    <row r="459" spans="22:22" ht="13.8" x14ac:dyDescent="0.3">
      <c r="V459" s="5"/>
    </row>
    <row r="460" spans="22:22" ht="13.8" x14ac:dyDescent="0.3">
      <c r="V460" s="5"/>
    </row>
    <row r="461" spans="22:22" ht="13.8" x14ac:dyDescent="0.3">
      <c r="V461" s="5"/>
    </row>
    <row r="462" spans="22:22" ht="13.8" x14ac:dyDescent="0.3">
      <c r="V462" s="5"/>
    </row>
    <row r="463" spans="22:22" ht="13.8" x14ac:dyDescent="0.3">
      <c r="V463" s="5"/>
    </row>
    <row r="464" spans="22:22" ht="13.8" x14ac:dyDescent="0.3">
      <c r="V464" s="5"/>
    </row>
    <row r="465" spans="22:22" ht="13.8" x14ac:dyDescent="0.3">
      <c r="V465" s="5"/>
    </row>
    <row r="466" spans="22:22" ht="13.8" x14ac:dyDescent="0.3">
      <c r="V466" s="5"/>
    </row>
    <row r="467" spans="22:22" ht="13.8" x14ac:dyDescent="0.3">
      <c r="V467" s="5"/>
    </row>
    <row r="468" spans="22:22" ht="13.8" x14ac:dyDescent="0.3">
      <c r="V468" s="5"/>
    </row>
    <row r="469" spans="22:22" ht="13.8" x14ac:dyDescent="0.3">
      <c r="V469" s="5"/>
    </row>
    <row r="470" spans="22:22" ht="13.8" x14ac:dyDescent="0.3">
      <c r="V470" s="5"/>
    </row>
    <row r="471" spans="22:22" ht="13.8" x14ac:dyDescent="0.3">
      <c r="V471" s="5"/>
    </row>
    <row r="472" spans="22:22" ht="13.8" x14ac:dyDescent="0.3">
      <c r="V472" s="5"/>
    </row>
    <row r="473" spans="22:22" ht="13.8" x14ac:dyDescent="0.3">
      <c r="V473" s="5"/>
    </row>
    <row r="474" spans="22:22" ht="13.8" x14ac:dyDescent="0.3">
      <c r="V474" s="5"/>
    </row>
    <row r="475" spans="22:22" ht="13.8" x14ac:dyDescent="0.3">
      <c r="V475" s="5"/>
    </row>
    <row r="476" spans="22:22" ht="13.8" x14ac:dyDescent="0.3">
      <c r="V476" s="5"/>
    </row>
    <row r="477" spans="22:22" ht="13.8" x14ac:dyDescent="0.3">
      <c r="V477" s="5"/>
    </row>
    <row r="478" spans="22:22" ht="13.8" x14ac:dyDescent="0.3">
      <c r="V478" s="5"/>
    </row>
    <row r="479" spans="22:22" ht="13.8" x14ac:dyDescent="0.3">
      <c r="V479" s="5"/>
    </row>
    <row r="480" spans="22:22" ht="13.8" x14ac:dyDescent="0.3">
      <c r="V480" s="5"/>
    </row>
    <row r="481" spans="22:22" ht="13.8" x14ac:dyDescent="0.3">
      <c r="V481" s="5"/>
    </row>
    <row r="482" spans="22:22" ht="13.8" x14ac:dyDescent="0.3">
      <c r="V482" s="5"/>
    </row>
    <row r="483" spans="22:22" ht="13.8" x14ac:dyDescent="0.3">
      <c r="V483" s="5"/>
    </row>
    <row r="484" spans="22:22" ht="13.8" x14ac:dyDescent="0.3">
      <c r="V484" s="5"/>
    </row>
    <row r="485" spans="22:22" ht="13.8" x14ac:dyDescent="0.3">
      <c r="V485" s="5"/>
    </row>
    <row r="486" spans="22:22" ht="13.8" x14ac:dyDescent="0.3">
      <c r="V486" s="5"/>
    </row>
    <row r="487" spans="22:22" ht="13.8" x14ac:dyDescent="0.3">
      <c r="V487" s="5"/>
    </row>
    <row r="488" spans="22:22" ht="13.8" x14ac:dyDescent="0.3">
      <c r="V488" s="5"/>
    </row>
    <row r="489" spans="22:22" ht="13.8" x14ac:dyDescent="0.3">
      <c r="V489" s="5"/>
    </row>
    <row r="490" spans="22:22" ht="13.8" x14ac:dyDescent="0.3">
      <c r="V490" s="5"/>
    </row>
    <row r="491" spans="22:22" ht="13.8" x14ac:dyDescent="0.3">
      <c r="V491" s="5"/>
    </row>
    <row r="492" spans="22:22" ht="13.8" x14ac:dyDescent="0.3">
      <c r="V492" s="5"/>
    </row>
    <row r="493" spans="22:22" ht="13.8" x14ac:dyDescent="0.3">
      <c r="V493" s="5"/>
    </row>
    <row r="494" spans="22:22" ht="13.8" x14ac:dyDescent="0.3">
      <c r="V494" s="5"/>
    </row>
    <row r="495" spans="22:22" ht="13.8" x14ac:dyDescent="0.3">
      <c r="V495" s="5"/>
    </row>
    <row r="496" spans="22:22" ht="13.8" x14ac:dyDescent="0.3">
      <c r="V496" s="5"/>
    </row>
    <row r="497" spans="22:22" ht="13.8" x14ac:dyDescent="0.3">
      <c r="V497" s="5"/>
    </row>
    <row r="498" spans="22:22" ht="13.8" x14ac:dyDescent="0.3">
      <c r="V498" s="5"/>
    </row>
    <row r="499" spans="22:22" ht="13.8" x14ac:dyDescent="0.3">
      <c r="V499" s="5"/>
    </row>
    <row r="500" spans="22:22" ht="13.8" x14ac:dyDescent="0.3">
      <c r="V500" s="5"/>
    </row>
    <row r="501" spans="22:22" ht="13.8" x14ac:dyDescent="0.3">
      <c r="V501" s="5"/>
    </row>
    <row r="502" spans="22:22" ht="13.8" x14ac:dyDescent="0.3">
      <c r="V502" s="5"/>
    </row>
    <row r="503" spans="22:22" ht="13.8" x14ac:dyDescent="0.3">
      <c r="V503" s="5"/>
    </row>
    <row r="504" spans="22:22" ht="13.8" x14ac:dyDescent="0.3">
      <c r="V504" s="5"/>
    </row>
    <row r="505" spans="22:22" ht="13.8" x14ac:dyDescent="0.3">
      <c r="V505" s="5"/>
    </row>
    <row r="506" spans="22:22" ht="13.8" x14ac:dyDescent="0.3">
      <c r="V506" s="5"/>
    </row>
    <row r="507" spans="22:22" ht="13.8" x14ac:dyDescent="0.3">
      <c r="V507" s="5"/>
    </row>
    <row r="508" spans="22:22" ht="13.8" x14ac:dyDescent="0.3">
      <c r="V508" s="5"/>
    </row>
    <row r="509" spans="22:22" ht="13.8" x14ac:dyDescent="0.3">
      <c r="V509" s="5"/>
    </row>
    <row r="510" spans="22:22" ht="13.8" x14ac:dyDescent="0.3">
      <c r="V510" s="5"/>
    </row>
    <row r="511" spans="22:22" ht="13.8" x14ac:dyDescent="0.3">
      <c r="V511" s="5"/>
    </row>
    <row r="512" spans="22:22" ht="13.8" x14ac:dyDescent="0.3">
      <c r="V512" s="5"/>
    </row>
    <row r="513" spans="22:22" ht="13.8" x14ac:dyDescent="0.3">
      <c r="V513" s="5"/>
    </row>
    <row r="514" spans="22:22" ht="13.8" x14ac:dyDescent="0.3">
      <c r="V514" s="5"/>
    </row>
    <row r="515" spans="22:22" ht="13.8" x14ac:dyDescent="0.3">
      <c r="V515" s="5"/>
    </row>
    <row r="516" spans="22:22" ht="13.8" x14ac:dyDescent="0.3">
      <c r="V516" s="5"/>
    </row>
    <row r="517" spans="22:22" ht="13.8" x14ac:dyDescent="0.3">
      <c r="V517" s="5"/>
    </row>
    <row r="518" spans="22:22" ht="13.8" x14ac:dyDescent="0.3">
      <c r="V518" s="5"/>
    </row>
    <row r="519" spans="22:22" ht="13.8" x14ac:dyDescent="0.3">
      <c r="V519" s="5"/>
    </row>
    <row r="520" spans="22:22" ht="13.8" x14ac:dyDescent="0.3">
      <c r="V520" s="5"/>
    </row>
    <row r="521" spans="22:22" ht="13.8" x14ac:dyDescent="0.3">
      <c r="V521" s="5"/>
    </row>
    <row r="522" spans="22:22" ht="13.8" x14ac:dyDescent="0.3">
      <c r="V522" s="5"/>
    </row>
    <row r="523" spans="22:22" ht="13.8" x14ac:dyDescent="0.3">
      <c r="V523" s="5"/>
    </row>
    <row r="524" spans="22:22" ht="13.8" x14ac:dyDescent="0.3">
      <c r="V524" s="5"/>
    </row>
    <row r="525" spans="22:22" ht="13.8" x14ac:dyDescent="0.3">
      <c r="V525" s="5"/>
    </row>
    <row r="526" spans="22:22" ht="13.8" x14ac:dyDescent="0.3">
      <c r="V526" s="5"/>
    </row>
    <row r="527" spans="22:22" ht="13.8" x14ac:dyDescent="0.3">
      <c r="V527" s="5"/>
    </row>
    <row r="528" spans="22:22" ht="13.8" x14ac:dyDescent="0.3">
      <c r="V528" s="5"/>
    </row>
    <row r="529" spans="22:22" ht="13.8" x14ac:dyDescent="0.3">
      <c r="V529" s="5"/>
    </row>
    <row r="530" spans="22:22" ht="13.8" x14ac:dyDescent="0.3">
      <c r="V530" s="5"/>
    </row>
    <row r="531" spans="22:22" ht="13.8" x14ac:dyDescent="0.3">
      <c r="V531" s="5"/>
    </row>
    <row r="532" spans="22:22" ht="13.8" x14ac:dyDescent="0.3">
      <c r="V532" s="5"/>
    </row>
    <row r="533" spans="22:22" ht="13.8" x14ac:dyDescent="0.3">
      <c r="V533" s="5"/>
    </row>
    <row r="534" spans="22:22" ht="13.8" x14ac:dyDescent="0.3">
      <c r="V534" s="5"/>
    </row>
    <row r="535" spans="22:22" ht="13.8" x14ac:dyDescent="0.3">
      <c r="V535" s="5"/>
    </row>
    <row r="536" spans="22:22" ht="13.8" x14ac:dyDescent="0.3">
      <c r="V536" s="5"/>
    </row>
    <row r="537" spans="22:22" ht="13.8" x14ac:dyDescent="0.3">
      <c r="V537" s="5"/>
    </row>
    <row r="538" spans="22:22" ht="13.8" x14ac:dyDescent="0.3">
      <c r="V538" s="5"/>
    </row>
    <row r="539" spans="22:22" ht="13.8" x14ac:dyDescent="0.3">
      <c r="V539" s="5"/>
    </row>
    <row r="540" spans="22:22" ht="13.8" x14ac:dyDescent="0.3">
      <c r="V540" s="5"/>
    </row>
    <row r="541" spans="22:22" ht="13.8" x14ac:dyDescent="0.3">
      <c r="V541" s="5"/>
    </row>
    <row r="542" spans="22:22" ht="13.8" x14ac:dyDescent="0.3">
      <c r="V542" s="5"/>
    </row>
    <row r="543" spans="22:22" ht="13.8" x14ac:dyDescent="0.3">
      <c r="V543" s="5"/>
    </row>
    <row r="544" spans="22:22" ht="13.8" x14ac:dyDescent="0.3">
      <c r="V544" s="5"/>
    </row>
    <row r="545" spans="22:22" ht="13.8" x14ac:dyDescent="0.3">
      <c r="V545" s="5"/>
    </row>
    <row r="546" spans="22:22" ht="13.8" x14ac:dyDescent="0.3">
      <c r="V546" s="5"/>
    </row>
    <row r="547" spans="22:22" ht="13.8" x14ac:dyDescent="0.3">
      <c r="V547" s="5"/>
    </row>
    <row r="548" spans="22:22" ht="13.8" x14ac:dyDescent="0.3">
      <c r="V548" s="5"/>
    </row>
    <row r="549" spans="22:22" ht="13.8" x14ac:dyDescent="0.3">
      <c r="V549" s="5"/>
    </row>
    <row r="550" spans="22:22" ht="13.8" x14ac:dyDescent="0.3">
      <c r="V550" s="5"/>
    </row>
    <row r="551" spans="22:22" ht="13.8" x14ac:dyDescent="0.3">
      <c r="V551" s="5"/>
    </row>
    <row r="552" spans="22:22" ht="13.8" x14ac:dyDescent="0.3">
      <c r="V552" s="5"/>
    </row>
    <row r="553" spans="22:22" ht="13.8" x14ac:dyDescent="0.3">
      <c r="V553" s="5"/>
    </row>
    <row r="554" spans="22:22" ht="13.8" x14ac:dyDescent="0.3">
      <c r="V554" s="5"/>
    </row>
    <row r="555" spans="22:22" ht="13.8" x14ac:dyDescent="0.3">
      <c r="V555" s="5"/>
    </row>
    <row r="556" spans="22:22" ht="13.8" x14ac:dyDescent="0.3">
      <c r="V556" s="5"/>
    </row>
    <row r="557" spans="22:22" ht="13.8" x14ac:dyDescent="0.3">
      <c r="V557" s="5"/>
    </row>
    <row r="558" spans="22:22" ht="13.8" x14ac:dyDescent="0.3">
      <c r="V558" s="5"/>
    </row>
    <row r="559" spans="22:22" ht="13.8" x14ac:dyDescent="0.3">
      <c r="V559" s="5"/>
    </row>
    <row r="560" spans="22:22" ht="13.8" x14ac:dyDescent="0.3">
      <c r="V560" s="5"/>
    </row>
    <row r="561" spans="22:22" ht="13.8" x14ac:dyDescent="0.3">
      <c r="V561" s="5"/>
    </row>
    <row r="562" spans="22:22" ht="13.8" x14ac:dyDescent="0.3">
      <c r="V562" s="5"/>
    </row>
    <row r="563" spans="22:22" ht="13.8" x14ac:dyDescent="0.3">
      <c r="V563" s="5"/>
    </row>
    <row r="564" spans="22:22" ht="13.8" x14ac:dyDescent="0.3">
      <c r="V564" s="5"/>
    </row>
    <row r="565" spans="22:22" ht="13.8" x14ac:dyDescent="0.3">
      <c r="V565" s="5"/>
    </row>
    <row r="566" spans="22:22" ht="13.8" x14ac:dyDescent="0.3">
      <c r="V566" s="5"/>
    </row>
    <row r="567" spans="22:22" ht="13.8" x14ac:dyDescent="0.3">
      <c r="V567" s="5"/>
    </row>
    <row r="568" spans="22:22" ht="13.8" x14ac:dyDescent="0.3">
      <c r="V568" s="5"/>
    </row>
    <row r="569" spans="22:22" ht="13.8" x14ac:dyDescent="0.3">
      <c r="V569" s="5"/>
    </row>
    <row r="570" spans="22:22" ht="13.8" x14ac:dyDescent="0.3">
      <c r="V570" s="5"/>
    </row>
    <row r="571" spans="22:22" ht="13.8" x14ac:dyDescent="0.3">
      <c r="V571" s="5"/>
    </row>
    <row r="572" spans="22:22" ht="13.8" x14ac:dyDescent="0.3">
      <c r="V572" s="5"/>
    </row>
    <row r="573" spans="22:22" ht="13.8" x14ac:dyDescent="0.3">
      <c r="V573" s="5"/>
    </row>
    <row r="574" spans="22:22" ht="13.8" x14ac:dyDescent="0.3">
      <c r="V574" s="5"/>
    </row>
    <row r="575" spans="22:22" ht="13.8" x14ac:dyDescent="0.3">
      <c r="V575" s="5"/>
    </row>
    <row r="576" spans="22:22" ht="13.8" x14ac:dyDescent="0.3">
      <c r="V576" s="5"/>
    </row>
    <row r="577" spans="22:22" ht="13.8" x14ac:dyDescent="0.3">
      <c r="V577" s="5"/>
    </row>
    <row r="578" spans="22:22" ht="13.8" x14ac:dyDescent="0.3">
      <c r="V578" s="5"/>
    </row>
    <row r="579" spans="22:22" ht="13.8" x14ac:dyDescent="0.3">
      <c r="V579" s="5"/>
    </row>
    <row r="580" spans="22:22" ht="13.8" x14ac:dyDescent="0.3">
      <c r="V580" s="5"/>
    </row>
    <row r="581" spans="22:22" ht="13.8" x14ac:dyDescent="0.3">
      <c r="V581" s="5"/>
    </row>
    <row r="582" spans="22:22" ht="13.8" x14ac:dyDescent="0.3">
      <c r="V582" s="5"/>
    </row>
    <row r="583" spans="22:22" ht="13.8" x14ac:dyDescent="0.3">
      <c r="V583" s="5"/>
    </row>
    <row r="584" spans="22:22" ht="13.8" x14ac:dyDescent="0.3">
      <c r="V584" s="5"/>
    </row>
    <row r="585" spans="22:22" ht="13.8" x14ac:dyDescent="0.3">
      <c r="V585" s="5"/>
    </row>
    <row r="586" spans="22:22" ht="13.8" x14ac:dyDescent="0.3">
      <c r="V586" s="5"/>
    </row>
    <row r="587" spans="22:22" ht="13.8" x14ac:dyDescent="0.3">
      <c r="V587" s="5"/>
    </row>
    <row r="588" spans="22:22" ht="13.8" x14ac:dyDescent="0.3">
      <c r="V588" s="5"/>
    </row>
    <row r="589" spans="22:22" ht="13.8" x14ac:dyDescent="0.3">
      <c r="V589" s="5"/>
    </row>
    <row r="590" spans="22:22" ht="13.8" x14ac:dyDescent="0.3">
      <c r="V590" s="5"/>
    </row>
    <row r="591" spans="22:22" ht="13.8" x14ac:dyDescent="0.3">
      <c r="V591" s="5"/>
    </row>
    <row r="592" spans="22:22" ht="13.8" x14ac:dyDescent="0.3">
      <c r="V592" s="5"/>
    </row>
    <row r="593" spans="22:22" ht="13.8" x14ac:dyDescent="0.3">
      <c r="V593" s="5"/>
    </row>
    <row r="594" spans="22:22" ht="13.8" x14ac:dyDescent="0.3">
      <c r="V594" s="5"/>
    </row>
    <row r="595" spans="22:22" ht="13.8" x14ac:dyDescent="0.3">
      <c r="V595" s="5"/>
    </row>
    <row r="596" spans="22:22" ht="13.8" x14ac:dyDescent="0.3">
      <c r="V596" s="5"/>
    </row>
    <row r="597" spans="22:22" ht="13.8" x14ac:dyDescent="0.3">
      <c r="V597" s="5"/>
    </row>
    <row r="598" spans="22:22" ht="13.8" x14ac:dyDescent="0.3">
      <c r="V598" s="5"/>
    </row>
    <row r="599" spans="22:22" ht="13.8" x14ac:dyDescent="0.3">
      <c r="V599" s="5"/>
    </row>
    <row r="600" spans="22:22" ht="13.8" x14ac:dyDescent="0.3">
      <c r="V600" s="5"/>
    </row>
    <row r="601" spans="22:22" ht="13.8" x14ac:dyDescent="0.3">
      <c r="V601" s="5"/>
    </row>
    <row r="602" spans="22:22" ht="13.8" x14ac:dyDescent="0.3">
      <c r="V602" s="5"/>
    </row>
    <row r="603" spans="22:22" ht="13.8" x14ac:dyDescent="0.3">
      <c r="V603" s="5"/>
    </row>
    <row r="604" spans="22:22" ht="13.8" x14ac:dyDescent="0.3">
      <c r="V604" s="5"/>
    </row>
    <row r="605" spans="22:22" ht="13.8" x14ac:dyDescent="0.3">
      <c r="V605" s="5"/>
    </row>
    <row r="606" spans="22:22" ht="13.8" x14ac:dyDescent="0.3">
      <c r="V606" s="5"/>
    </row>
    <row r="607" spans="22:22" ht="13.8" x14ac:dyDescent="0.3">
      <c r="V607" s="5"/>
    </row>
    <row r="608" spans="22:22" ht="13.8" x14ac:dyDescent="0.3">
      <c r="V608" s="5"/>
    </row>
    <row r="609" spans="22:22" ht="13.8" x14ac:dyDescent="0.3">
      <c r="V609" s="5"/>
    </row>
    <row r="610" spans="22:22" ht="13.8" x14ac:dyDescent="0.3">
      <c r="V610" s="5"/>
    </row>
    <row r="611" spans="22:22" ht="13.8" x14ac:dyDescent="0.3">
      <c r="V611" s="5"/>
    </row>
    <row r="612" spans="22:22" ht="13.8" x14ac:dyDescent="0.3">
      <c r="V612" s="5"/>
    </row>
    <row r="613" spans="22:22" ht="13.8" x14ac:dyDescent="0.3">
      <c r="V613" s="5"/>
    </row>
    <row r="614" spans="22:22" ht="13.8" x14ac:dyDescent="0.3">
      <c r="V614" s="5"/>
    </row>
    <row r="615" spans="22:22" ht="13.8" x14ac:dyDescent="0.3">
      <c r="V615" s="5"/>
    </row>
    <row r="616" spans="22:22" ht="13.8" x14ac:dyDescent="0.3">
      <c r="V616" s="5"/>
    </row>
    <row r="617" spans="22:22" ht="13.8" x14ac:dyDescent="0.3">
      <c r="V617" s="5"/>
    </row>
    <row r="618" spans="22:22" ht="13.8" x14ac:dyDescent="0.3">
      <c r="V618" s="5"/>
    </row>
    <row r="619" spans="22:22" ht="13.8" x14ac:dyDescent="0.3">
      <c r="V619" s="5"/>
    </row>
    <row r="620" spans="22:22" ht="13.8" x14ac:dyDescent="0.3">
      <c r="V620" s="5"/>
    </row>
    <row r="621" spans="22:22" ht="13.8" x14ac:dyDescent="0.3">
      <c r="V621" s="5"/>
    </row>
    <row r="622" spans="22:22" ht="13.8" x14ac:dyDescent="0.3">
      <c r="V622" s="5"/>
    </row>
    <row r="623" spans="22:22" ht="13.8" x14ac:dyDescent="0.3">
      <c r="V623" s="5"/>
    </row>
    <row r="624" spans="22:22" ht="13.8" x14ac:dyDescent="0.3">
      <c r="V624" s="5"/>
    </row>
    <row r="625" spans="22:22" ht="13.8" x14ac:dyDescent="0.3">
      <c r="V625" s="5"/>
    </row>
    <row r="626" spans="22:22" ht="13.8" x14ac:dyDescent="0.3">
      <c r="V626" s="5"/>
    </row>
    <row r="627" spans="22:22" ht="13.8" x14ac:dyDescent="0.3">
      <c r="V627" s="5"/>
    </row>
    <row r="628" spans="22:22" ht="13.8" x14ac:dyDescent="0.3">
      <c r="V628" s="5"/>
    </row>
    <row r="629" spans="22:22" ht="13.8" x14ac:dyDescent="0.3">
      <c r="V629" s="5"/>
    </row>
    <row r="630" spans="22:22" ht="13.8" x14ac:dyDescent="0.3">
      <c r="V630" s="5"/>
    </row>
    <row r="631" spans="22:22" ht="13.8" x14ac:dyDescent="0.3">
      <c r="V631" s="5"/>
    </row>
    <row r="632" spans="22:22" ht="13.8" x14ac:dyDescent="0.3">
      <c r="V632" s="5"/>
    </row>
    <row r="633" spans="22:22" ht="13.8" x14ac:dyDescent="0.3">
      <c r="V633" s="5"/>
    </row>
    <row r="634" spans="22:22" ht="13.8" x14ac:dyDescent="0.3">
      <c r="V634" s="5"/>
    </row>
    <row r="635" spans="22:22" ht="13.8" x14ac:dyDescent="0.3">
      <c r="V635" s="5"/>
    </row>
    <row r="636" spans="22:22" ht="13.8" x14ac:dyDescent="0.3">
      <c r="V636" s="5"/>
    </row>
    <row r="637" spans="22:22" ht="13.8" x14ac:dyDescent="0.3">
      <c r="V637" s="5"/>
    </row>
    <row r="638" spans="22:22" ht="13.8" x14ac:dyDescent="0.3">
      <c r="V638" s="5"/>
    </row>
    <row r="639" spans="22:22" ht="13.8" x14ac:dyDescent="0.3">
      <c r="V639" s="5"/>
    </row>
    <row r="640" spans="22:22" ht="13.8" x14ac:dyDescent="0.3">
      <c r="V640" s="5"/>
    </row>
    <row r="641" spans="22:22" ht="13.8" x14ac:dyDescent="0.3">
      <c r="V641" s="5"/>
    </row>
    <row r="642" spans="22:22" ht="13.8" x14ac:dyDescent="0.3">
      <c r="V642" s="5"/>
    </row>
    <row r="643" spans="22:22" ht="13.8" x14ac:dyDescent="0.3">
      <c r="V643" s="5"/>
    </row>
    <row r="644" spans="22:22" ht="13.8" x14ac:dyDescent="0.3">
      <c r="V644" s="5"/>
    </row>
    <row r="645" spans="22:22" ht="13.8" x14ac:dyDescent="0.3">
      <c r="V645" s="5"/>
    </row>
    <row r="646" spans="22:22" ht="13.8" x14ac:dyDescent="0.3">
      <c r="V646" s="5"/>
    </row>
    <row r="647" spans="22:22" ht="13.8" x14ac:dyDescent="0.3">
      <c r="V647" s="5"/>
    </row>
    <row r="648" spans="22:22" ht="13.8" x14ac:dyDescent="0.3">
      <c r="V648" s="5"/>
    </row>
    <row r="649" spans="22:22" ht="13.8" x14ac:dyDescent="0.3">
      <c r="V649" s="5"/>
    </row>
    <row r="650" spans="22:22" ht="13.8" x14ac:dyDescent="0.3">
      <c r="V650" s="5"/>
    </row>
    <row r="651" spans="22:22" ht="13.8" x14ac:dyDescent="0.3">
      <c r="V651" s="5"/>
    </row>
    <row r="652" spans="22:22" ht="13.8" x14ac:dyDescent="0.3">
      <c r="V652" s="5"/>
    </row>
    <row r="653" spans="22:22" ht="13.8" x14ac:dyDescent="0.3">
      <c r="V653" s="5"/>
    </row>
    <row r="654" spans="22:22" ht="13.8" x14ac:dyDescent="0.3">
      <c r="V654" s="5"/>
    </row>
    <row r="655" spans="22:22" ht="13.8" x14ac:dyDescent="0.3">
      <c r="V655" s="5"/>
    </row>
    <row r="656" spans="22:22" ht="13.8" x14ac:dyDescent="0.3">
      <c r="V656" s="5"/>
    </row>
    <row r="657" spans="22:22" ht="13.8" x14ac:dyDescent="0.3">
      <c r="V657" s="5"/>
    </row>
    <row r="658" spans="22:22" ht="13.8" x14ac:dyDescent="0.3">
      <c r="V658" s="5"/>
    </row>
    <row r="659" spans="22:22" ht="13.8" x14ac:dyDescent="0.3">
      <c r="V659" s="5"/>
    </row>
    <row r="660" spans="22:22" ht="13.8" x14ac:dyDescent="0.3">
      <c r="V660" s="5"/>
    </row>
    <row r="661" spans="22:22" ht="13.8" x14ac:dyDescent="0.3">
      <c r="V661" s="5"/>
    </row>
    <row r="662" spans="22:22" ht="13.8" x14ac:dyDescent="0.3">
      <c r="V662" s="5"/>
    </row>
    <row r="663" spans="22:22" ht="13.8" x14ac:dyDescent="0.3">
      <c r="V663" s="5"/>
    </row>
    <row r="664" spans="22:22" ht="13.8" x14ac:dyDescent="0.3">
      <c r="V664" s="5"/>
    </row>
    <row r="665" spans="22:22" ht="13.8" x14ac:dyDescent="0.3">
      <c r="V665" s="5"/>
    </row>
    <row r="666" spans="22:22" ht="13.8" x14ac:dyDescent="0.3">
      <c r="V666" s="5"/>
    </row>
    <row r="667" spans="22:22" ht="13.8" x14ac:dyDescent="0.3">
      <c r="V667" s="5"/>
    </row>
    <row r="668" spans="22:22" ht="13.8" x14ac:dyDescent="0.3">
      <c r="V668" s="5"/>
    </row>
    <row r="669" spans="22:22" ht="13.8" x14ac:dyDescent="0.3">
      <c r="V669" s="5"/>
    </row>
    <row r="670" spans="22:22" ht="13.8" x14ac:dyDescent="0.3">
      <c r="V670" s="5"/>
    </row>
    <row r="671" spans="22:22" ht="13.8" x14ac:dyDescent="0.3">
      <c r="V671" s="5"/>
    </row>
    <row r="672" spans="22:22" ht="13.8" x14ac:dyDescent="0.3">
      <c r="V672" s="5"/>
    </row>
    <row r="673" spans="22:22" ht="13.8" x14ac:dyDescent="0.3">
      <c r="V673" s="5"/>
    </row>
    <row r="674" spans="22:22" ht="13.8" x14ac:dyDescent="0.3">
      <c r="V674" s="5"/>
    </row>
    <row r="675" spans="22:22" ht="13.8" x14ac:dyDescent="0.3">
      <c r="V675" s="5"/>
    </row>
    <row r="676" spans="22:22" ht="13.8" x14ac:dyDescent="0.3">
      <c r="V676" s="5"/>
    </row>
    <row r="677" spans="22:22" ht="13.8" x14ac:dyDescent="0.3">
      <c r="V677" s="5"/>
    </row>
    <row r="678" spans="22:22" ht="13.8" x14ac:dyDescent="0.3">
      <c r="V678" s="5"/>
    </row>
    <row r="679" spans="22:22" ht="13.8" x14ac:dyDescent="0.3">
      <c r="V679" s="5"/>
    </row>
    <row r="680" spans="22:22" ht="13.8" x14ac:dyDescent="0.3">
      <c r="V680" s="5"/>
    </row>
    <row r="681" spans="22:22" ht="13.8" x14ac:dyDescent="0.3">
      <c r="V681" s="5"/>
    </row>
    <row r="682" spans="22:22" ht="13.8" x14ac:dyDescent="0.3">
      <c r="V682" s="5"/>
    </row>
    <row r="683" spans="22:22" ht="13.8" x14ac:dyDescent="0.3">
      <c r="V683" s="5"/>
    </row>
    <row r="684" spans="22:22" ht="13.8" x14ac:dyDescent="0.3">
      <c r="V684" s="5"/>
    </row>
    <row r="685" spans="22:22" ht="13.8" x14ac:dyDescent="0.3">
      <c r="V685" s="5"/>
    </row>
    <row r="686" spans="22:22" ht="13.8" x14ac:dyDescent="0.3">
      <c r="V686" s="5"/>
    </row>
    <row r="687" spans="22:22" ht="13.8" x14ac:dyDescent="0.3">
      <c r="V687" s="5"/>
    </row>
    <row r="688" spans="22:22" ht="13.8" x14ac:dyDescent="0.3">
      <c r="V688" s="5"/>
    </row>
    <row r="689" spans="22:22" ht="13.8" x14ac:dyDescent="0.3">
      <c r="V689" s="5"/>
    </row>
    <row r="690" spans="22:22" ht="13.8" x14ac:dyDescent="0.3">
      <c r="V690" s="5"/>
    </row>
    <row r="691" spans="22:22" ht="13.8" x14ac:dyDescent="0.3">
      <c r="V691" s="5"/>
    </row>
    <row r="692" spans="22:22" ht="13.8" x14ac:dyDescent="0.3">
      <c r="V692" s="5"/>
    </row>
    <row r="693" spans="22:22" ht="13.8" x14ac:dyDescent="0.3">
      <c r="V693" s="5"/>
    </row>
    <row r="694" spans="22:22" ht="13.8" x14ac:dyDescent="0.3">
      <c r="V694" s="5"/>
    </row>
    <row r="695" spans="22:22" ht="13.8" x14ac:dyDescent="0.3">
      <c r="V695" s="5"/>
    </row>
    <row r="696" spans="22:22" ht="13.8" x14ac:dyDescent="0.3">
      <c r="V696" s="5"/>
    </row>
    <row r="697" spans="22:22" ht="13.8" x14ac:dyDescent="0.3">
      <c r="V697" s="5"/>
    </row>
    <row r="698" spans="22:22" ht="13.8" x14ac:dyDescent="0.3">
      <c r="V698" s="5"/>
    </row>
    <row r="699" spans="22:22" ht="13.8" x14ac:dyDescent="0.3">
      <c r="V699" s="5"/>
    </row>
    <row r="700" spans="22:22" ht="13.8" x14ac:dyDescent="0.3">
      <c r="V700" s="5"/>
    </row>
    <row r="701" spans="22:22" ht="13.8" x14ac:dyDescent="0.3">
      <c r="V701" s="5"/>
    </row>
    <row r="702" spans="22:22" ht="13.8" x14ac:dyDescent="0.3">
      <c r="V702" s="5"/>
    </row>
    <row r="703" spans="22:22" ht="13.8" x14ac:dyDescent="0.3">
      <c r="V703" s="5"/>
    </row>
    <row r="704" spans="22:22" ht="13.8" x14ac:dyDescent="0.3">
      <c r="V704" s="5"/>
    </row>
    <row r="705" spans="22:22" ht="13.8" x14ac:dyDescent="0.3">
      <c r="V705" s="5"/>
    </row>
    <row r="706" spans="22:22" ht="13.8" x14ac:dyDescent="0.3">
      <c r="V706" s="5"/>
    </row>
    <row r="707" spans="22:22" ht="13.8" x14ac:dyDescent="0.3">
      <c r="V707" s="5"/>
    </row>
    <row r="708" spans="22:22" ht="13.8" x14ac:dyDescent="0.3">
      <c r="V708" s="5"/>
    </row>
    <row r="709" spans="22:22" ht="13.8" x14ac:dyDescent="0.3">
      <c r="V709" s="5"/>
    </row>
    <row r="710" spans="22:22" ht="13.8" x14ac:dyDescent="0.3">
      <c r="V710" s="5"/>
    </row>
    <row r="711" spans="22:22" ht="13.8" x14ac:dyDescent="0.3">
      <c r="V711" s="5"/>
    </row>
    <row r="712" spans="22:22" ht="13.8" x14ac:dyDescent="0.3">
      <c r="V712" s="5"/>
    </row>
    <row r="713" spans="22:22" ht="13.8" x14ac:dyDescent="0.3">
      <c r="V713" s="5"/>
    </row>
    <row r="714" spans="22:22" ht="13.8" x14ac:dyDescent="0.3">
      <c r="V714" s="5"/>
    </row>
    <row r="715" spans="22:22" ht="13.8" x14ac:dyDescent="0.3">
      <c r="V715" s="5"/>
    </row>
    <row r="716" spans="22:22" ht="13.8" x14ac:dyDescent="0.3">
      <c r="V716" s="5"/>
    </row>
    <row r="717" spans="22:22" ht="13.8" x14ac:dyDescent="0.3">
      <c r="V717" s="5"/>
    </row>
    <row r="718" spans="22:22" ht="13.8" x14ac:dyDescent="0.3">
      <c r="V718" s="5"/>
    </row>
    <row r="719" spans="22:22" ht="13.8" x14ac:dyDescent="0.3">
      <c r="V719" s="5"/>
    </row>
    <row r="720" spans="22:22" ht="13.8" x14ac:dyDescent="0.3">
      <c r="V720" s="5"/>
    </row>
    <row r="721" spans="22:22" ht="13.8" x14ac:dyDescent="0.3">
      <c r="V721" s="5"/>
    </row>
    <row r="722" spans="22:22" ht="13.8" x14ac:dyDescent="0.3">
      <c r="V722" s="5"/>
    </row>
    <row r="723" spans="22:22" ht="13.8" x14ac:dyDescent="0.3">
      <c r="V723" s="5"/>
    </row>
    <row r="724" spans="22:22" ht="13.8" x14ac:dyDescent="0.3">
      <c r="V724" s="5"/>
    </row>
    <row r="725" spans="22:22" ht="13.8" x14ac:dyDescent="0.3">
      <c r="V725" s="5"/>
    </row>
    <row r="726" spans="22:22" ht="13.8" x14ac:dyDescent="0.3">
      <c r="V726" s="5"/>
    </row>
    <row r="727" spans="22:22" ht="13.8" x14ac:dyDescent="0.3">
      <c r="V727" s="5"/>
    </row>
    <row r="728" spans="22:22" ht="13.8" x14ac:dyDescent="0.3">
      <c r="V728" s="5"/>
    </row>
    <row r="729" spans="22:22" ht="13.8" x14ac:dyDescent="0.3">
      <c r="V729" s="5"/>
    </row>
    <row r="730" spans="22:22" ht="13.8" x14ac:dyDescent="0.3">
      <c r="V730" s="5"/>
    </row>
    <row r="731" spans="22:22" ht="13.8" x14ac:dyDescent="0.3">
      <c r="V731" s="5"/>
    </row>
    <row r="732" spans="22:22" ht="13.8" x14ac:dyDescent="0.3">
      <c r="V732" s="5"/>
    </row>
    <row r="733" spans="22:22" ht="13.8" x14ac:dyDescent="0.3">
      <c r="V733" s="5"/>
    </row>
    <row r="734" spans="22:22" ht="13.8" x14ac:dyDescent="0.3">
      <c r="V734" s="5"/>
    </row>
    <row r="735" spans="22:22" ht="13.8" x14ac:dyDescent="0.3">
      <c r="V735" s="5"/>
    </row>
    <row r="736" spans="22:22" ht="13.8" x14ac:dyDescent="0.3">
      <c r="V736" s="5"/>
    </row>
    <row r="737" spans="22:22" ht="13.8" x14ac:dyDescent="0.3">
      <c r="V737" s="5"/>
    </row>
    <row r="738" spans="22:22" ht="13.8" x14ac:dyDescent="0.3">
      <c r="V738" s="5"/>
    </row>
    <row r="739" spans="22:22" ht="13.8" x14ac:dyDescent="0.3">
      <c r="V739" s="5"/>
    </row>
    <row r="740" spans="22:22" ht="13.8" x14ac:dyDescent="0.3">
      <c r="V740" s="5"/>
    </row>
    <row r="741" spans="22:22" ht="13.8" x14ac:dyDescent="0.3">
      <c r="V741" s="5"/>
    </row>
    <row r="742" spans="22:22" ht="13.8" x14ac:dyDescent="0.3">
      <c r="V742" s="5"/>
    </row>
    <row r="743" spans="22:22" ht="13.8" x14ac:dyDescent="0.3">
      <c r="V743" s="5"/>
    </row>
    <row r="744" spans="22:22" ht="13.8" x14ac:dyDescent="0.3">
      <c r="V744" s="5"/>
    </row>
    <row r="745" spans="22:22" ht="13.8" x14ac:dyDescent="0.3">
      <c r="V745" s="5"/>
    </row>
    <row r="746" spans="22:22" ht="13.8" x14ac:dyDescent="0.3">
      <c r="V746" s="5"/>
    </row>
    <row r="747" spans="22:22" ht="13.8" x14ac:dyDescent="0.3">
      <c r="V747" s="5"/>
    </row>
    <row r="748" spans="22:22" ht="13.8" x14ac:dyDescent="0.3">
      <c r="V748" s="5"/>
    </row>
    <row r="749" spans="22:22" ht="13.8" x14ac:dyDescent="0.3">
      <c r="V749" s="5"/>
    </row>
    <row r="750" spans="22:22" ht="13.8" x14ac:dyDescent="0.3">
      <c r="V750" s="5"/>
    </row>
    <row r="751" spans="22:22" ht="13.8" x14ac:dyDescent="0.3">
      <c r="V751" s="5"/>
    </row>
    <row r="752" spans="22:22" ht="13.8" x14ac:dyDescent="0.3">
      <c r="V752" s="5"/>
    </row>
    <row r="753" spans="22:22" ht="13.8" x14ac:dyDescent="0.3">
      <c r="V753" s="5"/>
    </row>
    <row r="754" spans="22:22" ht="13.8" x14ac:dyDescent="0.3">
      <c r="V754" s="5"/>
    </row>
    <row r="755" spans="22:22" ht="13.8" x14ac:dyDescent="0.3">
      <c r="V755" s="5"/>
    </row>
    <row r="756" spans="22:22" ht="13.8" x14ac:dyDescent="0.3">
      <c r="V756" s="5"/>
    </row>
    <row r="757" spans="22:22" ht="13.8" x14ac:dyDescent="0.3">
      <c r="V757" s="5"/>
    </row>
    <row r="758" spans="22:22" ht="13.8" x14ac:dyDescent="0.3">
      <c r="V758" s="5"/>
    </row>
    <row r="759" spans="22:22" ht="13.8" x14ac:dyDescent="0.3">
      <c r="V759" s="5"/>
    </row>
    <row r="760" spans="22:22" ht="13.8" x14ac:dyDescent="0.3">
      <c r="V760" s="5"/>
    </row>
    <row r="761" spans="22:22" ht="13.8" x14ac:dyDescent="0.3">
      <c r="V761" s="5"/>
    </row>
    <row r="762" spans="22:22" ht="13.8" x14ac:dyDescent="0.3">
      <c r="V762" s="5"/>
    </row>
    <row r="763" spans="22:22" ht="13.8" x14ac:dyDescent="0.3">
      <c r="V763" s="5"/>
    </row>
    <row r="764" spans="22:22" ht="13.8" x14ac:dyDescent="0.3">
      <c r="V764" s="5"/>
    </row>
    <row r="765" spans="22:22" ht="13.8" x14ac:dyDescent="0.3">
      <c r="V765" s="5"/>
    </row>
    <row r="766" spans="22:22" ht="13.8" x14ac:dyDescent="0.3">
      <c r="V766" s="5"/>
    </row>
    <row r="767" spans="22:22" ht="13.8" x14ac:dyDescent="0.3">
      <c r="V767" s="5"/>
    </row>
    <row r="768" spans="22:22" ht="13.8" x14ac:dyDescent="0.3">
      <c r="V768" s="5"/>
    </row>
    <row r="769" spans="22:22" ht="13.8" x14ac:dyDescent="0.3">
      <c r="V769" s="5"/>
    </row>
    <row r="770" spans="22:22" ht="13.8" x14ac:dyDescent="0.3">
      <c r="V770" s="5"/>
    </row>
    <row r="771" spans="22:22" ht="13.8" x14ac:dyDescent="0.3">
      <c r="V771" s="5"/>
    </row>
    <row r="772" spans="22:22" ht="13.8" x14ac:dyDescent="0.3">
      <c r="V772" s="5"/>
    </row>
    <row r="773" spans="22:22" ht="13.8" x14ac:dyDescent="0.3">
      <c r="V773" s="5"/>
    </row>
    <row r="774" spans="22:22" ht="13.8" x14ac:dyDescent="0.3">
      <c r="V774" s="5"/>
    </row>
    <row r="775" spans="22:22" ht="13.8" x14ac:dyDescent="0.3">
      <c r="V775" s="5"/>
    </row>
    <row r="776" spans="22:22" ht="13.8" x14ac:dyDescent="0.3">
      <c r="V776" s="5"/>
    </row>
    <row r="777" spans="22:22" ht="13.8" x14ac:dyDescent="0.3">
      <c r="V777" s="5"/>
    </row>
    <row r="778" spans="22:22" ht="13.8" x14ac:dyDescent="0.3">
      <c r="V778" s="5"/>
    </row>
    <row r="779" spans="22:22" ht="13.8" x14ac:dyDescent="0.3">
      <c r="V779" s="5"/>
    </row>
    <row r="780" spans="22:22" ht="13.8" x14ac:dyDescent="0.3">
      <c r="V780" s="5"/>
    </row>
    <row r="781" spans="22:22" ht="13.8" x14ac:dyDescent="0.3">
      <c r="V781" s="5"/>
    </row>
    <row r="782" spans="22:22" ht="13.8" x14ac:dyDescent="0.3">
      <c r="V782" s="5"/>
    </row>
    <row r="783" spans="22:22" ht="13.8" x14ac:dyDescent="0.3">
      <c r="V783" s="5"/>
    </row>
    <row r="784" spans="22:22" ht="13.8" x14ac:dyDescent="0.3">
      <c r="V784" s="5"/>
    </row>
    <row r="785" spans="22:22" ht="13.8" x14ac:dyDescent="0.3">
      <c r="V785" s="5"/>
    </row>
    <row r="786" spans="22:22" ht="13.8" x14ac:dyDescent="0.3">
      <c r="V786" s="5"/>
    </row>
    <row r="787" spans="22:22" ht="13.8" x14ac:dyDescent="0.3">
      <c r="V787" s="5"/>
    </row>
    <row r="788" spans="22:22" ht="13.8" x14ac:dyDescent="0.3">
      <c r="V788" s="5"/>
    </row>
    <row r="789" spans="22:22" ht="13.8" x14ac:dyDescent="0.3">
      <c r="V789" s="5"/>
    </row>
    <row r="790" spans="22:22" ht="13.8" x14ac:dyDescent="0.3">
      <c r="V790" s="5"/>
    </row>
    <row r="791" spans="22:22" ht="13.8" x14ac:dyDescent="0.3">
      <c r="V791" s="5"/>
    </row>
    <row r="792" spans="22:22" ht="13.8" x14ac:dyDescent="0.3">
      <c r="V792" s="5"/>
    </row>
    <row r="793" spans="22:22" ht="13.8" x14ac:dyDescent="0.3">
      <c r="V793" s="5"/>
    </row>
    <row r="794" spans="22:22" ht="13.8" x14ac:dyDescent="0.3">
      <c r="V794" s="5"/>
    </row>
    <row r="795" spans="22:22" ht="13.8" x14ac:dyDescent="0.3">
      <c r="V795" s="5"/>
    </row>
    <row r="796" spans="22:22" ht="13.8" x14ac:dyDescent="0.3">
      <c r="V796" s="5"/>
    </row>
    <row r="797" spans="22:22" ht="13.8" x14ac:dyDescent="0.3">
      <c r="V797" s="5"/>
    </row>
    <row r="798" spans="22:22" ht="13.8" x14ac:dyDescent="0.3">
      <c r="V798" s="5"/>
    </row>
    <row r="799" spans="22:22" ht="13.8" x14ac:dyDescent="0.3">
      <c r="V799" s="5"/>
    </row>
    <row r="800" spans="22:22" ht="13.8" x14ac:dyDescent="0.3">
      <c r="V800" s="5"/>
    </row>
    <row r="801" spans="22:22" ht="13.8" x14ac:dyDescent="0.3">
      <c r="V801" s="5"/>
    </row>
    <row r="802" spans="22:22" ht="13.8" x14ac:dyDescent="0.3">
      <c r="V802" s="5"/>
    </row>
    <row r="803" spans="22:22" ht="13.8" x14ac:dyDescent="0.3">
      <c r="V803" s="5"/>
    </row>
    <row r="804" spans="22:22" ht="13.8" x14ac:dyDescent="0.3">
      <c r="V804" s="5"/>
    </row>
    <row r="805" spans="22:22" ht="13.8" x14ac:dyDescent="0.3">
      <c r="V805" s="5"/>
    </row>
    <row r="806" spans="22:22" ht="13.8" x14ac:dyDescent="0.3">
      <c r="V806" s="5"/>
    </row>
    <row r="807" spans="22:22" ht="13.8" x14ac:dyDescent="0.3">
      <c r="V807" s="5"/>
    </row>
    <row r="808" spans="22:22" ht="13.8" x14ac:dyDescent="0.3">
      <c r="V808" s="5"/>
    </row>
    <row r="809" spans="22:22" ht="13.8" x14ac:dyDescent="0.3">
      <c r="V809" s="5"/>
    </row>
    <row r="810" spans="22:22" ht="13.8" x14ac:dyDescent="0.3">
      <c r="V810" s="5"/>
    </row>
    <row r="811" spans="22:22" ht="13.8" x14ac:dyDescent="0.3">
      <c r="V811" s="5"/>
    </row>
    <row r="812" spans="22:22" ht="13.8" x14ac:dyDescent="0.3">
      <c r="V812" s="5"/>
    </row>
    <row r="813" spans="22:22" ht="13.8" x14ac:dyDescent="0.3">
      <c r="V813" s="5"/>
    </row>
    <row r="814" spans="22:22" ht="13.8" x14ac:dyDescent="0.3">
      <c r="V814" s="5"/>
    </row>
    <row r="815" spans="22:22" ht="13.8" x14ac:dyDescent="0.3">
      <c r="V815" s="5"/>
    </row>
    <row r="816" spans="22:22" ht="13.8" x14ac:dyDescent="0.3">
      <c r="V816" s="5"/>
    </row>
    <row r="817" spans="22:22" ht="13.8" x14ac:dyDescent="0.3">
      <c r="V817" s="5"/>
    </row>
    <row r="818" spans="22:22" ht="13.8" x14ac:dyDescent="0.3">
      <c r="V818" s="5"/>
    </row>
    <row r="819" spans="22:22" ht="13.8" x14ac:dyDescent="0.3">
      <c r="V819" s="5"/>
    </row>
    <row r="820" spans="22:22" ht="13.8" x14ac:dyDescent="0.3">
      <c r="V820" s="5"/>
    </row>
    <row r="821" spans="22:22" ht="13.8" x14ac:dyDescent="0.3">
      <c r="V821" s="5"/>
    </row>
    <row r="822" spans="22:22" ht="13.8" x14ac:dyDescent="0.3">
      <c r="V822" s="5"/>
    </row>
    <row r="823" spans="22:22" ht="13.8" x14ac:dyDescent="0.3">
      <c r="V823" s="5"/>
    </row>
    <row r="824" spans="22:22" ht="13.8" x14ac:dyDescent="0.3">
      <c r="V824" s="5"/>
    </row>
    <row r="825" spans="22:22" ht="13.8" x14ac:dyDescent="0.3">
      <c r="V825" s="5"/>
    </row>
    <row r="826" spans="22:22" ht="13.8" x14ac:dyDescent="0.3">
      <c r="V826" s="5"/>
    </row>
    <row r="827" spans="22:22" ht="13.8" x14ac:dyDescent="0.3">
      <c r="V827" s="5"/>
    </row>
    <row r="828" spans="22:22" ht="13.8" x14ac:dyDescent="0.3">
      <c r="V828" s="5"/>
    </row>
    <row r="829" spans="22:22" ht="13.8" x14ac:dyDescent="0.3">
      <c r="V829" s="5"/>
    </row>
    <row r="830" spans="22:22" ht="13.8" x14ac:dyDescent="0.3">
      <c r="V830" s="5"/>
    </row>
    <row r="831" spans="22:22" ht="13.8" x14ac:dyDescent="0.3">
      <c r="V831" s="5"/>
    </row>
    <row r="832" spans="22:22" ht="13.8" x14ac:dyDescent="0.3">
      <c r="V832" s="5"/>
    </row>
    <row r="833" spans="22:22" ht="13.8" x14ac:dyDescent="0.3">
      <c r="V833" s="5"/>
    </row>
    <row r="834" spans="22:22" ht="13.8" x14ac:dyDescent="0.3">
      <c r="V834" s="5"/>
    </row>
    <row r="835" spans="22:22" ht="13.8" x14ac:dyDescent="0.3">
      <c r="V835" s="5"/>
    </row>
    <row r="836" spans="22:22" ht="13.8" x14ac:dyDescent="0.3">
      <c r="V836" s="5"/>
    </row>
    <row r="837" spans="22:22" ht="13.8" x14ac:dyDescent="0.3">
      <c r="V837" s="5"/>
    </row>
    <row r="838" spans="22:22" ht="13.8" x14ac:dyDescent="0.3">
      <c r="V838" s="5"/>
    </row>
    <row r="839" spans="22:22" ht="13.8" x14ac:dyDescent="0.3">
      <c r="V839" s="5"/>
    </row>
    <row r="840" spans="22:22" ht="13.8" x14ac:dyDescent="0.3">
      <c r="V840" s="5"/>
    </row>
    <row r="841" spans="22:22" ht="13.8" x14ac:dyDescent="0.3">
      <c r="V841" s="5"/>
    </row>
    <row r="842" spans="22:22" ht="13.8" x14ac:dyDescent="0.3">
      <c r="V842" s="5"/>
    </row>
    <row r="843" spans="22:22" ht="13.8" x14ac:dyDescent="0.3">
      <c r="V843" s="5"/>
    </row>
    <row r="844" spans="22:22" ht="13.8" x14ac:dyDescent="0.3">
      <c r="V844" s="5"/>
    </row>
    <row r="845" spans="22:22" ht="13.8" x14ac:dyDescent="0.3">
      <c r="V845" s="5"/>
    </row>
    <row r="846" spans="22:22" ht="13.8" x14ac:dyDescent="0.3">
      <c r="V846" s="5"/>
    </row>
    <row r="847" spans="22:22" ht="13.8" x14ac:dyDescent="0.3">
      <c r="V847" s="5"/>
    </row>
    <row r="848" spans="22:22" ht="13.8" x14ac:dyDescent="0.3">
      <c r="V848" s="5"/>
    </row>
    <row r="849" spans="22:22" ht="13.8" x14ac:dyDescent="0.3">
      <c r="V849" s="5"/>
    </row>
    <row r="850" spans="22:22" ht="13.8" x14ac:dyDescent="0.3">
      <c r="V850" s="5"/>
    </row>
    <row r="851" spans="22:22" ht="13.8" x14ac:dyDescent="0.3">
      <c r="V851" s="5"/>
    </row>
    <row r="852" spans="22:22" ht="13.8" x14ac:dyDescent="0.3">
      <c r="V852" s="5"/>
    </row>
    <row r="853" spans="22:22" ht="13.8" x14ac:dyDescent="0.3">
      <c r="V853" s="5"/>
    </row>
    <row r="854" spans="22:22" ht="13.8" x14ac:dyDescent="0.3">
      <c r="V854" s="5"/>
    </row>
    <row r="855" spans="22:22" ht="13.8" x14ac:dyDescent="0.3">
      <c r="V855" s="5"/>
    </row>
    <row r="856" spans="22:22" ht="13.8" x14ac:dyDescent="0.3">
      <c r="V856" s="5"/>
    </row>
    <row r="857" spans="22:22" ht="13.8" x14ac:dyDescent="0.3">
      <c r="V857" s="5"/>
    </row>
    <row r="858" spans="22:22" ht="13.8" x14ac:dyDescent="0.3">
      <c r="V858" s="5"/>
    </row>
    <row r="859" spans="22:22" ht="13.8" x14ac:dyDescent="0.3">
      <c r="V859" s="5"/>
    </row>
    <row r="860" spans="22:22" ht="13.8" x14ac:dyDescent="0.3">
      <c r="V860" s="5"/>
    </row>
    <row r="861" spans="22:22" ht="13.8" x14ac:dyDescent="0.3">
      <c r="V861" s="5"/>
    </row>
    <row r="862" spans="22:22" ht="13.8" x14ac:dyDescent="0.3">
      <c r="V862" s="5"/>
    </row>
    <row r="863" spans="22:22" ht="13.8" x14ac:dyDescent="0.3">
      <c r="V863" s="5"/>
    </row>
    <row r="864" spans="22:22" ht="13.8" x14ac:dyDescent="0.3">
      <c r="V864" s="5"/>
    </row>
    <row r="865" spans="22:22" ht="13.8" x14ac:dyDescent="0.3">
      <c r="V865" s="5"/>
    </row>
    <row r="866" spans="22:22" ht="13.8" x14ac:dyDescent="0.3">
      <c r="V866" s="5"/>
    </row>
    <row r="867" spans="22:22" ht="13.8" x14ac:dyDescent="0.3">
      <c r="V867" s="5"/>
    </row>
    <row r="868" spans="22:22" ht="13.8" x14ac:dyDescent="0.3">
      <c r="V868" s="5"/>
    </row>
    <row r="869" spans="22:22" ht="13.8" x14ac:dyDescent="0.3">
      <c r="V869" s="5"/>
    </row>
    <row r="870" spans="22:22" ht="13.8" x14ac:dyDescent="0.3">
      <c r="V870" s="5"/>
    </row>
    <row r="871" spans="22:22" ht="13.8" x14ac:dyDescent="0.3">
      <c r="V871" s="5"/>
    </row>
    <row r="872" spans="22:22" ht="13.8" x14ac:dyDescent="0.3">
      <c r="V872" s="5"/>
    </row>
    <row r="873" spans="22:22" ht="13.8" x14ac:dyDescent="0.3">
      <c r="V873" s="5"/>
    </row>
    <row r="874" spans="22:22" ht="13.8" x14ac:dyDescent="0.3">
      <c r="V874" s="5"/>
    </row>
    <row r="875" spans="22:22" ht="13.8" x14ac:dyDescent="0.3">
      <c r="V875" s="5"/>
    </row>
    <row r="876" spans="22:22" ht="13.8" x14ac:dyDescent="0.3">
      <c r="V876" s="5"/>
    </row>
    <row r="877" spans="22:22" ht="13.8" x14ac:dyDescent="0.3">
      <c r="V877" s="5"/>
    </row>
    <row r="878" spans="22:22" ht="13.8" x14ac:dyDescent="0.3">
      <c r="V878" s="5"/>
    </row>
    <row r="879" spans="22:22" ht="13.8" x14ac:dyDescent="0.3">
      <c r="V879" s="5"/>
    </row>
    <row r="880" spans="22:22" ht="13.8" x14ac:dyDescent="0.3">
      <c r="V880" s="5"/>
    </row>
    <row r="881" spans="22:22" ht="13.8" x14ac:dyDescent="0.3">
      <c r="V881" s="5"/>
    </row>
    <row r="882" spans="22:22" ht="13.8" x14ac:dyDescent="0.3">
      <c r="V882" s="5"/>
    </row>
    <row r="883" spans="22:22" ht="13.8" x14ac:dyDescent="0.3">
      <c r="V883" s="5"/>
    </row>
    <row r="884" spans="22:22" ht="13.8" x14ac:dyDescent="0.3">
      <c r="V884" s="5"/>
    </row>
    <row r="885" spans="22:22" ht="13.8" x14ac:dyDescent="0.3">
      <c r="V885" s="5"/>
    </row>
    <row r="886" spans="22:22" ht="13.8" x14ac:dyDescent="0.3">
      <c r="V886" s="5"/>
    </row>
    <row r="887" spans="22:22" ht="13.8" x14ac:dyDescent="0.3">
      <c r="V887" s="5"/>
    </row>
    <row r="888" spans="22:22" ht="13.8" x14ac:dyDescent="0.3">
      <c r="V888" s="5"/>
    </row>
    <row r="889" spans="22:22" ht="13.8" x14ac:dyDescent="0.3">
      <c r="V889" s="5"/>
    </row>
    <row r="890" spans="22:22" ht="13.8" x14ac:dyDescent="0.3">
      <c r="V890" s="5"/>
    </row>
    <row r="891" spans="22:22" ht="13.8" x14ac:dyDescent="0.3">
      <c r="V891" s="5"/>
    </row>
    <row r="892" spans="22:22" ht="13.8" x14ac:dyDescent="0.3">
      <c r="V892" s="5"/>
    </row>
    <row r="893" spans="22:22" ht="13.8" x14ac:dyDescent="0.3">
      <c r="V893" s="5"/>
    </row>
    <row r="894" spans="22:22" ht="13.8" x14ac:dyDescent="0.3">
      <c r="V894" s="5"/>
    </row>
    <row r="895" spans="22:22" ht="13.8" x14ac:dyDescent="0.3">
      <c r="V895" s="5"/>
    </row>
    <row r="896" spans="22:22" ht="13.8" x14ac:dyDescent="0.3">
      <c r="V896" s="5"/>
    </row>
    <row r="897" spans="22:22" ht="13.8" x14ac:dyDescent="0.3">
      <c r="V897" s="5"/>
    </row>
    <row r="898" spans="22:22" ht="13.8" x14ac:dyDescent="0.3">
      <c r="V898" s="5"/>
    </row>
    <row r="899" spans="22:22" ht="13.8" x14ac:dyDescent="0.3">
      <c r="V899" s="5"/>
    </row>
    <row r="900" spans="22:22" ht="13.8" x14ac:dyDescent="0.3">
      <c r="V900" s="5"/>
    </row>
    <row r="901" spans="22:22" ht="13.8" x14ac:dyDescent="0.3">
      <c r="V901" s="5"/>
    </row>
    <row r="902" spans="22:22" ht="13.8" x14ac:dyDescent="0.3">
      <c r="V902" s="5"/>
    </row>
    <row r="903" spans="22:22" ht="13.8" x14ac:dyDescent="0.3">
      <c r="V903" s="5"/>
    </row>
    <row r="904" spans="22:22" ht="13.8" x14ac:dyDescent="0.3">
      <c r="V904" s="5"/>
    </row>
    <row r="905" spans="22:22" ht="13.8" x14ac:dyDescent="0.3">
      <c r="V905" s="5"/>
    </row>
    <row r="906" spans="22:22" ht="13.8" x14ac:dyDescent="0.3">
      <c r="V906" s="5"/>
    </row>
    <row r="907" spans="22:22" ht="13.8" x14ac:dyDescent="0.3">
      <c r="V907" s="5"/>
    </row>
    <row r="908" spans="22:22" ht="13.8" x14ac:dyDescent="0.3">
      <c r="V908" s="5"/>
    </row>
    <row r="909" spans="22:22" ht="13.8" x14ac:dyDescent="0.3">
      <c r="V909" s="5"/>
    </row>
    <row r="910" spans="22:22" ht="13.8" x14ac:dyDescent="0.3">
      <c r="V910" s="5"/>
    </row>
    <row r="911" spans="22:22" ht="13.8" x14ac:dyDescent="0.3">
      <c r="V911" s="5"/>
    </row>
    <row r="912" spans="22:22" ht="13.8" x14ac:dyDescent="0.3">
      <c r="V912" s="5"/>
    </row>
    <row r="913" spans="22:22" ht="13.8" x14ac:dyDescent="0.3">
      <c r="V913" s="5"/>
    </row>
    <row r="914" spans="22:22" ht="13.8" x14ac:dyDescent="0.3">
      <c r="V914" s="5"/>
    </row>
    <row r="915" spans="22:22" ht="13.8" x14ac:dyDescent="0.3">
      <c r="V915" s="5"/>
    </row>
    <row r="916" spans="22:22" ht="13.8" x14ac:dyDescent="0.3">
      <c r="V916" s="5"/>
    </row>
    <row r="917" spans="22:22" ht="13.8" x14ac:dyDescent="0.3">
      <c r="V917" s="5"/>
    </row>
    <row r="918" spans="22:22" ht="13.8" x14ac:dyDescent="0.3">
      <c r="V918" s="5"/>
    </row>
    <row r="919" spans="22:22" ht="13.8" x14ac:dyDescent="0.3">
      <c r="V919" s="5"/>
    </row>
    <row r="920" spans="22:22" ht="13.8" x14ac:dyDescent="0.3">
      <c r="V920" s="5"/>
    </row>
    <row r="921" spans="22:22" ht="13.8" x14ac:dyDescent="0.3">
      <c r="V921" s="5"/>
    </row>
    <row r="922" spans="22:22" ht="13.8" x14ac:dyDescent="0.3">
      <c r="V922" s="5"/>
    </row>
    <row r="923" spans="22:22" ht="13.8" x14ac:dyDescent="0.3">
      <c r="V923" s="5"/>
    </row>
    <row r="924" spans="22:22" ht="13.8" x14ac:dyDescent="0.3">
      <c r="V924" s="5"/>
    </row>
    <row r="925" spans="22:22" ht="13.8" x14ac:dyDescent="0.3">
      <c r="V925" s="5"/>
    </row>
    <row r="926" spans="22:22" ht="13.8" x14ac:dyDescent="0.3">
      <c r="V926" s="5"/>
    </row>
    <row r="927" spans="22:22" ht="13.8" x14ac:dyDescent="0.3">
      <c r="V927" s="5"/>
    </row>
    <row r="928" spans="22:22" ht="13.8" x14ac:dyDescent="0.3">
      <c r="V928" s="5"/>
    </row>
    <row r="929" spans="22:22" ht="13.8" x14ac:dyDescent="0.3">
      <c r="V929" s="5"/>
    </row>
    <row r="930" spans="22:22" ht="13.8" x14ac:dyDescent="0.3">
      <c r="V930" s="5"/>
    </row>
    <row r="931" spans="22:22" ht="13.8" x14ac:dyDescent="0.3">
      <c r="V931" s="5"/>
    </row>
    <row r="932" spans="22:22" ht="13.8" x14ac:dyDescent="0.3">
      <c r="V932" s="5"/>
    </row>
    <row r="933" spans="22:22" ht="13.8" x14ac:dyDescent="0.3">
      <c r="V933" s="5"/>
    </row>
    <row r="934" spans="22:22" ht="13.8" x14ac:dyDescent="0.3">
      <c r="V934" s="5"/>
    </row>
    <row r="935" spans="22:22" ht="13.8" x14ac:dyDescent="0.3">
      <c r="V935" s="5"/>
    </row>
    <row r="936" spans="22:22" ht="13.8" x14ac:dyDescent="0.3">
      <c r="V936" s="5"/>
    </row>
    <row r="937" spans="22:22" ht="13.8" x14ac:dyDescent="0.3">
      <c r="V937" s="5"/>
    </row>
    <row r="938" spans="22:22" ht="13.8" x14ac:dyDescent="0.3">
      <c r="V938" s="5"/>
    </row>
    <row r="939" spans="22:22" ht="13.8" x14ac:dyDescent="0.3">
      <c r="V939" s="5"/>
    </row>
    <row r="940" spans="22:22" ht="13.8" x14ac:dyDescent="0.3">
      <c r="V940" s="5"/>
    </row>
    <row r="941" spans="22:22" ht="13.8" x14ac:dyDescent="0.3">
      <c r="V941" s="5"/>
    </row>
    <row r="942" spans="22:22" ht="13.8" x14ac:dyDescent="0.3">
      <c r="V942" s="5"/>
    </row>
    <row r="943" spans="22:22" ht="13.8" x14ac:dyDescent="0.3">
      <c r="V943" s="5"/>
    </row>
    <row r="944" spans="22:22" ht="13.8" x14ac:dyDescent="0.3">
      <c r="V944" s="5"/>
    </row>
    <row r="945" spans="22:22" ht="13.8" x14ac:dyDescent="0.3">
      <c r="V945" s="5"/>
    </row>
    <row r="946" spans="22:22" ht="13.8" x14ac:dyDescent="0.3">
      <c r="V946" s="5"/>
    </row>
    <row r="947" spans="22:22" ht="13.8" x14ac:dyDescent="0.3">
      <c r="V947" s="5"/>
    </row>
    <row r="948" spans="22:22" ht="13.8" x14ac:dyDescent="0.3">
      <c r="V948" s="5"/>
    </row>
    <row r="949" spans="22:22" ht="13.8" x14ac:dyDescent="0.3">
      <c r="V949" s="5"/>
    </row>
    <row r="950" spans="22:22" ht="13.8" x14ac:dyDescent="0.3">
      <c r="V950" s="5"/>
    </row>
    <row r="951" spans="22:22" ht="13.8" x14ac:dyDescent="0.3">
      <c r="V951" s="5"/>
    </row>
    <row r="952" spans="22:22" ht="13.8" x14ac:dyDescent="0.3">
      <c r="V952" s="5"/>
    </row>
    <row r="953" spans="22:22" ht="13.8" x14ac:dyDescent="0.3">
      <c r="V953" s="5"/>
    </row>
    <row r="954" spans="22:22" ht="13.8" x14ac:dyDescent="0.3">
      <c r="V954" s="5"/>
    </row>
    <row r="955" spans="22:22" ht="13.8" x14ac:dyDescent="0.3">
      <c r="V955" s="5"/>
    </row>
    <row r="956" spans="22:22" ht="13.8" x14ac:dyDescent="0.3">
      <c r="V956" s="5"/>
    </row>
    <row r="957" spans="22:22" ht="13.8" x14ac:dyDescent="0.3">
      <c r="V957" s="5"/>
    </row>
    <row r="958" spans="22:22" ht="13.8" x14ac:dyDescent="0.3">
      <c r="V958" s="5"/>
    </row>
    <row r="959" spans="22:22" ht="13.8" x14ac:dyDescent="0.3">
      <c r="V959" s="5"/>
    </row>
    <row r="960" spans="22:22" ht="13.8" x14ac:dyDescent="0.3">
      <c r="V960" s="5"/>
    </row>
    <row r="961" spans="22:22" ht="13.8" x14ac:dyDescent="0.3">
      <c r="V961" s="5"/>
    </row>
    <row r="962" spans="22:22" ht="13.8" x14ac:dyDescent="0.3">
      <c r="V962" s="5"/>
    </row>
    <row r="963" spans="22:22" ht="13.8" x14ac:dyDescent="0.3">
      <c r="V963" s="5"/>
    </row>
    <row r="964" spans="22:22" ht="13.8" x14ac:dyDescent="0.3">
      <c r="V964" s="5"/>
    </row>
    <row r="965" spans="22:22" ht="13.8" x14ac:dyDescent="0.3">
      <c r="V965" s="5"/>
    </row>
    <row r="966" spans="22:22" ht="13.8" x14ac:dyDescent="0.3">
      <c r="V966" s="5"/>
    </row>
    <row r="967" spans="22:22" ht="13.8" x14ac:dyDescent="0.3">
      <c r="V967" s="5"/>
    </row>
    <row r="968" spans="22:22" ht="13.8" x14ac:dyDescent="0.3">
      <c r="V968" s="5"/>
    </row>
    <row r="969" spans="22:22" ht="13.8" x14ac:dyDescent="0.3">
      <c r="V969" s="5"/>
    </row>
    <row r="970" spans="22:22" ht="13.8" x14ac:dyDescent="0.3">
      <c r="V970" s="5"/>
    </row>
    <row r="971" spans="22:22" ht="13.8" x14ac:dyDescent="0.3">
      <c r="V971" s="5"/>
    </row>
    <row r="972" spans="22:22" ht="13.8" x14ac:dyDescent="0.3">
      <c r="V972" s="5"/>
    </row>
    <row r="973" spans="22:22" ht="13.8" x14ac:dyDescent="0.3">
      <c r="V973" s="5"/>
    </row>
    <row r="974" spans="22:22" ht="13.8" x14ac:dyDescent="0.3">
      <c r="V974" s="5"/>
    </row>
    <row r="975" spans="22:22" ht="13.8" x14ac:dyDescent="0.3">
      <c r="V975" s="5"/>
    </row>
    <row r="976" spans="22:22" ht="13.8" x14ac:dyDescent="0.3">
      <c r="V976" s="5"/>
    </row>
    <row r="977" spans="22:22" ht="13.8" x14ac:dyDescent="0.3">
      <c r="V977" s="5"/>
    </row>
    <row r="978" spans="22:22" ht="13.8" x14ac:dyDescent="0.3">
      <c r="V978" s="5"/>
    </row>
    <row r="979" spans="22:22" ht="13.8" x14ac:dyDescent="0.3">
      <c r="V979" s="5"/>
    </row>
    <row r="980" spans="22:22" ht="13.8" x14ac:dyDescent="0.3">
      <c r="V980" s="5"/>
    </row>
    <row r="981" spans="22:22" ht="13.8" x14ac:dyDescent="0.3">
      <c r="V981" s="5"/>
    </row>
    <row r="982" spans="22:22" ht="13.8" x14ac:dyDescent="0.3">
      <c r="V982" s="5"/>
    </row>
    <row r="983" spans="22:22" ht="13.8" x14ac:dyDescent="0.3">
      <c r="V983" s="5"/>
    </row>
    <row r="984" spans="22:22" ht="13.8" x14ac:dyDescent="0.3">
      <c r="V984" s="5"/>
    </row>
    <row r="985" spans="22:22" ht="13.8" x14ac:dyDescent="0.3">
      <c r="V985" s="5"/>
    </row>
    <row r="986" spans="22:22" ht="13.8" x14ac:dyDescent="0.3">
      <c r="V986" s="5"/>
    </row>
    <row r="987" spans="22:22" ht="13.8" x14ac:dyDescent="0.3">
      <c r="V987" s="5"/>
    </row>
    <row r="988" spans="22:22" ht="13.8" x14ac:dyDescent="0.3">
      <c r="V988" s="5"/>
    </row>
    <row r="989" spans="22:22" ht="13.8" x14ac:dyDescent="0.3">
      <c r="V989" s="5"/>
    </row>
    <row r="990" spans="22:22" ht="13.8" x14ac:dyDescent="0.3">
      <c r="V990" s="5"/>
    </row>
    <row r="991" spans="22:22" ht="13.8" x14ac:dyDescent="0.3">
      <c r="V991" s="5"/>
    </row>
    <row r="992" spans="22:22" ht="13.8" x14ac:dyDescent="0.3">
      <c r="V992" s="5"/>
    </row>
  </sheetData>
  <autoFilter ref="A2:AC31" xr:uid="{00000000-0009-0000-0000-000005000000}">
    <sortState xmlns:xlrd2="http://schemas.microsoft.com/office/spreadsheetml/2017/richdata2" ref="A2:AC31">
      <sortCondition ref="A2:A31"/>
      <sortCondition ref="B2:B31"/>
      <sortCondition ref="C2:C31"/>
      <sortCondition ref="Q2:Q31"/>
      <sortCondition ref="D2:D31"/>
    </sortState>
  </autoFilter>
  <conditionalFormatting sqref="V1:V992">
    <cfRule type="cellIs" dxfId="0" priority="1" operator="greaterThan">
      <formula>1500</formula>
    </cfRule>
  </conditionalFormatting>
  <dataValidations count="3">
    <dataValidation type="list" allowBlank="1" showErrorMessage="1" sqref="B8 B13 B19" xr:uid="{0C997503-B7F7-4E09-8F2E-E067E0780A7E}">
      <formula1>"Sold,Pending Sale,Active,Under Rehab,Listed,Need Sale HUD,Need Purchase HUD"</formula1>
    </dataValidation>
    <dataValidation type="list" allowBlank="1" showErrorMessage="1" sqref="B3:B7 B9 B11:B12 B14:B15 B17:B18 B20 B22:B31" xr:uid="{5CDBC47E-FF2C-4DC8-80A2-90AAFD8933FF}">
      <formula1>"Sold,Pending Sale,Active,Under Rehab,Listed,Need Sale HUD"</formula1>
    </dataValidation>
    <dataValidation type="list" allowBlank="1" showErrorMessage="1" sqref="B10 B16 B21" xr:uid="{47F4A5D9-B03B-441E-A41C-F6DA15BC10F7}">
      <formula1>"Sold,Pending Sale,Active,Under Rehab,Listed"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516E-3587-47A0-AF7D-924A7896D72D}">
  <sheetPr>
    <tabColor rgb="FF0000FF"/>
    <outlinePr summaryBelow="0" summaryRight="0"/>
  </sheetPr>
  <dimension ref="A1:O980"/>
  <sheetViews>
    <sheetView workbookViewId="0">
      <pane ySplit="3" topLeftCell="A19" activePane="bottomLeft" state="frozen"/>
      <selection pane="bottomLeft" activeCell="C55" sqref="C55"/>
    </sheetView>
  </sheetViews>
  <sheetFormatPr defaultColWidth="12.6640625" defaultRowHeight="15" customHeight="1" x14ac:dyDescent="0.3"/>
  <cols>
    <col min="1" max="13" width="12.6640625" style="1"/>
    <col min="14" max="14" width="24.44140625" style="1" customWidth="1"/>
    <col min="15" max="16384" width="12.6640625" style="1"/>
  </cols>
  <sheetData>
    <row r="1" spans="1:15" ht="15" customHeight="1" x14ac:dyDescent="0.4">
      <c r="A1" s="143" t="s">
        <v>0</v>
      </c>
      <c r="B1" s="144"/>
      <c r="C1" s="144"/>
      <c r="D1" s="144"/>
      <c r="E1" s="144"/>
      <c r="F1" s="2"/>
      <c r="G1" s="3">
        <v>45545</v>
      </c>
      <c r="H1" s="4"/>
      <c r="I1" s="2"/>
      <c r="J1" s="5"/>
    </row>
    <row r="2" spans="1:15" ht="15" customHeight="1" x14ac:dyDescent="0.3">
      <c r="A2" s="6"/>
      <c r="B2" s="6"/>
      <c r="C2" s="6"/>
      <c r="D2" s="7"/>
      <c r="E2" s="7"/>
      <c r="F2" s="2"/>
      <c r="G2" s="7"/>
      <c r="H2" s="8"/>
      <c r="I2" s="2"/>
      <c r="J2" s="5"/>
    </row>
    <row r="3" spans="1:15" ht="15" customHeight="1" x14ac:dyDescent="0.35">
      <c r="A3" s="9" t="s">
        <v>1</v>
      </c>
      <c r="B3" s="9" t="s">
        <v>2</v>
      </c>
      <c r="C3" s="9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9</v>
      </c>
    </row>
    <row r="4" spans="1:15" ht="15" customHeight="1" x14ac:dyDescent="0.3">
      <c r="A4" s="11" t="s">
        <v>10</v>
      </c>
      <c r="B4" s="12">
        <v>34667255</v>
      </c>
      <c r="C4" s="13" t="s">
        <v>11</v>
      </c>
      <c r="D4" s="2">
        <v>465700</v>
      </c>
      <c r="E4" s="2">
        <v>0</v>
      </c>
      <c r="F4" s="2">
        <f t="shared" ref="F4:F5" si="0">E4+D4</f>
        <v>465700</v>
      </c>
      <c r="G4" s="2">
        <v>621000</v>
      </c>
      <c r="H4" s="14">
        <v>0.1045</v>
      </c>
      <c r="I4" s="2">
        <v>4055.47</v>
      </c>
      <c r="J4" s="5">
        <f t="shared" ref="J4:J41" si="1">D4*H4/12</f>
        <v>4055.4708333333333</v>
      </c>
    </row>
    <row r="5" spans="1:15" ht="15" customHeight="1" x14ac:dyDescent="0.3">
      <c r="A5" s="11" t="s">
        <v>12</v>
      </c>
      <c r="B5" s="12">
        <v>34734100</v>
      </c>
      <c r="C5" s="13" t="s">
        <v>11</v>
      </c>
      <c r="D5" s="2">
        <v>143000</v>
      </c>
      <c r="E5" s="2">
        <v>0</v>
      </c>
      <c r="F5" s="2">
        <f t="shared" si="0"/>
        <v>143000</v>
      </c>
      <c r="G5" s="2">
        <v>200000</v>
      </c>
      <c r="H5" s="14">
        <v>0.1045</v>
      </c>
      <c r="I5" s="2">
        <v>1245.29</v>
      </c>
      <c r="J5" s="5">
        <f t="shared" si="1"/>
        <v>1245.2916666666667</v>
      </c>
      <c r="M5" s="145" t="s">
        <v>51</v>
      </c>
      <c r="N5" s="144"/>
      <c r="O5" s="146">
        <f>SUMIF(C:C,"Current",J:J)</f>
        <v>66216.393333333326</v>
      </c>
    </row>
    <row r="6" spans="1:15" ht="15" customHeight="1" x14ac:dyDescent="0.3">
      <c r="A6" s="11" t="s">
        <v>13</v>
      </c>
      <c r="B6" s="12">
        <v>34795445</v>
      </c>
      <c r="C6" s="13" t="s">
        <v>11</v>
      </c>
      <c r="D6" s="2">
        <v>158000</v>
      </c>
      <c r="E6" s="2">
        <f>223100-158000</f>
        <v>65100</v>
      </c>
      <c r="F6" s="2">
        <f t="shared" ref="F6:F7" si="2">D6+E6</f>
        <v>223100</v>
      </c>
      <c r="G6" s="2">
        <v>325000</v>
      </c>
      <c r="H6" s="14">
        <v>0.1045</v>
      </c>
      <c r="I6" s="2"/>
      <c r="J6" s="5">
        <f t="shared" si="1"/>
        <v>1375.9166666666667</v>
      </c>
      <c r="M6" s="144"/>
      <c r="N6" s="144"/>
      <c r="O6" s="144"/>
    </row>
    <row r="7" spans="1:15" ht="15" customHeight="1" x14ac:dyDescent="0.3">
      <c r="A7" s="11" t="s">
        <v>14</v>
      </c>
      <c r="B7" s="12">
        <v>34766800</v>
      </c>
      <c r="C7" s="13" t="s">
        <v>11</v>
      </c>
      <c r="D7" s="2">
        <v>312740</v>
      </c>
      <c r="E7" s="2">
        <v>33260</v>
      </c>
      <c r="F7" s="2">
        <f t="shared" si="2"/>
        <v>346000</v>
      </c>
      <c r="G7" s="2">
        <v>465000</v>
      </c>
      <c r="H7" s="14">
        <v>0.1045</v>
      </c>
      <c r="I7" s="2">
        <v>2723.44</v>
      </c>
      <c r="J7" s="5">
        <f t="shared" si="1"/>
        <v>2723.4441666666667</v>
      </c>
      <c r="M7" s="144"/>
      <c r="N7" s="144"/>
      <c r="O7" s="144"/>
    </row>
    <row r="8" spans="1:15" ht="15" customHeight="1" x14ac:dyDescent="0.3">
      <c r="A8" s="11" t="s">
        <v>15</v>
      </c>
      <c r="B8" s="12">
        <v>34679302</v>
      </c>
      <c r="C8" s="13" t="s">
        <v>11</v>
      </c>
      <c r="D8" s="2">
        <v>275000</v>
      </c>
      <c r="E8" s="2">
        <v>0</v>
      </c>
      <c r="F8" s="2">
        <f t="shared" ref="F8:F9" si="3">E8+D8</f>
        <v>275000</v>
      </c>
      <c r="G8" s="2">
        <v>385000</v>
      </c>
      <c r="H8" s="14">
        <v>0.1045</v>
      </c>
      <c r="I8" s="2">
        <v>2394.79</v>
      </c>
      <c r="J8" s="5">
        <f t="shared" si="1"/>
        <v>2394.7916666666665</v>
      </c>
      <c r="M8" s="144"/>
      <c r="N8" s="144"/>
      <c r="O8" s="144"/>
    </row>
    <row r="9" spans="1:15" ht="15" customHeight="1" x14ac:dyDescent="0.3">
      <c r="A9" s="11" t="s">
        <v>16</v>
      </c>
      <c r="B9" s="12">
        <v>34754776</v>
      </c>
      <c r="C9" s="13" t="s">
        <v>11</v>
      </c>
      <c r="D9" s="2">
        <v>275000</v>
      </c>
      <c r="E9" s="2">
        <f>406000-275000</f>
        <v>131000</v>
      </c>
      <c r="F9" s="2">
        <f t="shared" si="3"/>
        <v>406000</v>
      </c>
      <c r="G9" s="2">
        <v>558000</v>
      </c>
      <c r="H9" s="14">
        <v>0.1045</v>
      </c>
      <c r="I9" s="2">
        <v>2394.79</v>
      </c>
      <c r="J9" s="5">
        <f t="shared" si="1"/>
        <v>2394.7916666666665</v>
      </c>
    </row>
    <row r="10" spans="1:15" ht="15" customHeight="1" x14ac:dyDescent="0.3">
      <c r="A10" s="11" t="s">
        <v>17</v>
      </c>
      <c r="B10" s="12">
        <v>34768400</v>
      </c>
      <c r="C10" s="13" t="s">
        <v>11</v>
      </c>
      <c r="D10" s="2">
        <v>198700</v>
      </c>
      <c r="E10" s="2">
        <v>0</v>
      </c>
      <c r="F10" s="2">
        <v>0</v>
      </c>
      <c r="G10" s="2">
        <v>255000</v>
      </c>
      <c r="H10" s="14">
        <v>9.5000000000000001E-2</v>
      </c>
      <c r="I10" s="2">
        <v>1730.35</v>
      </c>
      <c r="J10" s="5">
        <f t="shared" si="1"/>
        <v>1573.0416666666667</v>
      </c>
    </row>
    <row r="11" spans="1:15" ht="15" customHeight="1" x14ac:dyDescent="0.3">
      <c r="A11" s="11" t="s">
        <v>18</v>
      </c>
      <c r="B11" s="12">
        <v>34751267</v>
      </c>
      <c r="C11" s="13" t="s">
        <v>11</v>
      </c>
      <c r="D11" s="2">
        <v>350000</v>
      </c>
      <c r="E11" s="2">
        <v>63100</v>
      </c>
      <c r="F11" s="2">
        <f t="shared" ref="F11:F12" si="4">E11+D11</f>
        <v>413100</v>
      </c>
      <c r="G11" s="2">
        <v>551000</v>
      </c>
      <c r="H11" s="14">
        <v>0.1045</v>
      </c>
      <c r="I11" s="2">
        <v>3047.92</v>
      </c>
      <c r="J11" s="5">
        <f t="shared" si="1"/>
        <v>3047.9166666666665</v>
      </c>
    </row>
    <row r="12" spans="1:15" ht="15" customHeight="1" x14ac:dyDescent="0.3">
      <c r="A12" s="11" t="s">
        <v>19</v>
      </c>
      <c r="B12" s="12">
        <v>34750254</v>
      </c>
      <c r="C12" s="13" t="s">
        <v>11</v>
      </c>
      <c r="D12" s="2">
        <v>120000</v>
      </c>
      <c r="E12" s="2">
        <v>30000</v>
      </c>
      <c r="F12" s="2">
        <f t="shared" si="4"/>
        <v>150000</v>
      </c>
      <c r="G12" s="2">
        <v>200000</v>
      </c>
      <c r="H12" s="14">
        <v>0.1045</v>
      </c>
      <c r="I12" s="2">
        <v>1045</v>
      </c>
      <c r="J12" s="5">
        <f t="shared" si="1"/>
        <v>1045</v>
      </c>
    </row>
    <row r="13" spans="1:15" ht="15" customHeight="1" x14ac:dyDescent="0.3">
      <c r="A13" s="11" t="s">
        <v>20</v>
      </c>
      <c r="B13" s="12">
        <v>34774401</v>
      </c>
      <c r="C13" s="13" t="s">
        <v>11</v>
      </c>
      <c r="D13" s="2">
        <v>430000</v>
      </c>
      <c r="E13" s="2">
        <f>560000-430000</f>
        <v>130000</v>
      </c>
      <c r="F13" s="2">
        <f>D13+E13</f>
        <v>560000</v>
      </c>
      <c r="G13" s="2">
        <v>758000</v>
      </c>
      <c r="H13" s="14">
        <v>0.1045</v>
      </c>
      <c r="I13" s="2">
        <v>3744.58</v>
      </c>
      <c r="J13" s="5">
        <f t="shared" si="1"/>
        <v>3744.5833333333335</v>
      </c>
    </row>
    <row r="14" spans="1:15" ht="15" customHeight="1" x14ac:dyDescent="0.3">
      <c r="A14" s="11" t="s">
        <v>21</v>
      </c>
      <c r="B14" s="12">
        <v>34729218</v>
      </c>
      <c r="C14" s="13" t="s">
        <v>11</v>
      </c>
      <c r="D14" s="2">
        <v>190000</v>
      </c>
      <c r="E14" s="2">
        <v>0</v>
      </c>
      <c r="F14" s="2">
        <f t="shared" ref="F14:F16" si="5">E14+D14</f>
        <v>190000</v>
      </c>
      <c r="G14" s="2">
        <v>255000</v>
      </c>
      <c r="H14" s="14">
        <v>0.1045</v>
      </c>
      <c r="I14" s="2">
        <v>1654.58</v>
      </c>
      <c r="J14" s="5">
        <f t="shared" si="1"/>
        <v>1654.5833333333333</v>
      </c>
    </row>
    <row r="15" spans="1:15" ht="15" customHeight="1" x14ac:dyDescent="0.3">
      <c r="A15" s="11" t="s">
        <v>22</v>
      </c>
      <c r="B15" s="12">
        <v>34734077</v>
      </c>
      <c r="C15" s="13" t="s">
        <v>11</v>
      </c>
      <c r="D15" s="2">
        <v>178850</v>
      </c>
      <c r="E15" s="2">
        <v>27250</v>
      </c>
      <c r="F15" s="2">
        <f t="shared" si="5"/>
        <v>206100</v>
      </c>
      <c r="G15" s="2">
        <v>275000</v>
      </c>
      <c r="H15" s="14">
        <v>0.1045</v>
      </c>
      <c r="I15" s="2">
        <v>1557.49</v>
      </c>
      <c r="J15" s="5">
        <f t="shared" si="1"/>
        <v>1557.4854166666667</v>
      </c>
    </row>
    <row r="16" spans="1:15" ht="15" customHeight="1" x14ac:dyDescent="0.3">
      <c r="A16" s="13" t="s">
        <v>23</v>
      </c>
      <c r="B16" s="12">
        <v>34729238</v>
      </c>
      <c r="C16" s="13" t="s">
        <v>11</v>
      </c>
      <c r="D16" s="2">
        <v>288600</v>
      </c>
      <c r="E16" s="2">
        <v>0</v>
      </c>
      <c r="F16" s="2">
        <f t="shared" si="5"/>
        <v>288600</v>
      </c>
      <c r="G16" s="2">
        <v>385000</v>
      </c>
      <c r="H16" s="14">
        <v>0.1045</v>
      </c>
      <c r="I16" s="2">
        <v>2513.23</v>
      </c>
      <c r="J16" s="5">
        <f t="shared" si="1"/>
        <v>2513.2249999999999</v>
      </c>
    </row>
    <row r="17" spans="1:10" ht="15" customHeight="1" x14ac:dyDescent="0.3">
      <c r="A17" s="11" t="s">
        <v>24</v>
      </c>
      <c r="B17" s="12">
        <v>34788591</v>
      </c>
      <c r="C17" s="13" t="s">
        <v>11</v>
      </c>
      <c r="D17" s="2">
        <v>180000</v>
      </c>
      <c r="E17" s="2">
        <f>216360-180000</f>
        <v>36360</v>
      </c>
      <c r="F17" s="2">
        <f>D17+E17</f>
        <v>216360</v>
      </c>
      <c r="G17" s="2">
        <v>325000</v>
      </c>
      <c r="H17" s="14">
        <v>0.1045</v>
      </c>
      <c r="I17" s="2">
        <v>1567.5</v>
      </c>
      <c r="J17" s="5">
        <f t="shared" si="1"/>
        <v>1567.5</v>
      </c>
    </row>
    <row r="18" spans="1:10" ht="15" customHeight="1" x14ac:dyDescent="0.3">
      <c r="A18" s="11" t="s">
        <v>25</v>
      </c>
      <c r="B18" s="12">
        <v>34736017</v>
      </c>
      <c r="C18" s="13" t="s">
        <v>11</v>
      </c>
      <c r="D18" s="2">
        <v>360000</v>
      </c>
      <c r="E18" s="2">
        <v>0</v>
      </c>
      <c r="F18" s="2">
        <f>E18+D18</f>
        <v>360000</v>
      </c>
      <c r="G18" s="2">
        <v>480000</v>
      </c>
      <c r="H18" s="14">
        <v>0.1045</v>
      </c>
      <c r="I18" s="2">
        <v>2850</v>
      </c>
      <c r="J18" s="5">
        <f t="shared" si="1"/>
        <v>3135</v>
      </c>
    </row>
    <row r="19" spans="1:10" ht="15" customHeight="1" x14ac:dyDescent="0.3">
      <c r="A19" s="11" t="s">
        <v>26</v>
      </c>
      <c r="B19" s="12">
        <v>34717619</v>
      </c>
      <c r="C19" s="13" t="s">
        <v>11</v>
      </c>
      <c r="D19" s="2">
        <v>136700</v>
      </c>
      <c r="E19" s="2">
        <v>1300</v>
      </c>
      <c r="F19" s="2">
        <f>D19+E19</f>
        <v>138000</v>
      </c>
      <c r="G19" s="2">
        <v>184000</v>
      </c>
      <c r="H19" s="14">
        <v>0.1045</v>
      </c>
      <c r="I19" s="2">
        <v>1190.43</v>
      </c>
      <c r="J19" s="5">
        <f t="shared" si="1"/>
        <v>1190.4291666666666</v>
      </c>
    </row>
    <row r="20" spans="1:10" ht="15" customHeight="1" x14ac:dyDescent="0.3">
      <c r="A20" s="11" t="s">
        <v>27</v>
      </c>
      <c r="B20" s="12">
        <v>34607961</v>
      </c>
      <c r="C20" s="13" t="s">
        <v>11</v>
      </c>
      <c r="D20" s="2">
        <v>228170</v>
      </c>
      <c r="E20" s="2">
        <v>36830</v>
      </c>
      <c r="F20" s="2">
        <f t="shared" ref="F20:F22" si="6">E20+D20</f>
        <v>265000</v>
      </c>
      <c r="G20" s="2">
        <v>380000</v>
      </c>
      <c r="H20" s="14">
        <v>0.1045</v>
      </c>
      <c r="I20" s="2">
        <v>1986.98</v>
      </c>
      <c r="J20" s="5">
        <f t="shared" si="1"/>
        <v>1986.9804166666665</v>
      </c>
    </row>
    <row r="21" spans="1:10" ht="15" customHeight="1" x14ac:dyDescent="0.3">
      <c r="A21" s="11" t="s">
        <v>28</v>
      </c>
      <c r="B21" s="12">
        <v>34636788</v>
      </c>
      <c r="C21" s="13" t="s">
        <v>11</v>
      </c>
      <c r="D21" s="2">
        <v>314900</v>
      </c>
      <c r="E21" s="2">
        <v>0</v>
      </c>
      <c r="F21" s="2">
        <f t="shared" si="6"/>
        <v>314900</v>
      </c>
      <c r="G21" s="2">
        <v>425000</v>
      </c>
      <c r="H21" s="14">
        <v>0.1045</v>
      </c>
      <c r="I21" s="2">
        <v>2742.25</v>
      </c>
      <c r="J21" s="5">
        <f t="shared" si="1"/>
        <v>2742.2541666666662</v>
      </c>
    </row>
    <row r="22" spans="1:10" ht="15" customHeight="1" x14ac:dyDescent="0.3">
      <c r="A22" s="11" t="s">
        <v>29</v>
      </c>
      <c r="B22" s="12">
        <v>34745529</v>
      </c>
      <c r="C22" s="13" t="s">
        <v>11</v>
      </c>
      <c r="D22" s="2">
        <v>113000</v>
      </c>
      <c r="E22" s="2">
        <v>60000</v>
      </c>
      <c r="F22" s="2">
        <f t="shared" si="6"/>
        <v>173000</v>
      </c>
      <c r="G22" s="2">
        <v>235000</v>
      </c>
      <c r="H22" s="14">
        <v>0.1045</v>
      </c>
      <c r="I22" s="2">
        <v>984.04</v>
      </c>
      <c r="J22" s="5">
        <f t="shared" si="1"/>
        <v>984.04166666666663</v>
      </c>
    </row>
    <row r="23" spans="1:10" ht="15" customHeight="1" x14ac:dyDescent="0.3">
      <c r="A23" s="15" t="s">
        <v>30</v>
      </c>
      <c r="B23" s="12">
        <v>34765811</v>
      </c>
      <c r="C23" s="13" t="s">
        <v>11</v>
      </c>
      <c r="D23" s="2">
        <v>190000</v>
      </c>
      <c r="E23" s="2">
        <f>234100-190000</f>
        <v>44100</v>
      </c>
      <c r="F23" s="2">
        <f>D23+E23</f>
        <v>234100</v>
      </c>
      <c r="G23" s="2">
        <v>323000</v>
      </c>
      <c r="H23" s="14">
        <v>0.1045</v>
      </c>
      <c r="I23" s="2">
        <v>1654.58</v>
      </c>
      <c r="J23" s="5">
        <f t="shared" si="1"/>
        <v>1654.5833333333333</v>
      </c>
    </row>
    <row r="24" spans="1:10" ht="15" customHeight="1" x14ac:dyDescent="0.3">
      <c r="A24" s="11" t="s">
        <v>31</v>
      </c>
      <c r="B24" s="12">
        <v>34601083</v>
      </c>
      <c r="C24" s="13" t="s">
        <v>11</v>
      </c>
      <c r="D24" s="2">
        <v>307000</v>
      </c>
      <c r="E24" s="2">
        <v>0</v>
      </c>
      <c r="F24" s="2">
        <f>E24+D24</f>
        <v>307000</v>
      </c>
      <c r="G24" s="2">
        <v>410000</v>
      </c>
      <c r="H24" s="14">
        <v>0.1045</v>
      </c>
      <c r="I24" s="2">
        <v>2673.46</v>
      </c>
      <c r="J24" s="5">
        <f t="shared" si="1"/>
        <v>2673.4583333333335</v>
      </c>
    </row>
    <row r="25" spans="1:10" ht="15" customHeight="1" x14ac:dyDescent="0.3">
      <c r="A25" s="11" t="s">
        <v>32</v>
      </c>
      <c r="B25" s="12">
        <v>34738354</v>
      </c>
      <c r="C25" s="13" t="s">
        <v>11</v>
      </c>
      <c r="D25" s="2">
        <v>399000</v>
      </c>
      <c r="E25" s="2">
        <f>446200-399000</f>
        <v>47200</v>
      </c>
      <c r="F25" s="2">
        <f>D25+E25</f>
        <v>446200</v>
      </c>
      <c r="G25" s="2">
        <v>595000</v>
      </c>
      <c r="H25" s="14">
        <v>0.1045</v>
      </c>
      <c r="I25" s="2">
        <v>3474.63</v>
      </c>
      <c r="J25" s="5">
        <f t="shared" si="1"/>
        <v>3474.625</v>
      </c>
    </row>
    <row r="26" spans="1:10" ht="15" customHeight="1" x14ac:dyDescent="0.3">
      <c r="A26" s="11" t="s">
        <v>33</v>
      </c>
      <c r="B26" s="12">
        <v>34721043</v>
      </c>
      <c r="C26" s="13" t="s">
        <v>11</v>
      </c>
      <c r="D26" s="2">
        <v>450000</v>
      </c>
      <c r="E26" s="2">
        <v>0</v>
      </c>
      <c r="F26" s="2">
        <f t="shared" ref="F26:F27" si="7">E26+D26</f>
        <v>450000</v>
      </c>
      <c r="G26" s="2">
        <v>625000</v>
      </c>
      <c r="H26" s="14">
        <v>0.1045</v>
      </c>
      <c r="I26" s="2">
        <v>3918.75</v>
      </c>
      <c r="J26" s="5">
        <f t="shared" si="1"/>
        <v>3918.75</v>
      </c>
    </row>
    <row r="27" spans="1:10" ht="15" customHeight="1" x14ac:dyDescent="0.3">
      <c r="A27" s="11" t="s">
        <v>34</v>
      </c>
      <c r="B27" s="12">
        <v>34733002</v>
      </c>
      <c r="C27" s="13" t="s">
        <v>11</v>
      </c>
      <c r="D27" s="2">
        <v>117000</v>
      </c>
      <c r="E27" s="2">
        <v>70000</v>
      </c>
      <c r="F27" s="2">
        <f t="shared" si="7"/>
        <v>187000</v>
      </c>
      <c r="G27" s="2">
        <v>250000</v>
      </c>
      <c r="H27" s="14">
        <v>0.1045</v>
      </c>
      <c r="I27" s="2">
        <v>926.25</v>
      </c>
      <c r="J27" s="5">
        <f t="shared" si="1"/>
        <v>1018.875</v>
      </c>
    </row>
    <row r="28" spans="1:10" ht="15" customHeight="1" x14ac:dyDescent="0.3">
      <c r="A28" s="11" t="s">
        <v>35</v>
      </c>
      <c r="B28" s="12">
        <v>34788595</v>
      </c>
      <c r="C28" s="13" t="s">
        <v>11</v>
      </c>
      <c r="D28" s="2">
        <v>130000</v>
      </c>
      <c r="E28" s="2">
        <f>205000-130000</f>
        <v>75000</v>
      </c>
      <c r="F28" s="2">
        <f t="shared" ref="F28:F29" si="8">D28+E28</f>
        <v>205000</v>
      </c>
      <c r="G28" s="2">
        <v>295000</v>
      </c>
      <c r="H28" s="14">
        <v>0.1045</v>
      </c>
      <c r="I28" s="2">
        <v>1132.08</v>
      </c>
      <c r="J28" s="5">
        <f t="shared" si="1"/>
        <v>1132.0833333333333</v>
      </c>
    </row>
    <row r="29" spans="1:10" ht="15" customHeight="1" x14ac:dyDescent="0.3">
      <c r="A29" s="11" t="s">
        <v>36</v>
      </c>
      <c r="B29" s="12">
        <v>34756080</v>
      </c>
      <c r="C29" s="13" t="s">
        <v>11</v>
      </c>
      <c r="D29" s="2">
        <v>222650</v>
      </c>
      <c r="E29" s="2">
        <v>19350</v>
      </c>
      <c r="F29" s="2">
        <f t="shared" si="8"/>
        <v>242000</v>
      </c>
      <c r="G29" s="2">
        <v>325000</v>
      </c>
      <c r="H29" s="14">
        <v>0.1045</v>
      </c>
      <c r="I29" s="2">
        <v>1938.91</v>
      </c>
      <c r="J29" s="5">
        <f t="shared" si="1"/>
        <v>1938.9104166666666</v>
      </c>
    </row>
    <row r="30" spans="1:10" ht="15" customHeight="1" x14ac:dyDescent="0.3">
      <c r="A30" s="11" t="s">
        <v>37</v>
      </c>
      <c r="B30" s="12">
        <v>34754315</v>
      </c>
      <c r="C30" s="13" t="s">
        <v>11</v>
      </c>
      <c r="D30" s="2">
        <v>256125</v>
      </c>
      <c r="E30" s="2">
        <v>38475</v>
      </c>
      <c r="F30" s="2">
        <f>E30+D30</f>
        <v>294600</v>
      </c>
      <c r="G30" s="2">
        <v>393000</v>
      </c>
      <c r="H30" s="14">
        <v>0.1045</v>
      </c>
      <c r="I30" s="2">
        <v>2230.42</v>
      </c>
      <c r="J30" s="5">
        <f t="shared" si="1"/>
        <v>2230.421875</v>
      </c>
    </row>
    <row r="31" spans="1:10" ht="15" customHeight="1" x14ac:dyDescent="0.3">
      <c r="A31" s="11" t="s">
        <v>38</v>
      </c>
      <c r="B31" s="12">
        <v>34765568</v>
      </c>
      <c r="C31" s="13" t="s">
        <v>11</v>
      </c>
      <c r="D31" s="2">
        <v>222000</v>
      </c>
      <c r="E31" s="2">
        <v>63000</v>
      </c>
      <c r="F31" s="2">
        <f t="shared" ref="F31:F32" si="9">D31+E31</f>
        <v>285000</v>
      </c>
      <c r="G31" s="2">
        <v>380000</v>
      </c>
      <c r="H31" s="14">
        <v>0.1045</v>
      </c>
      <c r="I31" s="2">
        <v>1933.25</v>
      </c>
      <c r="J31" s="5">
        <f t="shared" si="1"/>
        <v>1933.25</v>
      </c>
    </row>
    <row r="32" spans="1:10" ht="15" customHeight="1" x14ac:dyDescent="0.3">
      <c r="A32" s="11" t="s">
        <v>39</v>
      </c>
      <c r="B32" s="12">
        <v>34768381</v>
      </c>
      <c r="C32" s="13" t="s">
        <v>11</v>
      </c>
      <c r="D32" s="2">
        <v>210000</v>
      </c>
      <c r="E32" s="2">
        <f>243700-210000</f>
        <v>33700</v>
      </c>
      <c r="F32" s="2">
        <f t="shared" si="9"/>
        <v>243700</v>
      </c>
      <c r="G32" s="2">
        <v>325000</v>
      </c>
      <c r="H32" s="14">
        <v>0.1045</v>
      </c>
      <c r="I32" s="2">
        <v>1828.75</v>
      </c>
      <c r="J32" s="5">
        <f t="shared" si="1"/>
        <v>1828.75</v>
      </c>
    </row>
    <row r="33" spans="1:10" ht="14.4" x14ac:dyDescent="0.3">
      <c r="A33" s="11" t="s">
        <v>40</v>
      </c>
      <c r="B33" s="12">
        <v>34741300</v>
      </c>
      <c r="C33" s="13" t="s">
        <v>11</v>
      </c>
      <c r="D33" s="2">
        <v>199725</v>
      </c>
      <c r="E33" s="2">
        <v>6475</v>
      </c>
      <c r="F33" s="2">
        <f t="shared" ref="F33:F34" si="10">E33+D33</f>
        <v>206200</v>
      </c>
      <c r="G33" s="2">
        <v>275000</v>
      </c>
      <c r="H33" s="14">
        <v>0.1045</v>
      </c>
      <c r="I33" s="2">
        <v>1739.27</v>
      </c>
      <c r="J33" s="5">
        <f t="shared" si="1"/>
        <v>1739.2718750000001</v>
      </c>
    </row>
    <row r="34" spans="1:10" ht="14.4" x14ac:dyDescent="0.3">
      <c r="A34" s="11" t="s">
        <v>41</v>
      </c>
      <c r="B34" s="12">
        <v>34763590</v>
      </c>
      <c r="C34" s="13" t="s">
        <v>11</v>
      </c>
      <c r="D34" s="2">
        <v>200000</v>
      </c>
      <c r="E34" s="2">
        <v>65000</v>
      </c>
      <c r="F34" s="2">
        <f t="shared" si="10"/>
        <v>265000</v>
      </c>
      <c r="G34" s="2">
        <v>360000</v>
      </c>
      <c r="H34" s="14">
        <v>0.1045</v>
      </c>
      <c r="I34" s="2">
        <v>1741.67</v>
      </c>
      <c r="J34" s="5">
        <f t="shared" si="1"/>
        <v>1741.6666666666667</v>
      </c>
    </row>
    <row r="35" spans="1:10" ht="14.4" x14ac:dyDescent="0.3">
      <c r="A35" s="16" t="s">
        <v>42</v>
      </c>
      <c r="B35" s="17">
        <v>34774365</v>
      </c>
      <c r="C35" s="18" t="s">
        <v>43</v>
      </c>
      <c r="D35" s="19">
        <v>362500</v>
      </c>
      <c r="E35" s="19">
        <f>508500-362500</f>
        <v>146000</v>
      </c>
      <c r="F35" s="20">
        <f t="shared" ref="F35:F36" si="11">D35+E35</f>
        <v>508500</v>
      </c>
      <c r="G35" s="19">
        <v>678000</v>
      </c>
      <c r="H35" s="21">
        <v>0.1045</v>
      </c>
      <c r="I35" s="2"/>
      <c r="J35" s="5">
        <f t="shared" si="1"/>
        <v>3156.7708333333335</v>
      </c>
    </row>
    <row r="36" spans="1:10" ht="14.4" x14ac:dyDescent="0.3">
      <c r="A36" s="16" t="s">
        <v>44</v>
      </c>
      <c r="B36" s="17">
        <v>34795492</v>
      </c>
      <c r="C36" s="18" t="s">
        <v>43</v>
      </c>
      <c r="D36" s="19">
        <v>269000</v>
      </c>
      <c r="E36" s="19">
        <v>45000</v>
      </c>
      <c r="F36" s="20">
        <f t="shared" si="11"/>
        <v>314000</v>
      </c>
      <c r="G36" s="19">
        <v>425000</v>
      </c>
      <c r="H36" s="21">
        <v>0.1045</v>
      </c>
      <c r="I36" s="2"/>
      <c r="J36" s="5">
        <f t="shared" si="1"/>
        <v>2342.5416666666665</v>
      </c>
    </row>
    <row r="37" spans="1:10" ht="14.4" x14ac:dyDescent="0.3">
      <c r="A37" s="16" t="s">
        <v>45</v>
      </c>
      <c r="B37" s="17">
        <v>34803404</v>
      </c>
      <c r="C37" s="18" t="s">
        <v>43</v>
      </c>
      <c r="D37" s="19">
        <v>150000</v>
      </c>
      <c r="E37" s="19">
        <f>275000-150000</f>
        <v>125000</v>
      </c>
      <c r="F37" s="20">
        <f t="shared" ref="F37:F38" si="12">E37+D37</f>
        <v>275000</v>
      </c>
      <c r="G37" s="19">
        <v>391000</v>
      </c>
      <c r="H37" s="21">
        <v>0.1045</v>
      </c>
      <c r="I37" s="2"/>
      <c r="J37" s="5">
        <f t="shared" si="1"/>
        <v>1306.25</v>
      </c>
    </row>
    <row r="38" spans="1:10" ht="14.4" x14ac:dyDescent="0.3">
      <c r="A38" s="16" t="s">
        <v>46</v>
      </c>
      <c r="B38" s="17">
        <v>34799698</v>
      </c>
      <c r="C38" s="18" t="s">
        <v>43</v>
      </c>
      <c r="D38" s="19">
        <v>97400</v>
      </c>
      <c r="E38" s="19">
        <v>50000</v>
      </c>
      <c r="F38" s="20">
        <f t="shared" si="12"/>
        <v>147400</v>
      </c>
      <c r="G38" s="19">
        <v>205000</v>
      </c>
      <c r="H38" s="21">
        <v>0.1045</v>
      </c>
      <c r="I38" s="2"/>
      <c r="J38" s="5">
        <f t="shared" si="1"/>
        <v>848.19166666666661</v>
      </c>
    </row>
    <row r="39" spans="1:10" ht="14.4" x14ac:dyDescent="0.3">
      <c r="A39" s="16" t="s">
        <v>47</v>
      </c>
      <c r="B39" s="17">
        <v>34807424</v>
      </c>
      <c r="C39" s="18" t="s">
        <v>43</v>
      </c>
      <c r="D39" s="19">
        <v>70000</v>
      </c>
      <c r="E39" s="19">
        <f>127400-70000</f>
        <v>57400</v>
      </c>
      <c r="F39" s="20">
        <f t="shared" ref="F39:F41" si="13">D39+E39</f>
        <v>127400</v>
      </c>
      <c r="G39" s="19">
        <v>196000</v>
      </c>
      <c r="H39" s="21">
        <v>0.1045</v>
      </c>
      <c r="I39" s="2"/>
      <c r="J39" s="5">
        <f t="shared" si="1"/>
        <v>609.58333333333337</v>
      </c>
    </row>
    <row r="40" spans="1:10" ht="14.4" x14ac:dyDescent="0.3">
      <c r="A40" s="22" t="s">
        <v>48</v>
      </c>
      <c r="B40" s="23">
        <v>34807457</v>
      </c>
      <c r="C40" s="24" t="s">
        <v>49</v>
      </c>
      <c r="D40" s="25">
        <v>120000</v>
      </c>
      <c r="E40" s="25">
        <f>170700-120000</f>
        <v>50700</v>
      </c>
      <c r="F40" s="26">
        <f t="shared" si="13"/>
        <v>170700</v>
      </c>
      <c r="G40" s="25">
        <v>230000</v>
      </c>
      <c r="H40" s="27">
        <v>0.1045</v>
      </c>
      <c r="I40" s="26"/>
      <c r="J40" s="5">
        <f t="shared" si="1"/>
        <v>1045</v>
      </c>
    </row>
    <row r="41" spans="1:10" ht="14.4" x14ac:dyDescent="0.3">
      <c r="A41" s="16" t="s">
        <v>50</v>
      </c>
      <c r="B41" s="17">
        <v>34807392</v>
      </c>
      <c r="C41" s="18" t="s">
        <v>43</v>
      </c>
      <c r="D41" s="19">
        <v>310000</v>
      </c>
      <c r="E41" s="19">
        <v>50000</v>
      </c>
      <c r="F41" s="20">
        <f t="shared" si="13"/>
        <v>360000</v>
      </c>
      <c r="G41" s="19">
        <v>450000</v>
      </c>
      <c r="H41" s="21">
        <v>0.1045</v>
      </c>
      <c r="I41" s="2"/>
      <c r="J41" s="5">
        <f t="shared" si="1"/>
        <v>2699.5833333333335</v>
      </c>
    </row>
    <row r="42" spans="1:10" ht="13.8" x14ac:dyDescent="0.3"/>
    <row r="43" spans="1:10" ht="13.8" x14ac:dyDescent="0.3"/>
    <row r="44" spans="1:10" ht="13.8" x14ac:dyDescent="0.3"/>
    <row r="45" spans="1:10" ht="13.8" x14ac:dyDescent="0.3"/>
    <row r="46" spans="1:10" ht="13.8" x14ac:dyDescent="0.3"/>
    <row r="47" spans="1:10" ht="13.8" x14ac:dyDescent="0.3"/>
    <row r="48" spans="1:10" ht="13.8" x14ac:dyDescent="0.3"/>
    <row r="49" ht="13.8" x14ac:dyDescent="0.3"/>
    <row r="50" ht="13.8" x14ac:dyDescent="0.3"/>
    <row r="51" ht="13.8" x14ac:dyDescent="0.3"/>
    <row r="52" ht="13.8" x14ac:dyDescent="0.3"/>
    <row r="53" ht="13.8" x14ac:dyDescent="0.3"/>
    <row r="54" ht="13.8" x14ac:dyDescent="0.3"/>
    <row r="55" ht="13.8" x14ac:dyDescent="0.3"/>
    <row r="56" ht="13.8" x14ac:dyDescent="0.3"/>
    <row r="57" ht="13.8" x14ac:dyDescent="0.3"/>
    <row r="58" ht="13.8" x14ac:dyDescent="0.3"/>
    <row r="59" ht="13.8" x14ac:dyDescent="0.3"/>
    <row r="60" ht="13.8" x14ac:dyDescent="0.3"/>
    <row r="61" ht="13.8" x14ac:dyDescent="0.3"/>
    <row r="62" ht="13.8" x14ac:dyDescent="0.3"/>
    <row r="63" ht="13.8" x14ac:dyDescent="0.3"/>
    <row r="64" ht="13.8" x14ac:dyDescent="0.3"/>
    <row r="65" ht="13.8" x14ac:dyDescent="0.3"/>
    <row r="66" ht="13.8" x14ac:dyDescent="0.3"/>
    <row r="67" ht="13.8" x14ac:dyDescent="0.3"/>
    <row r="68" ht="13.8" x14ac:dyDescent="0.3"/>
    <row r="69" ht="13.8" x14ac:dyDescent="0.3"/>
    <row r="70" ht="13.8" x14ac:dyDescent="0.3"/>
    <row r="71" ht="13.8" x14ac:dyDescent="0.3"/>
    <row r="72" ht="13.8" x14ac:dyDescent="0.3"/>
    <row r="73" ht="13.8" x14ac:dyDescent="0.3"/>
    <row r="74" ht="13.8" x14ac:dyDescent="0.3"/>
    <row r="75" ht="13.8" x14ac:dyDescent="0.3"/>
    <row r="76" ht="13.8" x14ac:dyDescent="0.3"/>
    <row r="77" ht="13.8" x14ac:dyDescent="0.3"/>
    <row r="78" ht="13.8" x14ac:dyDescent="0.3"/>
    <row r="79" ht="13.8" x14ac:dyDescent="0.3"/>
    <row r="80" ht="13.8" x14ac:dyDescent="0.3"/>
    <row r="81" ht="13.8" x14ac:dyDescent="0.3"/>
    <row r="82" ht="13.8" x14ac:dyDescent="0.3"/>
    <row r="83" ht="13.8" x14ac:dyDescent="0.3"/>
    <row r="84" ht="13.8" x14ac:dyDescent="0.3"/>
    <row r="85" ht="13.8" x14ac:dyDescent="0.3"/>
    <row r="86" ht="13.8" x14ac:dyDescent="0.3"/>
    <row r="87" ht="13.8" x14ac:dyDescent="0.3"/>
    <row r="88" ht="13.8" x14ac:dyDescent="0.3"/>
    <row r="89" ht="13.8" x14ac:dyDescent="0.3"/>
    <row r="90" ht="13.8" x14ac:dyDescent="0.3"/>
    <row r="91" ht="13.8" x14ac:dyDescent="0.3"/>
    <row r="92" ht="13.8" x14ac:dyDescent="0.3"/>
    <row r="93" ht="13.8" x14ac:dyDescent="0.3"/>
    <row r="94" ht="13.8" x14ac:dyDescent="0.3"/>
    <row r="95" ht="13.8" x14ac:dyDescent="0.3"/>
    <row r="96" ht="13.8" x14ac:dyDescent="0.3"/>
    <row r="97" ht="13.8" x14ac:dyDescent="0.3"/>
    <row r="98" ht="13.8" x14ac:dyDescent="0.3"/>
    <row r="99" ht="13.8" x14ac:dyDescent="0.3"/>
    <row r="100" ht="13.8" x14ac:dyDescent="0.3"/>
    <row r="101" ht="13.8" x14ac:dyDescent="0.3"/>
    <row r="102" ht="13.8" x14ac:dyDescent="0.3"/>
    <row r="103" ht="13.8" x14ac:dyDescent="0.3"/>
    <row r="104" ht="13.8" x14ac:dyDescent="0.3"/>
    <row r="105" ht="13.8" x14ac:dyDescent="0.3"/>
    <row r="106" ht="13.8" x14ac:dyDescent="0.3"/>
    <row r="107" ht="13.8" x14ac:dyDescent="0.3"/>
    <row r="108" ht="13.8" x14ac:dyDescent="0.3"/>
    <row r="109" ht="13.8" x14ac:dyDescent="0.3"/>
    <row r="110" ht="13.8" x14ac:dyDescent="0.3"/>
    <row r="111" ht="13.8" x14ac:dyDescent="0.3"/>
    <row r="112" ht="13.8" x14ac:dyDescent="0.3"/>
    <row r="113" ht="13.8" x14ac:dyDescent="0.3"/>
    <row r="114" ht="13.8" x14ac:dyDescent="0.3"/>
    <row r="115" ht="13.8" x14ac:dyDescent="0.3"/>
    <row r="116" ht="13.8" x14ac:dyDescent="0.3"/>
    <row r="117" ht="13.8" x14ac:dyDescent="0.3"/>
    <row r="118" ht="13.8" x14ac:dyDescent="0.3"/>
    <row r="119" ht="13.8" x14ac:dyDescent="0.3"/>
    <row r="120" ht="13.8" x14ac:dyDescent="0.3"/>
    <row r="121" ht="13.8" x14ac:dyDescent="0.3"/>
    <row r="122" ht="13.8" x14ac:dyDescent="0.3"/>
    <row r="123" ht="13.8" x14ac:dyDescent="0.3"/>
    <row r="124" ht="13.8" x14ac:dyDescent="0.3"/>
    <row r="125" ht="13.8" x14ac:dyDescent="0.3"/>
    <row r="126" ht="13.8" x14ac:dyDescent="0.3"/>
    <row r="127" ht="13.8" x14ac:dyDescent="0.3"/>
    <row r="128" ht="13.8" x14ac:dyDescent="0.3"/>
    <row r="129" ht="13.8" x14ac:dyDescent="0.3"/>
    <row r="130" ht="13.8" x14ac:dyDescent="0.3"/>
    <row r="131" ht="13.8" x14ac:dyDescent="0.3"/>
    <row r="132" ht="13.8" x14ac:dyDescent="0.3"/>
    <row r="133" ht="13.8" x14ac:dyDescent="0.3"/>
    <row r="134" ht="13.8" x14ac:dyDescent="0.3"/>
    <row r="135" ht="13.8" x14ac:dyDescent="0.3"/>
    <row r="136" ht="13.8" x14ac:dyDescent="0.3"/>
    <row r="137" ht="13.8" x14ac:dyDescent="0.3"/>
    <row r="138" ht="13.8" x14ac:dyDescent="0.3"/>
    <row r="139" ht="13.8" x14ac:dyDescent="0.3"/>
    <row r="140" ht="13.8" x14ac:dyDescent="0.3"/>
    <row r="141" ht="13.8" x14ac:dyDescent="0.3"/>
    <row r="142" ht="13.8" x14ac:dyDescent="0.3"/>
    <row r="143" ht="13.8" x14ac:dyDescent="0.3"/>
    <row r="144" ht="13.8" x14ac:dyDescent="0.3"/>
    <row r="145" ht="13.8" x14ac:dyDescent="0.3"/>
    <row r="146" ht="13.8" x14ac:dyDescent="0.3"/>
    <row r="147" ht="13.8" x14ac:dyDescent="0.3"/>
    <row r="148" ht="13.8" x14ac:dyDescent="0.3"/>
    <row r="149" ht="13.8" x14ac:dyDescent="0.3"/>
    <row r="150" ht="13.8" x14ac:dyDescent="0.3"/>
    <row r="151" ht="13.8" x14ac:dyDescent="0.3"/>
    <row r="152" ht="13.8" x14ac:dyDescent="0.3"/>
    <row r="153" ht="13.8" x14ac:dyDescent="0.3"/>
    <row r="154" ht="13.8" x14ac:dyDescent="0.3"/>
    <row r="155" ht="13.8" x14ac:dyDescent="0.3"/>
    <row r="156" ht="13.8" x14ac:dyDescent="0.3"/>
    <row r="157" ht="13.8" x14ac:dyDescent="0.3"/>
    <row r="158" ht="13.8" x14ac:dyDescent="0.3"/>
    <row r="159" ht="13.8" x14ac:dyDescent="0.3"/>
    <row r="160" ht="13.8" x14ac:dyDescent="0.3"/>
    <row r="161" ht="13.8" x14ac:dyDescent="0.3"/>
    <row r="162" ht="13.8" x14ac:dyDescent="0.3"/>
    <row r="163" ht="13.8" x14ac:dyDescent="0.3"/>
    <row r="164" ht="13.8" x14ac:dyDescent="0.3"/>
    <row r="165" ht="13.8" x14ac:dyDescent="0.3"/>
    <row r="166" ht="13.8" x14ac:dyDescent="0.3"/>
    <row r="167" ht="13.8" x14ac:dyDescent="0.3"/>
    <row r="168" ht="13.8" x14ac:dyDescent="0.3"/>
    <row r="169" ht="13.8" x14ac:dyDescent="0.3"/>
    <row r="170" ht="13.8" x14ac:dyDescent="0.3"/>
    <row r="171" ht="13.8" x14ac:dyDescent="0.3"/>
    <row r="172" ht="13.8" x14ac:dyDescent="0.3"/>
    <row r="173" ht="13.8" x14ac:dyDescent="0.3"/>
    <row r="174" ht="13.8" x14ac:dyDescent="0.3"/>
    <row r="175" ht="13.8" x14ac:dyDescent="0.3"/>
    <row r="176" ht="13.8" x14ac:dyDescent="0.3"/>
    <row r="177" ht="13.8" x14ac:dyDescent="0.3"/>
    <row r="178" ht="13.8" x14ac:dyDescent="0.3"/>
    <row r="179" ht="13.8" x14ac:dyDescent="0.3"/>
    <row r="180" ht="13.8" x14ac:dyDescent="0.3"/>
    <row r="181" ht="13.8" x14ac:dyDescent="0.3"/>
    <row r="182" ht="13.8" x14ac:dyDescent="0.3"/>
    <row r="183" ht="13.8" x14ac:dyDescent="0.3"/>
    <row r="184" ht="13.8" x14ac:dyDescent="0.3"/>
    <row r="185" ht="13.8" x14ac:dyDescent="0.3"/>
    <row r="186" ht="13.8" x14ac:dyDescent="0.3"/>
    <row r="187" ht="13.8" x14ac:dyDescent="0.3"/>
    <row r="188" ht="13.8" x14ac:dyDescent="0.3"/>
    <row r="189" ht="13.8" x14ac:dyDescent="0.3"/>
    <row r="190" ht="13.8" x14ac:dyDescent="0.3"/>
    <row r="191" ht="13.8" x14ac:dyDescent="0.3"/>
    <row r="192" ht="13.8" x14ac:dyDescent="0.3"/>
    <row r="193" ht="13.8" x14ac:dyDescent="0.3"/>
    <row r="194" ht="13.8" x14ac:dyDescent="0.3"/>
    <row r="195" ht="13.8" x14ac:dyDescent="0.3"/>
    <row r="196" ht="13.8" x14ac:dyDescent="0.3"/>
    <row r="197" ht="13.8" x14ac:dyDescent="0.3"/>
    <row r="198" ht="13.8" x14ac:dyDescent="0.3"/>
    <row r="199" ht="13.8" x14ac:dyDescent="0.3"/>
    <row r="200" ht="13.8" x14ac:dyDescent="0.3"/>
    <row r="201" ht="13.8" x14ac:dyDescent="0.3"/>
    <row r="202" ht="13.8" x14ac:dyDescent="0.3"/>
    <row r="203" ht="13.8" x14ac:dyDescent="0.3"/>
    <row r="204" ht="13.8" x14ac:dyDescent="0.3"/>
    <row r="205" ht="13.8" x14ac:dyDescent="0.3"/>
    <row r="206" ht="13.8" x14ac:dyDescent="0.3"/>
    <row r="207" ht="13.8" x14ac:dyDescent="0.3"/>
    <row r="208" ht="13.8" x14ac:dyDescent="0.3"/>
    <row r="209" ht="13.8" x14ac:dyDescent="0.3"/>
    <row r="210" ht="13.8" x14ac:dyDescent="0.3"/>
    <row r="211" ht="13.8" x14ac:dyDescent="0.3"/>
    <row r="212" ht="13.8" x14ac:dyDescent="0.3"/>
    <row r="213" ht="13.8" x14ac:dyDescent="0.3"/>
    <row r="214" ht="13.8" x14ac:dyDescent="0.3"/>
    <row r="215" ht="13.8" x14ac:dyDescent="0.3"/>
    <row r="216" ht="13.8" x14ac:dyDescent="0.3"/>
    <row r="217" ht="13.8" x14ac:dyDescent="0.3"/>
    <row r="218" ht="13.8" x14ac:dyDescent="0.3"/>
    <row r="219" ht="13.8" x14ac:dyDescent="0.3"/>
    <row r="220" ht="13.8" x14ac:dyDescent="0.3"/>
    <row r="221" ht="13.8" x14ac:dyDescent="0.3"/>
    <row r="222" ht="13.8" x14ac:dyDescent="0.3"/>
    <row r="223" ht="13.8" x14ac:dyDescent="0.3"/>
    <row r="224" ht="13.8" x14ac:dyDescent="0.3"/>
    <row r="225" ht="13.8" x14ac:dyDescent="0.3"/>
    <row r="226" ht="13.8" x14ac:dyDescent="0.3"/>
    <row r="227" ht="13.8" x14ac:dyDescent="0.3"/>
    <row r="228" ht="13.8" x14ac:dyDescent="0.3"/>
    <row r="229" ht="13.8" x14ac:dyDescent="0.3"/>
    <row r="230" ht="13.8" x14ac:dyDescent="0.3"/>
    <row r="231" ht="13.8" x14ac:dyDescent="0.3"/>
    <row r="232" ht="13.8" x14ac:dyDescent="0.3"/>
    <row r="233" ht="13.8" x14ac:dyDescent="0.3"/>
    <row r="234" ht="13.8" x14ac:dyDescent="0.3"/>
    <row r="235" ht="13.8" x14ac:dyDescent="0.3"/>
    <row r="236" ht="13.8" x14ac:dyDescent="0.3"/>
    <row r="237" ht="13.8" x14ac:dyDescent="0.3"/>
    <row r="238" ht="13.8" x14ac:dyDescent="0.3"/>
    <row r="239" ht="13.8" x14ac:dyDescent="0.3"/>
    <row r="240" ht="13.8" x14ac:dyDescent="0.3"/>
    <row r="241" ht="13.8" x14ac:dyDescent="0.3"/>
    <row r="242" ht="13.8" x14ac:dyDescent="0.3"/>
    <row r="243" ht="13.8" x14ac:dyDescent="0.3"/>
    <row r="244" ht="13.8" x14ac:dyDescent="0.3"/>
    <row r="245" ht="13.8" x14ac:dyDescent="0.3"/>
    <row r="246" ht="13.8" x14ac:dyDescent="0.3"/>
    <row r="247" ht="13.8" x14ac:dyDescent="0.3"/>
    <row r="248" ht="13.8" x14ac:dyDescent="0.3"/>
    <row r="249" ht="13.8" x14ac:dyDescent="0.3"/>
    <row r="250" ht="13.8" x14ac:dyDescent="0.3"/>
    <row r="251" ht="13.8" x14ac:dyDescent="0.3"/>
    <row r="252" ht="13.8" x14ac:dyDescent="0.3"/>
    <row r="253" ht="13.8" x14ac:dyDescent="0.3"/>
    <row r="254" ht="13.8" x14ac:dyDescent="0.3"/>
    <row r="255" ht="13.8" x14ac:dyDescent="0.3"/>
    <row r="256" ht="13.8" x14ac:dyDescent="0.3"/>
    <row r="257" ht="13.8" x14ac:dyDescent="0.3"/>
    <row r="258" ht="13.8" x14ac:dyDescent="0.3"/>
    <row r="259" ht="13.8" x14ac:dyDescent="0.3"/>
    <row r="260" ht="13.8" x14ac:dyDescent="0.3"/>
    <row r="261" ht="13.8" x14ac:dyDescent="0.3"/>
    <row r="262" ht="13.8" x14ac:dyDescent="0.3"/>
    <row r="263" ht="13.8" x14ac:dyDescent="0.3"/>
    <row r="264" ht="13.8" x14ac:dyDescent="0.3"/>
    <row r="265" ht="13.8" x14ac:dyDescent="0.3"/>
    <row r="266" ht="13.8" x14ac:dyDescent="0.3"/>
    <row r="267" ht="13.8" x14ac:dyDescent="0.3"/>
    <row r="268" ht="13.8" x14ac:dyDescent="0.3"/>
    <row r="269" ht="13.8" x14ac:dyDescent="0.3"/>
    <row r="270" ht="13.8" x14ac:dyDescent="0.3"/>
    <row r="271" ht="13.8" x14ac:dyDescent="0.3"/>
    <row r="272" ht="13.8" x14ac:dyDescent="0.3"/>
    <row r="273" ht="13.8" x14ac:dyDescent="0.3"/>
    <row r="274" ht="13.8" x14ac:dyDescent="0.3"/>
    <row r="275" ht="13.8" x14ac:dyDescent="0.3"/>
    <row r="276" ht="13.8" x14ac:dyDescent="0.3"/>
    <row r="277" ht="13.8" x14ac:dyDescent="0.3"/>
    <row r="278" ht="13.8" x14ac:dyDescent="0.3"/>
    <row r="279" ht="13.8" x14ac:dyDescent="0.3"/>
    <row r="280" ht="13.8" x14ac:dyDescent="0.3"/>
    <row r="281" ht="13.8" x14ac:dyDescent="0.3"/>
    <row r="282" ht="13.8" x14ac:dyDescent="0.3"/>
    <row r="283" ht="13.8" x14ac:dyDescent="0.3"/>
    <row r="284" ht="13.8" x14ac:dyDescent="0.3"/>
    <row r="285" ht="13.8" x14ac:dyDescent="0.3"/>
    <row r="286" ht="13.8" x14ac:dyDescent="0.3"/>
    <row r="287" ht="13.8" x14ac:dyDescent="0.3"/>
    <row r="288" ht="13.8" x14ac:dyDescent="0.3"/>
    <row r="289" ht="13.8" x14ac:dyDescent="0.3"/>
    <row r="290" ht="13.8" x14ac:dyDescent="0.3"/>
    <row r="291" ht="13.8" x14ac:dyDescent="0.3"/>
    <row r="292" ht="13.8" x14ac:dyDescent="0.3"/>
    <row r="293" ht="13.8" x14ac:dyDescent="0.3"/>
    <row r="294" ht="13.8" x14ac:dyDescent="0.3"/>
    <row r="295" ht="13.8" x14ac:dyDescent="0.3"/>
    <row r="296" ht="13.8" x14ac:dyDescent="0.3"/>
    <row r="297" ht="13.8" x14ac:dyDescent="0.3"/>
    <row r="298" ht="13.8" x14ac:dyDescent="0.3"/>
    <row r="299" ht="13.8" x14ac:dyDescent="0.3"/>
    <row r="300" ht="13.8" x14ac:dyDescent="0.3"/>
    <row r="301" ht="13.8" x14ac:dyDescent="0.3"/>
    <row r="302" ht="13.8" x14ac:dyDescent="0.3"/>
    <row r="303" ht="13.8" x14ac:dyDescent="0.3"/>
    <row r="304" ht="13.8" x14ac:dyDescent="0.3"/>
    <row r="305" ht="13.8" x14ac:dyDescent="0.3"/>
    <row r="306" ht="13.8" x14ac:dyDescent="0.3"/>
    <row r="307" ht="13.8" x14ac:dyDescent="0.3"/>
    <row r="308" ht="13.8" x14ac:dyDescent="0.3"/>
    <row r="309" ht="13.8" x14ac:dyDescent="0.3"/>
    <row r="310" ht="13.8" x14ac:dyDescent="0.3"/>
    <row r="311" ht="13.8" x14ac:dyDescent="0.3"/>
    <row r="312" ht="13.8" x14ac:dyDescent="0.3"/>
    <row r="313" ht="13.8" x14ac:dyDescent="0.3"/>
    <row r="314" ht="13.8" x14ac:dyDescent="0.3"/>
    <row r="315" ht="13.8" x14ac:dyDescent="0.3"/>
    <row r="316" ht="13.8" x14ac:dyDescent="0.3"/>
    <row r="317" ht="13.8" x14ac:dyDescent="0.3"/>
    <row r="318" ht="13.8" x14ac:dyDescent="0.3"/>
    <row r="319" ht="13.8" x14ac:dyDescent="0.3"/>
    <row r="320" ht="13.8" x14ac:dyDescent="0.3"/>
    <row r="321" ht="13.8" x14ac:dyDescent="0.3"/>
    <row r="322" ht="13.8" x14ac:dyDescent="0.3"/>
    <row r="323" ht="13.8" x14ac:dyDescent="0.3"/>
    <row r="324" ht="13.8" x14ac:dyDescent="0.3"/>
    <row r="325" ht="13.8" x14ac:dyDescent="0.3"/>
    <row r="326" ht="13.8" x14ac:dyDescent="0.3"/>
    <row r="327" ht="13.8" x14ac:dyDescent="0.3"/>
    <row r="328" ht="13.8" x14ac:dyDescent="0.3"/>
    <row r="329" ht="13.8" x14ac:dyDescent="0.3"/>
    <row r="330" ht="13.8" x14ac:dyDescent="0.3"/>
    <row r="331" ht="13.8" x14ac:dyDescent="0.3"/>
    <row r="332" ht="13.8" x14ac:dyDescent="0.3"/>
    <row r="333" ht="13.8" x14ac:dyDescent="0.3"/>
    <row r="334" ht="13.8" x14ac:dyDescent="0.3"/>
    <row r="335" ht="13.8" x14ac:dyDescent="0.3"/>
    <row r="336" ht="13.8" x14ac:dyDescent="0.3"/>
    <row r="337" ht="13.8" x14ac:dyDescent="0.3"/>
    <row r="338" ht="13.8" x14ac:dyDescent="0.3"/>
    <row r="339" ht="13.8" x14ac:dyDescent="0.3"/>
    <row r="340" ht="13.8" x14ac:dyDescent="0.3"/>
    <row r="341" ht="13.8" x14ac:dyDescent="0.3"/>
    <row r="342" ht="13.8" x14ac:dyDescent="0.3"/>
    <row r="343" ht="13.8" x14ac:dyDescent="0.3"/>
    <row r="344" ht="13.8" x14ac:dyDescent="0.3"/>
    <row r="345" ht="13.8" x14ac:dyDescent="0.3"/>
    <row r="346" ht="13.8" x14ac:dyDescent="0.3"/>
    <row r="347" ht="13.8" x14ac:dyDescent="0.3"/>
    <row r="348" ht="13.8" x14ac:dyDescent="0.3"/>
    <row r="349" ht="13.8" x14ac:dyDescent="0.3"/>
    <row r="350" ht="13.8" x14ac:dyDescent="0.3"/>
    <row r="351" ht="13.8" x14ac:dyDescent="0.3"/>
    <row r="352" ht="13.8" x14ac:dyDescent="0.3"/>
    <row r="353" ht="13.8" x14ac:dyDescent="0.3"/>
    <row r="354" ht="13.8" x14ac:dyDescent="0.3"/>
    <row r="355" ht="13.8" x14ac:dyDescent="0.3"/>
    <row r="356" ht="13.8" x14ac:dyDescent="0.3"/>
    <row r="357" ht="13.8" x14ac:dyDescent="0.3"/>
    <row r="358" ht="13.8" x14ac:dyDescent="0.3"/>
    <row r="359" ht="13.8" x14ac:dyDescent="0.3"/>
    <row r="360" ht="13.8" x14ac:dyDescent="0.3"/>
    <row r="361" ht="13.8" x14ac:dyDescent="0.3"/>
    <row r="362" ht="13.8" x14ac:dyDescent="0.3"/>
    <row r="363" ht="13.8" x14ac:dyDescent="0.3"/>
    <row r="364" ht="13.8" x14ac:dyDescent="0.3"/>
    <row r="365" ht="13.8" x14ac:dyDescent="0.3"/>
    <row r="366" ht="13.8" x14ac:dyDescent="0.3"/>
    <row r="367" ht="13.8" x14ac:dyDescent="0.3"/>
    <row r="368" ht="13.8" x14ac:dyDescent="0.3"/>
    <row r="369" ht="13.8" x14ac:dyDescent="0.3"/>
    <row r="370" ht="13.8" x14ac:dyDescent="0.3"/>
    <row r="371" ht="13.8" x14ac:dyDescent="0.3"/>
    <row r="372" ht="13.8" x14ac:dyDescent="0.3"/>
    <row r="373" ht="13.8" x14ac:dyDescent="0.3"/>
    <row r="374" ht="13.8" x14ac:dyDescent="0.3"/>
    <row r="375" ht="13.8" x14ac:dyDescent="0.3"/>
    <row r="376" ht="13.8" x14ac:dyDescent="0.3"/>
    <row r="377" ht="13.8" x14ac:dyDescent="0.3"/>
    <row r="378" ht="13.8" x14ac:dyDescent="0.3"/>
    <row r="379" ht="13.8" x14ac:dyDescent="0.3"/>
    <row r="380" ht="13.8" x14ac:dyDescent="0.3"/>
    <row r="381" ht="13.8" x14ac:dyDescent="0.3"/>
    <row r="382" ht="13.8" x14ac:dyDescent="0.3"/>
    <row r="383" ht="13.8" x14ac:dyDescent="0.3"/>
    <row r="384" ht="13.8" x14ac:dyDescent="0.3"/>
    <row r="385" ht="13.8" x14ac:dyDescent="0.3"/>
    <row r="386" ht="13.8" x14ac:dyDescent="0.3"/>
    <row r="387" ht="13.8" x14ac:dyDescent="0.3"/>
    <row r="388" ht="13.8" x14ac:dyDescent="0.3"/>
    <row r="389" ht="13.8" x14ac:dyDescent="0.3"/>
    <row r="390" ht="13.8" x14ac:dyDescent="0.3"/>
    <row r="391" ht="13.8" x14ac:dyDescent="0.3"/>
    <row r="392" ht="13.8" x14ac:dyDescent="0.3"/>
    <row r="393" ht="13.8" x14ac:dyDescent="0.3"/>
    <row r="394" ht="13.8" x14ac:dyDescent="0.3"/>
    <row r="395" ht="13.8" x14ac:dyDescent="0.3"/>
    <row r="396" ht="13.8" x14ac:dyDescent="0.3"/>
    <row r="397" ht="13.8" x14ac:dyDescent="0.3"/>
    <row r="398" ht="13.8" x14ac:dyDescent="0.3"/>
    <row r="399" ht="13.8" x14ac:dyDescent="0.3"/>
    <row r="400" ht="13.8" x14ac:dyDescent="0.3"/>
    <row r="401" ht="13.8" x14ac:dyDescent="0.3"/>
    <row r="402" ht="13.8" x14ac:dyDescent="0.3"/>
    <row r="403" ht="13.8" x14ac:dyDescent="0.3"/>
    <row r="404" ht="13.8" x14ac:dyDescent="0.3"/>
    <row r="405" ht="13.8" x14ac:dyDescent="0.3"/>
    <row r="406" ht="13.8" x14ac:dyDescent="0.3"/>
    <row r="407" ht="13.8" x14ac:dyDescent="0.3"/>
    <row r="408" ht="13.8" x14ac:dyDescent="0.3"/>
    <row r="409" ht="13.8" x14ac:dyDescent="0.3"/>
    <row r="410" ht="13.8" x14ac:dyDescent="0.3"/>
    <row r="411" ht="13.8" x14ac:dyDescent="0.3"/>
    <row r="412" ht="13.8" x14ac:dyDescent="0.3"/>
    <row r="413" ht="13.8" x14ac:dyDescent="0.3"/>
    <row r="414" ht="13.8" x14ac:dyDescent="0.3"/>
    <row r="415" ht="13.8" x14ac:dyDescent="0.3"/>
    <row r="416" ht="13.8" x14ac:dyDescent="0.3"/>
    <row r="417" ht="13.8" x14ac:dyDescent="0.3"/>
    <row r="418" ht="13.8" x14ac:dyDescent="0.3"/>
    <row r="419" ht="13.8" x14ac:dyDescent="0.3"/>
    <row r="420" ht="13.8" x14ac:dyDescent="0.3"/>
    <row r="421" ht="13.8" x14ac:dyDescent="0.3"/>
    <row r="422" ht="13.8" x14ac:dyDescent="0.3"/>
    <row r="423" ht="13.8" x14ac:dyDescent="0.3"/>
    <row r="424" ht="13.8" x14ac:dyDescent="0.3"/>
    <row r="425" ht="13.8" x14ac:dyDescent="0.3"/>
    <row r="426" ht="13.8" x14ac:dyDescent="0.3"/>
    <row r="427" ht="13.8" x14ac:dyDescent="0.3"/>
    <row r="428" ht="13.8" x14ac:dyDescent="0.3"/>
    <row r="429" ht="13.8" x14ac:dyDescent="0.3"/>
    <row r="430" ht="13.8" x14ac:dyDescent="0.3"/>
    <row r="431" ht="13.8" x14ac:dyDescent="0.3"/>
    <row r="432" ht="13.8" x14ac:dyDescent="0.3"/>
    <row r="433" ht="13.8" x14ac:dyDescent="0.3"/>
    <row r="434" ht="13.8" x14ac:dyDescent="0.3"/>
    <row r="435" ht="13.8" x14ac:dyDescent="0.3"/>
    <row r="436" ht="13.8" x14ac:dyDescent="0.3"/>
    <row r="437" ht="13.8" x14ac:dyDescent="0.3"/>
    <row r="438" ht="13.8" x14ac:dyDescent="0.3"/>
    <row r="439" ht="13.8" x14ac:dyDescent="0.3"/>
    <row r="440" ht="13.8" x14ac:dyDescent="0.3"/>
    <row r="441" ht="13.8" x14ac:dyDescent="0.3"/>
    <row r="442" ht="13.8" x14ac:dyDescent="0.3"/>
    <row r="443" ht="13.8" x14ac:dyDescent="0.3"/>
    <row r="444" ht="13.8" x14ac:dyDescent="0.3"/>
    <row r="445" ht="13.8" x14ac:dyDescent="0.3"/>
    <row r="446" ht="13.8" x14ac:dyDescent="0.3"/>
    <row r="447" ht="13.8" x14ac:dyDescent="0.3"/>
    <row r="448" ht="13.8" x14ac:dyDescent="0.3"/>
    <row r="449" ht="13.8" x14ac:dyDescent="0.3"/>
    <row r="450" ht="13.8" x14ac:dyDescent="0.3"/>
    <row r="451" ht="13.8" x14ac:dyDescent="0.3"/>
    <row r="452" ht="13.8" x14ac:dyDescent="0.3"/>
    <row r="453" ht="13.8" x14ac:dyDescent="0.3"/>
    <row r="454" ht="13.8" x14ac:dyDescent="0.3"/>
    <row r="455" ht="13.8" x14ac:dyDescent="0.3"/>
    <row r="456" ht="13.8" x14ac:dyDescent="0.3"/>
    <row r="457" ht="13.8" x14ac:dyDescent="0.3"/>
    <row r="458" ht="13.8" x14ac:dyDescent="0.3"/>
    <row r="459" ht="13.8" x14ac:dyDescent="0.3"/>
    <row r="460" ht="13.8" x14ac:dyDescent="0.3"/>
    <row r="461" ht="13.8" x14ac:dyDescent="0.3"/>
    <row r="462" ht="13.8" x14ac:dyDescent="0.3"/>
    <row r="463" ht="13.8" x14ac:dyDescent="0.3"/>
    <row r="464" ht="13.8" x14ac:dyDescent="0.3"/>
    <row r="465" ht="13.8" x14ac:dyDescent="0.3"/>
    <row r="466" ht="13.8" x14ac:dyDescent="0.3"/>
    <row r="467" ht="13.8" x14ac:dyDescent="0.3"/>
    <row r="468" ht="13.8" x14ac:dyDescent="0.3"/>
    <row r="469" ht="13.8" x14ac:dyDescent="0.3"/>
    <row r="470" ht="13.8" x14ac:dyDescent="0.3"/>
    <row r="471" ht="13.8" x14ac:dyDescent="0.3"/>
    <row r="472" ht="13.8" x14ac:dyDescent="0.3"/>
    <row r="473" ht="13.8" x14ac:dyDescent="0.3"/>
    <row r="474" ht="13.8" x14ac:dyDescent="0.3"/>
    <row r="475" ht="13.8" x14ac:dyDescent="0.3"/>
    <row r="476" ht="13.8" x14ac:dyDescent="0.3"/>
    <row r="477" ht="13.8" x14ac:dyDescent="0.3"/>
    <row r="478" ht="13.8" x14ac:dyDescent="0.3"/>
    <row r="479" ht="13.8" x14ac:dyDescent="0.3"/>
    <row r="480" ht="13.8" x14ac:dyDescent="0.3"/>
    <row r="481" ht="13.8" x14ac:dyDescent="0.3"/>
    <row r="482" ht="13.8" x14ac:dyDescent="0.3"/>
    <row r="483" ht="13.8" x14ac:dyDescent="0.3"/>
    <row r="484" ht="13.8" x14ac:dyDescent="0.3"/>
    <row r="485" ht="13.8" x14ac:dyDescent="0.3"/>
    <row r="486" ht="13.8" x14ac:dyDescent="0.3"/>
    <row r="487" ht="13.8" x14ac:dyDescent="0.3"/>
    <row r="488" ht="13.8" x14ac:dyDescent="0.3"/>
    <row r="489" ht="13.8" x14ac:dyDescent="0.3"/>
    <row r="490" ht="13.8" x14ac:dyDescent="0.3"/>
    <row r="491" ht="13.8" x14ac:dyDescent="0.3"/>
    <row r="492" ht="13.8" x14ac:dyDescent="0.3"/>
    <row r="493" ht="13.8" x14ac:dyDescent="0.3"/>
    <row r="494" ht="13.8" x14ac:dyDescent="0.3"/>
    <row r="495" ht="13.8" x14ac:dyDescent="0.3"/>
    <row r="496" ht="13.8" x14ac:dyDescent="0.3"/>
    <row r="497" ht="13.8" x14ac:dyDescent="0.3"/>
    <row r="498" ht="13.8" x14ac:dyDescent="0.3"/>
    <row r="499" ht="13.8" x14ac:dyDescent="0.3"/>
    <row r="500" ht="13.8" x14ac:dyDescent="0.3"/>
    <row r="501" ht="13.8" x14ac:dyDescent="0.3"/>
    <row r="502" ht="13.8" x14ac:dyDescent="0.3"/>
    <row r="503" ht="13.8" x14ac:dyDescent="0.3"/>
    <row r="504" ht="13.8" x14ac:dyDescent="0.3"/>
    <row r="505" ht="13.8" x14ac:dyDescent="0.3"/>
    <row r="506" ht="13.8" x14ac:dyDescent="0.3"/>
    <row r="507" ht="13.8" x14ac:dyDescent="0.3"/>
    <row r="508" ht="13.8" x14ac:dyDescent="0.3"/>
    <row r="509" ht="13.8" x14ac:dyDescent="0.3"/>
    <row r="510" ht="13.8" x14ac:dyDescent="0.3"/>
    <row r="511" ht="13.8" x14ac:dyDescent="0.3"/>
    <row r="512" ht="13.8" x14ac:dyDescent="0.3"/>
    <row r="513" ht="13.8" x14ac:dyDescent="0.3"/>
    <row r="514" ht="13.8" x14ac:dyDescent="0.3"/>
    <row r="515" ht="13.8" x14ac:dyDescent="0.3"/>
    <row r="516" ht="13.8" x14ac:dyDescent="0.3"/>
    <row r="517" ht="13.8" x14ac:dyDescent="0.3"/>
    <row r="518" ht="13.8" x14ac:dyDescent="0.3"/>
    <row r="519" ht="13.8" x14ac:dyDescent="0.3"/>
    <row r="520" ht="13.8" x14ac:dyDescent="0.3"/>
    <row r="521" ht="13.8" x14ac:dyDescent="0.3"/>
    <row r="522" ht="13.8" x14ac:dyDescent="0.3"/>
    <row r="523" ht="13.8" x14ac:dyDescent="0.3"/>
    <row r="524" ht="13.8" x14ac:dyDescent="0.3"/>
    <row r="525" ht="13.8" x14ac:dyDescent="0.3"/>
    <row r="526" ht="13.8" x14ac:dyDescent="0.3"/>
    <row r="527" ht="13.8" x14ac:dyDescent="0.3"/>
    <row r="528" ht="13.8" x14ac:dyDescent="0.3"/>
    <row r="529" ht="13.8" x14ac:dyDescent="0.3"/>
    <row r="530" ht="13.8" x14ac:dyDescent="0.3"/>
    <row r="531" ht="13.8" x14ac:dyDescent="0.3"/>
    <row r="532" ht="13.8" x14ac:dyDescent="0.3"/>
    <row r="533" ht="13.8" x14ac:dyDescent="0.3"/>
    <row r="534" ht="13.8" x14ac:dyDescent="0.3"/>
    <row r="535" ht="13.8" x14ac:dyDescent="0.3"/>
    <row r="536" ht="13.8" x14ac:dyDescent="0.3"/>
    <row r="537" ht="13.8" x14ac:dyDescent="0.3"/>
    <row r="538" ht="13.8" x14ac:dyDescent="0.3"/>
    <row r="539" ht="13.8" x14ac:dyDescent="0.3"/>
    <row r="540" ht="13.8" x14ac:dyDescent="0.3"/>
    <row r="541" ht="13.8" x14ac:dyDescent="0.3"/>
    <row r="542" ht="13.8" x14ac:dyDescent="0.3"/>
    <row r="543" ht="13.8" x14ac:dyDescent="0.3"/>
    <row r="544" ht="13.8" x14ac:dyDescent="0.3"/>
    <row r="545" ht="13.8" x14ac:dyDescent="0.3"/>
    <row r="546" ht="13.8" x14ac:dyDescent="0.3"/>
    <row r="547" ht="13.8" x14ac:dyDescent="0.3"/>
    <row r="548" ht="13.8" x14ac:dyDescent="0.3"/>
    <row r="549" ht="13.8" x14ac:dyDescent="0.3"/>
    <row r="550" ht="13.8" x14ac:dyDescent="0.3"/>
    <row r="551" ht="13.8" x14ac:dyDescent="0.3"/>
    <row r="552" ht="13.8" x14ac:dyDescent="0.3"/>
    <row r="553" ht="13.8" x14ac:dyDescent="0.3"/>
    <row r="554" ht="13.8" x14ac:dyDescent="0.3"/>
    <row r="555" ht="13.8" x14ac:dyDescent="0.3"/>
    <row r="556" ht="13.8" x14ac:dyDescent="0.3"/>
    <row r="557" ht="13.8" x14ac:dyDescent="0.3"/>
    <row r="558" ht="13.8" x14ac:dyDescent="0.3"/>
    <row r="559" ht="13.8" x14ac:dyDescent="0.3"/>
    <row r="560" ht="13.8" x14ac:dyDescent="0.3"/>
    <row r="561" ht="13.8" x14ac:dyDescent="0.3"/>
    <row r="562" ht="13.8" x14ac:dyDescent="0.3"/>
    <row r="563" ht="13.8" x14ac:dyDescent="0.3"/>
    <row r="564" ht="13.8" x14ac:dyDescent="0.3"/>
    <row r="565" ht="13.8" x14ac:dyDescent="0.3"/>
    <row r="566" ht="13.8" x14ac:dyDescent="0.3"/>
    <row r="567" ht="13.8" x14ac:dyDescent="0.3"/>
    <row r="568" ht="13.8" x14ac:dyDescent="0.3"/>
    <row r="569" ht="13.8" x14ac:dyDescent="0.3"/>
    <row r="570" ht="13.8" x14ac:dyDescent="0.3"/>
    <row r="571" ht="13.8" x14ac:dyDescent="0.3"/>
    <row r="572" ht="13.8" x14ac:dyDescent="0.3"/>
    <row r="573" ht="13.8" x14ac:dyDescent="0.3"/>
    <row r="574" ht="13.8" x14ac:dyDescent="0.3"/>
    <row r="575" ht="13.8" x14ac:dyDescent="0.3"/>
    <row r="576" ht="13.8" x14ac:dyDescent="0.3"/>
    <row r="577" ht="13.8" x14ac:dyDescent="0.3"/>
    <row r="578" ht="13.8" x14ac:dyDescent="0.3"/>
    <row r="579" ht="13.8" x14ac:dyDescent="0.3"/>
    <row r="580" ht="13.8" x14ac:dyDescent="0.3"/>
    <row r="581" ht="13.8" x14ac:dyDescent="0.3"/>
    <row r="582" ht="13.8" x14ac:dyDescent="0.3"/>
    <row r="583" ht="13.8" x14ac:dyDescent="0.3"/>
    <row r="584" ht="13.8" x14ac:dyDescent="0.3"/>
    <row r="585" ht="13.8" x14ac:dyDescent="0.3"/>
    <row r="586" ht="13.8" x14ac:dyDescent="0.3"/>
    <row r="587" ht="13.8" x14ac:dyDescent="0.3"/>
    <row r="588" ht="13.8" x14ac:dyDescent="0.3"/>
    <row r="589" ht="13.8" x14ac:dyDescent="0.3"/>
    <row r="590" ht="13.8" x14ac:dyDescent="0.3"/>
    <row r="591" ht="13.8" x14ac:dyDescent="0.3"/>
    <row r="592" ht="13.8" x14ac:dyDescent="0.3"/>
    <row r="593" ht="13.8" x14ac:dyDescent="0.3"/>
    <row r="594" ht="13.8" x14ac:dyDescent="0.3"/>
    <row r="595" ht="13.8" x14ac:dyDescent="0.3"/>
    <row r="596" ht="13.8" x14ac:dyDescent="0.3"/>
    <row r="597" ht="13.8" x14ac:dyDescent="0.3"/>
    <row r="598" ht="13.8" x14ac:dyDescent="0.3"/>
    <row r="599" ht="13.8" x14ac:dyDescent="0.3"/>
    <row r="600" ht="13.8" x14ac:dyDescent="0.3"/>
    <row r="601" ht="13.8" x14ac:dyDescent="0.3"/>
    <row r="602" ht="13.8" x14ac:dyDescent="0.3"/>
    <row r="603" ht="13.8" x14ac:dyDescent="0.3"/>
    <row r="604" ht="13.8" x14ac:dyDescent="0.3"/>
    <row r="605" ht="13.8" x14ac:dyDescent="0.3"/>
    <row r="606" ht="13.8" x14ac:dyDescent="0.3"/>
    <row r="607" ht="13.8" x14ac:dyDescent="0.3"/>
    <row r="608" ht="13.8" x14ac:dyDescent="0.3"/>
    <row r="609" ht="13.8" x14ac:dyDescent="0.3"/>
    <row r="610" ht="13.8" x14ac:dyDescent="0.3"/>
    <row r="611" ht="13.8" x14ac:dyDescent="0.3"/>
    <row r="612" ht="13.8" x14ac:dyDescent="0.3"/>
    <row r="613" ht="13.8" x14ac:dyDescent="0.3"/>
    <row r="614" ht="13.8" x14ac:dyDescent="0.3"/>
    <row r="615" ht="13.8" x14ac:dyDescent="0.3"/>
    <row r="616" ht="13.8" x14ac:dyDescent="0.3"/>
    <row r="617" ht="13.8" x14ac:dyDescent="0.3"/>
    <row r="618" ht="13.8" x14ac:dyDescent="0.3"/>
    <row r="619" ht="13.8" x14ac:dyDescent="0.3"/>
    <row r="620" ht="13.8" x14ac:dyDescent="0.3"/>
    <row r="621" ht="13.8" x14ac:dyDescent="0.3"/>
    <row r="622" ht="13.8" x14ac:dyDescent="0.3"/>
    <row r="623" ht="13.8" x14ac:dyDescent="0.3"/>
    <row r="624" ht="13.8" x14ac:dyDescent="0.3"/>
    <row r="625" ht="13.8" x14ac:dyDescent="0.3"/>
    <row r="626" ht="13.8" x14ac:dyDescent="0.3"/>
    <row r="627" ht="13.8" x14ac:dyDescent="0.3"/>
    <row r="628" ht="13.8" x14ac:dyDescent="0.3"/>
    <row r="629" ht="13.8" x14ac:dyDescent="0.3"/>
    <row r="630" ht="13.8" x14ac:dyDescent="0.3"/>
    <row r="631" ht="13.8" x14ac:dyDescent="0.3"/>
    <row r="632" ht="13.8" x14ac:dyDescent="0.3"/>
    <row r="633" ht="13.8" x14ac:dyDescent="0.3"/>
    <row r="634" ht="13.8" x14ac:dyDescent="0.3"/>
    <row r="635" ht="13.8" x14ac:dyDescent="0.3"/>
    <row r="636" ht="13.8" x14ac:dyDescent="0.3"/>
    <row r="637" ht="13.8" x14ac:dyDescent="0.3"/>
    <row r="638" ht="13.8" x14ac:dyDescent="0.3"/>
    <row r="639" ht="13.8" x14ac:dyDescent="0.3"/>
    <row r="640" ht="13.8" x14ac:dyDescent="0.3"/>
    <row r="641" ht="13.8" x14ac:dyDescent="0.3"/>
    <row r="642" ht="13.8" x14ac:dyDescent="0.3"/>
    <row r="643" ht="13.8" x14ac:dyDescent="0.3"/>
    <row r="644" ht="13.8" x14ac:dyDescent="0.3"/>
    <row r="645" ht="13.8" x14ac:dyDescent="0.3"/>
    <row r="646" ht="13.8" x14ac:dyDescent="0.3"/>
    <row r="647" ht="13.8" x14ac:dyDescent="0.3"/>
    <row r="648" ht="13.8" x14ac:dyDescent="0.3"/>
    <row r="649" ht="13.8" x14ac:dyDescent="0.3"/>
    <row r="650" ht="13.8" x14ac:dyDescent="0.3"/>
    <row r="651" ht="13.8" x14ac:dyDescent="0.3"/>
    <row r="652" ht="13.8" x14ac:dyDescent="0.3"/>
    <row r="653" ht="13.8" x14ac:dyDescent="0.3"/>
    <row r="654" ht="13.8" x14ac:dyDescent="0.3"/>
    <row r="655" ht="13.8" x14ac:dyDescent="0.3"/>
    <row r="656" ht="13.8" x14ac:dyDescent="0.3"/>
    <row r="657" ht="13.8" x14ac:dyDescent="0.3"/>
    <row r="658" ht="13.8" x14ac:dyDescent="0.3"/>
    <row r="659" ht="13.8" x14ac:dyDescent="0.3"/>
    <row r="660" ht="13.8" x14ac:dyDescent="0.3"/>
    <row r="661" ht="13.8" x14ac:dyDescent="0.3"/>
    <row r="662" ht="13.8" x14ac:dyDescent="0.3"/>
    <row r="663" ht="13.8" x14ac:dyDescent="0.3"/>
    <row r="664" ht="13.8" x14ac:dyDescent="0.3"/>
    <row r="665" ht="13.8" x14ac:dyDescent="0.3"/>
    <row r="666" ht="13.8" x14ac:dyDescent="0.3"/>
    <row r="667" ht="13.8" x14ac:dyDescent="0.3"/>
    <row r="668" ht="13.8" x14ac:dyDescent="0.3"/>
    <row r="669" ht="13.8" x14ac:dyDescent="0.3"/>
    <row r="670" ht="13.8" x14ac:dyDescent="0.3"/>
    <row r="671" ht="13.8" x14ac:dyDescent="0.3"/>
    <row r="672" ht="13.8" x14ac:dyDescent="0.3"/>
    <row r="673" ht="13.8" x14ac:dyDescent="0.3"/>
    <row r="674" ht="13.8" x14ac:dyDescent="0.3"/>
    <row r="675" ht="13.8" x14ac:dyDescent="0.3"/>
    <row r="676" ht="13.8" x14ac:dyDescent="0.3"/>
    <row r="677" ht="13.8" x14ac:dyDescent="0.3"/>
    <row r="678" ht="13.8" x14ac:dyDescent="0.3"/>
    <row r="679" ht="13.8" x14ac:dyDescent="0.3"/>
    <row r="680" ht="13.8" x14ac:dyDescent="0.3"/>
    <row r="681" ht="13.8" x14ac:dyDescent="0.3"/>
    <row r="682" ht="13.8" x14ac:dyDescent="0.3"/>
    <row r="683" ht="13.8" x14ac:dyDescent="0.3"/>
    <row r="684" ht="13.8" x14ac:dyDescent="0.3"/>
    <row r="685" ht="13.8" x14ac:dyDescent="0.3"/>
    <row r="686" ht="13.8" x14ac:dyDescent="0.3"/>
    <row r="687" ht="13.8" x14ac:dyDescent="0.3"/>
    <row r="688" ht="13.8" x14ac:dyDescent="0.3"/>
    <row r="689" ht="13.8" x14ac:dyDescent="0.3"/>
    <row r="690" ht="13.8" x14ac:dyDescent="0.3"/>
    <row r="691" ht="13.8" x14ac:dyDescent="0.3"/>
    <row r="692" ht="13.8" x14ac:dyDescent="0.3"/>
    <row r="693" ht="13.8" x14ac:dyDescent="0.3"/>
    <row r="694" ht="13.8" x14ac:dyDescent="0.3"/>
    <row r="695" ht="13.8" x14ac:dyDescent="0.3"/>
    <row r="696" ht="13.8" x14ac:dyDescent="0.3"/>
    <row r="697" ht="13.8" x14ac:dyDescent="0.3"/>
    <row r="698" ht="13.8" x14ac:dyDescent="0.3"/>
    <row r="699" ht="13.8" x14ac:dyDescent="0.3"/>
    <row r="700" ht="13.8" x14ac:dyDescent="0.3"/>
    <row r="701" ht="13.8" x14ac:dyDescent="0.3"/>
    <row r="702" ht="13.8" x14ac:dyDescent="0.3"/>
    <row r="703" ht="13.8" x14ac:dyDescent="0.3"/>
    <row r="704" ht="13.8" x14ac:dyDescent="0.3"/>
    <row r="705" ht="13.8" x14ac:dyDescent="0.3"/>
    <row r="706" ht="13.8" x14ac:dyDescent="0.3"/>
    <row r="707" ht="13.8" x14ac:dyDescent="0.3"/>
    <row r="708" ht="13.8" x14ac:dyDescent="0.3"/>
    <row r="709" ht="13.8" x14ac:dyDescent="0.3"/>
    <row r="710" ht="13.8" x14ac:dyDescent="0.3"/>
    <row r="711" ht="13.8" x14ac:dyDescent="0.3"/>
    <row r="712" ht="13.8" x14ac:dyDescent="0.3"/>
    <row r="713" ht="13.8" x14ac:dyDescent="0.3"/>
    <row r="714" ht="13.8" x14ac:dyDescent="0.3"/>
    <row r="715" ht="13.8" x14ac:dyDescent="0.3"/>
    <row r="716" ht="13.8" x14ac:dyDescent="0.3"/>
    <row r="717" ht="13.8" x14ac:dyDescent="0.3"/>
    <row r="718" ht="13.8" x14ac:dyDescent="0.3"/>
    <row r="719" ht="13.8" x14ac:dyDescent="0.3"/>
    <row r="720" ht="13.8" x14ac:dyDescent="0.3"/>
    <row r="721" ht="13.8" x14ac:dyDescent="0.3"/>
    <row r="722" ht="13.8" x14ac:dyDescent="0.3"/>
    <row r="723" ht="13.8" x14ac:dyDescent="0.3"/>
    <row r="724" ht="13.8" x14ac:dyDescent="0.3"/>
    <row r="725" ht="13.8" x14ac:dyDescent="0.3"/>
    <row r="726" ht="13.8" x14ac:dyDescent="0.3"/>
    <row r="727" ht="13.8" x14ac:dyDescent="0.3"/>
    <row r="728" ht="13.8" x14ac:dyDescent="0.3"/>
    <row r="729" ht="13.8" x14ac:dyDescent="0.3"/>
    <row r="730" ht="13.8" x14ac:dyDescent="0.3"/>
    <row r="731" ht="13.8" x14ac:dyDescent="0.3"/>
    <row r="732" ht="13.8" x14ac:dyDescent="0.3"/>
    <row r="733" ht="13.8" x14ac:dyDescent="0.3"/>
    <row r="734" ht="13.8" x14ac:dyDescent="0.3"/>
    <row r="735" ht="13.8" x14ac:dyDescent="0.3"/>
    <row r="736" ht="13.8" x14ac:dyDescent="0.3"/>
    <row r="737" ht="13.8" x14ac:dyDescent="0.3"/>
    <row r="738" ht="13.8" x14ac:dyDescent="0.3"/>
    <row r="739" ht="13.8" x14ac:dyDescent="0.3"/>
    <row r="740" ht="13.8" x14ac:dyDescent="0.3"/>
    <row r="741" ht="13.8" x14ac:dyDescent="0.3"/>
    <row r="742" ht="13.8" x14ac:dyDescent="0.3"/>
    <row r="743" ht="13.8" x14ac:dyDescent="0.3"/>
    <row r="744" ht="13.8" x14ac:dyDescent="0.3"/>
    <row r="745" ht="13.8" x14ac:dyDescent="0.3"/>
    <row r="746" ht="13.8" x14ac:dyDescent="0.3"/>
    <row r="747" ht="13.8" x14ac:dyDescent="0.3"/>
    <row r="748" ht="13.8" x14ac:dyDescent="0.3"/>
    <row r="749" ht="13.8" x14ac:dyDescent="0.3"/>
    <row r="750" ht="13.8" x14ac:dyDescent="0.3"/>
    <row r="751" ht="13.8" x14ac:dyDescent="0.3"/>
    <row r="752" ht="13.8" x14ac:dyDescent="0.3"/>
    <row r="753" ht="13.8" x14ac:dyDescent="0.3"/>
    <row r="754" ht="13.8" x14ac:dyDescent="0.3"/>
    <row r="755" ht="13.8" x14ac:dyDescent="0.3"/>
    <row r="756" ht="13.8" x14ac:dyDescent="0.3"/>
    <row r="757" ht="13.8" x14ac:dyDescent="0.3"/>
    <row r="758" ht="13.8" x14ac:dyDescent="0.3"/>
    <row r="759" ht="13.8" x14ac:dyDescent="0.3"/>
    <row r="760" ht="13.8" x14ac:dyDescent="0.3"/>
    <row r="761" ht="13.8" x14ac:dyDescent="0.3"/>
    <row r="762" ht="13.8" x14ac:dyDescent="0.3"/>
    <row r="763" ht="13.8" x14ac:dyDescent="0.3"/>
    <row r="764" ht="13.8" x14ac:dyDescent="0.3"/>
    <row r="765" ht="13.8" x14ac:dyDescent="0.3"/>
    <row r="766" ht="13.8" x14ac:dyDescent="0.3"/>
    <row r="767" ht="13.8" x14ac:dyDescent="0.3"/>
    <row r="768" ht="13.8" x14ac:dyDescent="0.3"/>
    <row r="769" ht="13.8" x14ac:dyDescent="0.3"/>
    <row r="770" ht="13.8" x14ac:dyDescent="0.3"/>
    <row r="771" ht="13.8" x14ac:dyDescent="0.3"/>
    <row r="772" ht="13.8" x14ac:dyDescent="0.3"/>
    <row r="773" ht="13.8" x14ac:dyDescent="0.3"/>
    <row r="774" ht="13.8" x14ac:dyDescent="0.3"/>
    <row r="775" ht="13.8" x14ac:dyDescent="0.3"/>
    <row r="776" ht="13.8" x14ac:dyDescent="0.3"/>
    <row r="777" ht="13.8" x14ac:dyDescent="0.3"/>
    <row r="778" ht="13.8" x14ac:dyDescent="0.3"/>
    <row r="779" ht="13.8" x14ac:dyDescent="0.3"/>
    <row r="780" ht="13.8" x14ac:dyDescent="0.3"/>
    <row r="781" ht="13.8" x14ac:dyDescent="0.3"/>
    <row r="782" ht="13.8" x14ac:dyDescent="0.3"/>
    <row r="783" ht="13.8" x14ac:dyDescent="0.3"/>
    <row r="784" ht="13.8" x14ac:dyDescent="0.3"/>
    <row r="785" ht="13.8" x14ac:dyDescent="0.3"/>
    <row r="786" ht="13.8" x14ac:dyDescent="0.3"/>
    <row r="787" ht="13.8" x14ac:dyDescent="0.3"/>
    <row r="788" ht="13.8" x14ac:dyDescent="0.3"/>
    <row r="789" ht="13.8" x14ac:dyDescent="0.3"/>
    <row r="790" ht="13.8" x14ac:dyDescent="0.3"/>
    <row r="791" ht="13.8" x14ac:dyDescent="0.3"/>
    <row r="792" ht="13.8" x14ac:dyDescent="0.3"/>
    <row r="793" ht="13.8" x14ac:dyDescent="0.3"/>
    <row r="794" ht="13.8" x14ac:dyDescent="0.3"/>
    <row r="795" ht="13.8" x14ac:dyDescent="0.3"/>
    <row r="796" ht="13.8" x14ac:dyDescent="0.3"/>
    <row r="797" ht="13.8" x14ac:dyDescent="0.3"/>
    <row r="798" ht="13.8" x14ac:dyDescent="0.3"/>
    <row r="799" ht="13.8" x14ac:dyDescent="0.3"/>
    <row r="800" ht="13.8" x14ac:dyDescent="0.3"/>
    <row r="801" ht="13.8" x14ac:dyDescent="0.3"/>
    <row r="802" ht="13.8" x14ac:dyDescent="0.3"/>
    <row r="803" ht="13.8" x14ac:dyDescent="0.3"/>
    <row r="804" ht="13.8" x14ac:dyDescent="0.3"/>
    <row r="805" ht="13.8" x14ac:dyDescent="0.3"/>
    <row r="806" ht="13.8" x14ac:dyDescent="0.3"/>
    <row r="807" ht="13.8" x14ac:dyDescent="0.3"/>
    <row r="808" ht="13.8" x14ac:dyDescent="0.3"/>
    <row r="809" ht="13.8" x14ac:dyDescent="0.3"/>
    <row r="810" ht="13.8" x14ac:dyDescent="0.3"/>
    <row r="811" ht="13.8" x14ac:dyDescent="0.3"/>
    <row r="812" ht="13.8" x14ac:dyDescent="0.3"/>
    <row r="813" ht="13.8" x14ac:dyDescent="0.3"/>
    <row r="814" ht="13.8" x14ac:dyDescent="0.3"/>
    <row r="815" ht="13.8" x14ac:dyDescent="0.3"/>
    <row r="816" ht="13.8" x14ac:dyDescent="0.3"/>
    <row r="817" ht="13.8" x14ac:dyDescent="0.3"/>
    <row r="818" ht="13.8" x14ac:dyDescent="0.3"/>
    <row r="819" ht="13.8" x14ac:dyDescent="0.3"/>
    <row r="820" ht="13.8" x14ac:dyDescent="0.3"/>
    <row r="821" ht="13.8" x14ac:dyDescent="0.3"/>
    <row r="822" ht="13.8" x14ac:dyDescent="0.3"/>
    <row r="823" ht="13.8" x14ac:dyDescent="0.3"/>
    <row r="824" ht="13.8" x14ac:dyDescent="0.3"/>
    <row r="825" ht="13.8" x14ac:dyDescent="0.3"/>
    <row r="826" ht="13.8" x14ac:dyDescent="0.3"/>
    <row r="827" ht="13.8" x14ac:dyDescent="0.3"/>
    <row r="828" ht="13.8" x14ac:dyDescent="0.3"/>
    <row r="829" ht="13.8" x14ac:dyDescent="0.3"/>
    <row r="830" ht="13.8" x14ac:dyDescent="0.3"/>
    <row r="831" ht="13.8" x14ac:dyDescent="0.3"/>
    <row r="832" ht="13.8" x14ac:dyDescent="0.3"/>
    <row r="833" ht="13.8" x14ac:dyDescent="0.3"/>
    <row r="834" ht="13.8" x14ac:dyDescent="0.3"/>
    <row r="835" ht="13.8" x14ac:dyDescent="0.3"/>
    <row r="836" ht="13.8" x14ac:dyDescent="0.3"/>
    <row r="837" ht="13.8" x14ac:dyDescent="0.3"/>
    <row r="838" ht="13.8" x14ac:dyDescent="0.3"/>
    <row r="839" ht="13.8" x14ac:dyDescent="0.3"/>
    <row r="840" ht="13.8" x14ac:dyDescent="0.3"/>
    <row r="841" ht="13.8" x14ac:dyDescent="0.3"/>
    <row r="842" ht="13.8" x14ac:dyDescent="0.3"/>
    <row r="843" ht="13.8" x14ac:dyDescent="0.3"/>
    <row r="844" ht="13.8" x14ac:dyDescent="0.3"/>
    <row r="845" ht="13.8" x14ac:dyDescent="0.3"/>
    <row r="846" ht="13.8" x14ac:dyDescent="0.3"/>
    <row r="847" ht="13.8" x14ac:dyDescent="0.3"/>
    <row r="848" ht="13.8" x14ac:dyDescent="0.3"/>
    <row r="849" ht="13.8" x14ac:dyDescent="0.3"/>
    <row r="850" ht="13.8" x14ac:dyDescent="0.3"/>
    <row r="851" ht="13.8" x14ac:dyDescent="0.3"/>
    <row r="852" ht="13.8" x14ac:dyDescent="0.3"/>
    <row r="853" ht="13.8" x14ac:dyDescent="0.3"/>
    <row r="854" ht="13.8" x14ac:dyDescent="0.3"/>
    <row r="855" ht="13.8" x14ac:dyDescent="0.3"/>
    <row r="856" ht="13.8" x14ac:dyDescent="0.3"/>
    <row r="857" ht="13.8" x14ac:dyDescent="0.3"/>
    <row r="858" ht="13.8" x14ac:dyDescent="0.3"/>
    <row r="859" ht="13.8" x14ac:dyDescent="0.3"/>
    <row r="860" ht="13.8" x14ac:dyDescent="0.3"/>
    <row r="861" ht="13.8" x14ac:dyDescent="0.3"/>
    <row r="862" ht="13.8" x14ac:dyDescent="0.3"/>
    <row r="863" ht="13.8" x14ac:dyDescent="0.3"/>
    <row r="864" ht="13.8" x14ac:dyDescent="0.3"/>
    <row r="865" ht="13.8" x14ac:dyDescent="0.3"/>
    <row r="866" ht="13.8" x14ac:dyDescent="0.3"/>
    <row r="867" ht="13.8" x14ac:dyDescent="0.3"/>
    <row r="868" ht="13.8" x14ac:dyDescent="0.3"/>
    <row r="869" ht="13.8" x14ac:dyDescent="0.3"/>
    <row r="870" ht="13.8" x14ac:dyDescent="0.3"/>
    <row r="871" ht="13.8" x14ac:dyDescent="0.3"/>
    <row r="872" ht="13.8" x14ac:dyDescent="0.3"/>
    <row r="873" ht="13.8" x14ac:dyDescent="0.3"/>
    <row r="874" ht="13.8" x14ac:dyDescent="0.3"/>
    <row r="875" ht="13.8" x14ac:dyDescent="0.3"/>
    <row r="876" ht="13.8" x14ac:dyDescent="0.3"/>
    <row r="877" ht="13.8" x14ac:dyDescent="0.3"/>
    <row r="878" ht="13.8" x14ac:dyDescent="0.3"/>
    <row r="879" ht="13.8" x14ac:dyDescent="0.3"/>
    <row r="880" ht="13.8" x14ac:dyDescent="0.3"/>
    <row r="881" ht="13.8" x14ac:dyDescent="0.3"/>
    <row r="882" ht="13.8" x14ac:dyDescent="0.3"/>
    <row r="883" ht="13.8" x14ac:dyDescent="0.3"/>
    <row r="884" ht="13.8" x14ac:dyDescent="0.3"/>
    <row r="885" ht="13.8" x14ac:dyDescent="0.3"/>
    <row r="886" ht="13.8" x14ac:dyDescent="0.3"/>
    <row r="887" ht="13.8" x14ac:dyDescent="0.3"/>
    <row r="888" ht="13.8" x14ac:dyDescent="0.3"/>
    <row r="889" ht="13.8" x14ac:dyDescent="0.3"/>
    <row r="890" ht="13.8" x14ac:dyDescent="0.3"/>
    <row r="891" ht="13.8" x14ac:dyDescent="0.3"/>
    <row r="892" ht="13.8" x14ac:dyDescent="0.3"/>
    <row r="893" ht="13.8" x14ac:dyDescent="0.3"/>
    <row r="894" ht="13.8" x14ac:dyDescent="0.3"/>
    <row r="895" ht="13.8" x14ac:dyDescent="0.3"/>
    <row r="896" ht="13.8" x14ac:dyDescent="0.3"/>
    <row r="897" ht="13.8" x14ac:dyDescent="0.3"/>
    <row r="898" ht="13.8" x14ac:dyDescent="0.3"/>
    <row r="899" ht="13.8" x14ac:dyDescent="0.3"/>
    <row r="900" ht="13.8" x14ac:dyDescent="0.3"/>
    <row r="901" ht="13.8" x14ac:dyDescent="0.3"/>
    <row r="902" ht="13.8" x14ac:dyDescent="0.3"/>
    <row r="903" ht="13.8" x14ac:dyDescent="0.3"/>
    <row r="904" ht="13.8" x14ac:dyDescent="0.3"/>
    <row r="905" ht="13.8" x14ac:dyDescent="0.3"/>
    <row r="906" ht="13.8" x14ac:dyDescent="0.3"/>
    <row r="907" ht="13.8" x14ac:dyDescent="0.3"/>
    <row r="908" ht="13.8" x14ac:dyDescent="0.3"/>
    <row r="909" ht="13.8" x14ac:dyDescent="0.3"/>
    <row r="910" ht="13.8" x14ac:dyDescent="0.3"/>
    <row r="911" ht="13.8" x14ac:dyDescent="0.3"/>
    <row r="912" ht="13.8" x14ac:dyDescent="0.3"/>
    <row r="913" ht="13.8" x14ac:dyDescent="0.3"/>
    <row r="914" ht="13.8" x14ac:dyDescent="0.3"/>
    <row r="915" ht="13.8" x14ac:dyDescent="0.3"/>
    <row r="916" ht="13.8" x14ac:dyDescent="0.3"/>
    <row r="917" ht="13.8" x14ac:dyDescent="0.3"/>
    <row r="918" ht="13.8" x14ac:dyDescent="0.3"/>
    <row r="919" ht="13.8" x14ac:dyDescent="0.3"/>
    <row r="920" ht="13.8" x14ac:dyDescent="0.3"/>
    <row r="921" ht="13.8" x14ac:dyDescent="0.3"/>
    <row r="922" ht="13.8" x14ac:dyDescent="0.3"/>
    <row r="923" ht="13.8" x14ac:dyDescent="0.3"/>
    <row r="924" ht="13.8" x14ac:dyDescent="0.3"/>
    <row r="925" ht="13.8" x14ac:dyDescent="0.3"/>
    <row r="926" ht="13.8" x14ac:dyDescent="0.3"/>
    <row r="927" ht="13.8" x14ac:dyDescent="0.3"/>
    <row r="928" ht="13.8" x14ac:dyDescent="0.3"/>
    <row r="929" ht="13.8" x14ac:dyDescent="0.3"/>
    <row r="930" ht="13.8" x14ac:dyDescent="0.3"/>
    <row r="931" ht="13.8" x14ac:dyDescent="0.3"/>
    <row r="932" ht="13.8" x14ac:dyDescent="0.3"/>
    <row r="933" ht="13.8" x14ac:dyDescent="0.3"/>
    <row r="934" ht="13.8" x14ac:dyDescent="0.3"/>
    <row r="935" ht="13.8" x14ac:dyDescent="0.3"/>
    <row r="936" ht="13.8" x14ac:dyDescent="0.3"/>
    <row r="937" ht="13.8" x14ac:dyDescent="0.3"/>
    <row r="938" ht="13.8" x14ac:dyDescent="0.3"/>
    <row r="939" ht="13.8" x14ac:dyDescent="0.3"/>
    <row r="940" ht="13.8" x14ac:dyDescent="0.3"/>
    <row r="941" ht="13.8" x14ac:dyDescent="0.3"/>
    <row r="942" ht="13.8" x14ac:dyDescent="0.3"/>
    <row r="943" ht="13.8" x14ac:dyDescent="0.3"/>
    <row r="944" ht="13.8" x14ac:dyDescent="0.3"/>
    <row r="945" ht="13.8" x14ac:dyDescent="0.3"/>
    <row r="946" ht="13.8" x14ac:dyDescent="0.3"/>
    <row r="947" ht="13.8" x14ac:dyDescent="0.3"/>
    <row r="948" ht="13.8" x14ac:dyDescent="0.3"/>
    <row r="949" ht="13.8" x14ac:dyDescent="0.3"/>
    <row r="950" ht="13.8" x14ac:dyDescent="0.3"/>
    <row r="951" ht="13.8" x14ac:dyDescent="0.3"/>
    <row r="952" ht="13.8" x14ac:dyDescent="0.3"/>
    <row r="953" ht="13.8" x14ac:dyDescent="0.3"/>
    <row r="954" ht="13.8" x14ac:dyDescent="0.3"/>
    <row r="955" ht="13.8" x14ac:dyDescent="0.3"/>
    <row r="956" ht="13.8" x14ac:dyDescent="0.3"/>
    <row r="957" ht="13.8" x14ac:dyDescent="0.3"/>
    <row r="958" ht="13.8" x14ac:dyDescent="0.3"/>
    <row r="959" ht="13.8" x14ac:dyDescent="0.3"/>
    <row r="960" ht="13.8" x14ac:dyDescent="0.3"/>
    <row r="961" ht="13.8" x14ac:dyDescent="0.3"/>
    <row r="962" ht="13.8" x14ac:dyDescent="0.3"/>
    <row r="963" ht="13.8" x14ac:dyDescent="0.3"/>
    <row r="964" ht="13.8" x14ac:dyDescent="0.3"/>
    <row r="965" ht="13.8" x14ac:dyDescent="0.3"/>
    <row r="966" ht="13.8" x14ac:dyDescent="0.3"/>
    <row r="967" ht="13.8" x14ac:dyDescent="0.3"/>
    <row r="968" ht="13.8" x14ac:dyDescent="0.3"/>
    <row r="969" ht="13.8" x14ac:dyDescent="0.3"/>
    <row r="970" ht="13.8" x14ac:dyDescent="0.3"/>
    <row r="971" ht="13.8" x14ac:dyDescent="0.3"/>
    <row r="972" ht="13.8" x14ac:dyDescent="0.3"/>
    <row r="973" ht="13.8" x14ac:dyDescent="0.3"/>
    <row r="974" ht="13.8" x14ac:dyDescent="0.3"/>
    <row r="975" ht="13.8" x14ac:dyDescent="0.3"/>
    <row r="976" ht="13.8" x14ac:dyDescent="0.3"/>
    <row r="977" ht="13.8" x14ac:dyDescent="0.3"/>
    <row r="978" ht="13.8" x14ac:dyDescent="0.3"/>
    <row r="979" ht="13.8" x14ac:dyDescent="0.3"/>
    <row r="980" ht="13.8" x14ac:dyDescent="0.3"/>
  </sheetData>
  <autoFilter ref="A3:Z35" xr:uid="{00000000-0009-0000-0000-000002000000}">
    <sortState xmlns:xlrd2="http://schemas.microsoft.com/office/spreadsheetml/2017/richdata2" ref="A3:Z35">
      <sortCondition ref="C3:C35"/>
      <sortCondition ref="A3:A35"/>
    </sortState>
  </autoFilter>
  <mergeCells count="3">
    <mergeCell ref="A1:E1"/>
    <mergeCell ref="M5:N8"/>
    <mergeCell ref="O5: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Property List</vt:lpstr>
      <vt:lpstr>Flip Inventory Sheet</vt:lpstr>
      <vt:lpstr>Sold Flips</vt:lpstr>
      <vt:lpstr>Wholesale</vt:lpstr>
      <vt:lpstr>Kiavi 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Dadlani</dc:creator>
  <cp:lastModifiedBy>Roshan Dadlani</cp:lastModifiedBy>
  <dcterms:created xsi:type="dcterms:W3CDTF">2015-06-05T18:17:20Z</dcterms:created>
  <dcterms:modified xsi:type="dcterms:W3CDTF">2024-10-14T19:40:03Z</dcterms:modified>
</cp:coreProperties>
</file>