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0E9590A-5C2C-874C-BE06-C6BF68299236}" xr6:coauthVersionLast="47" xr6:coauthVersionMax="47" xr10:uidLastSave="{00000000-0000-0000-0000-000000000000}"/>
  <bookViews>
    <workbookView xWindow="0" yWindow="0" windowWidth="38400" windowHeight="216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8" i="1" l="1"/>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42" i="14"/>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<sst xmlns="http://schemas.openxmlformats.org/spreadsheetml/2006/main" count="7903" uniqueCount="3516">
  <si>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</si>
  <si>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</si>
  <si>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</si>
  <si>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</si>
  <si>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</si>
  <si>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</si>
  <si>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</si>
  <si>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</si>
  <si>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</si>
  <si>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</si>
  <si>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</si>
  <si>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</si>
  <si>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</si>
  <si>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</si>
  <si>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</si>
  <si>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</si>
  <si>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</si>
  <si>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</si>
  <si>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</si>
  <si>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</si>
  <si>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</si>
  <si>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</si>
  <si>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</si>
  <si>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</si>
  <si>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</si>
  <si>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</si>
  <si>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</si>
  <si>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</si>
  <si>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</si>
  <si>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</si>
  <si>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</si>
  <si>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</si>
  <si>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</si>
  <si>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</si>
  <si>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</si>
  <si>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</si>
  <si>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</si>
  <si>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</si>
  <si>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</si>
  <si>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</si>
  <si>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</si>
  <si>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</si>
  <si>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</si>
  <si>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</si>
  <si>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</si>
  <si>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</si>
  <si>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</si>
  <si>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</si>
  <si>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</si>
  <si>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</si>
  <si>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</si>
  <si>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</si>
  <si>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</si>
  <si>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</si>
  <si>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</si>
  <si>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</si>
  <si>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</si>
  <si>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</si>
  <si>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</si>
  <si>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</si>
  <si>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</si>
  <si>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</si>
  <si>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</si>
  <si>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</si>
  <si>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</si>
  <si>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</si>
  <si>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</si>
  <si>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</si>
  <si>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</si>
  <si>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</si>
  <si>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</si>
  <si>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</si>
  <si>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</si>
  <si>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</si>
  <si>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</si>
  <si>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</si>
  <si>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</si>
  <si>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</si>
  <si>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</si>
  <si>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</si>
  <si>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</si>
  <si>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</si>
  <si>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</si>
  <si>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</si>
  <si>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</si>
  <si>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</si>
  <si>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</si>
  <si>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</si>
  <si>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</si>
  <si>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</si>
  <si>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</si>
  <si>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</si>
  <si>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</si>
  <si>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</si>
  <si>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</si>
  <si>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</si>
  <si>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</si>
  <si>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</si>
  <si>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</si>
  <si>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</si>
  <si>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</si>
  <si>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</si>
  <si>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</si>
  <si>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</si>
  <si>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</si>
  <si>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</si>
  <si>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</si>
  <si>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</si>
  <si>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</si>
  <si>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</si>
  <si>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</si>
  <si>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</si>
  <si>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</si>
  <si>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</si>
  <si>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</si>
  <si>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</si>
  <si>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</si>
  <si>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</si>
  <si>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</si>
  <si>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</si>
  <si>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</si>
  <si>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</si>
  <si>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</si>
  <si>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</si>
  <si>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</si>
  <si>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</si>
  <si>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</si>
  <si>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</si>
  <si>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</si>
  <si>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</si>
  <si>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</si>
  <si>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</si>
  <si>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</si>
  <si>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</si>
  <si>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</si>
  <si>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</si>
  <si>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</si>
  <si>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</si>
  <si>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</si>
  <si>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</si>
  <si>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</si>
  <si>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</si>
  <si>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</si>
  <si>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</si>
  <si>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</si>
  <si>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</si>
  <si>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</si>
  <si>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</si>
  <si>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</si>
  <si>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</si>
  <si>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</si>
  <si>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</si>
  <si>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</si>
  <si>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</si>
  <si>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</si>
  <si>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</si>
  <si>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</si>
  <si>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</si>
  <si>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</si>
  <si>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</si>
  <si>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</si>
  <si>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</si>
  <si>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</si>
  <si>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</si>
  <si>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</si>
  <si>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</si>
  <si>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</si>
  <si>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</si>
  <si>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</si>
  <si>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</si>
  <si>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</si>
  <si>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</si>
  <si>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</si>
  <si>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</si>
  <si>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</si>
  <si>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</si>
  <si>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</si>
  <si>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</si>
  <si>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</si>
  <si>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</si>
  <si>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</si>
  <si>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</si>
  <si>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</si>
  <si>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</si>
  <si>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</si>
  <si>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</si>
  <si>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</si>
  <si>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</si>
  <si>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</si>
  <si>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</si>
  <si>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</si>
  <si>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</si>
  <si>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</si>
  <si>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</si>
  <si>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</si>
  <si>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</si>
  <si>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</si>
  <si>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</si>
  <si>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</si>
  <si>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</si>
  <si>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</si>
  <si>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</si>
  <si>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</si>
  <si>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</si>
  <si>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</si>
  <si>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</si>
  <si>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</si>
  <si>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</si>
  <si>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</si>
  <si>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</si>
  <si>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</si>
  <si>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</si>
  <si>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</si>
  <si>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</si>
  <si>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</si>
  <si>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</si>
  <si>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</si>
  <si>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</si>
  <si>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</si>
  <si>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</si>
  <si>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</si>
  <si>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</si>
  <si>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</si>
  <si>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</si>
  <si>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</si>
  <si>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</si>
  <si>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</si>
  <si>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</si>
  <si>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</si>
  <si>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</si>
  <si>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</si>
  <si>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</si>
  <si>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</si>
  <si>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</si>
  <si>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</si>
  <si>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</si>
  <si>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</si>
  <si>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</si>
  <si>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</si>
  <si>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</si>
  <si>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</si>
  <si>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</si>
  <si>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</si>
  <si>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</si>
  <si>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</si>
  <si>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</si>
  <si>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</si>
  <si>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</si>
  <si>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</si>
  <si>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</si>
  <si>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</si>
  <si>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</si>
  <si>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</si>
  <si>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</si>
  <si>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</si>
  <si>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</si>
  <si>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</si>
  <si>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</si>
  <si>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</si>
  <si>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</si>
  <si>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</si>
  <si>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</si>
  <si>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</si>
  <si>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</si>
  <si>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</si>
  <si>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</si>
  <si>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</si>
  <si>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</si>
  <si>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</si>
  <si>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</si>
  <si>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</si>
  <si>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</si>
  <si>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</si>
  <si>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</si>
  <si>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</si>
  <si>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</si>
  <si>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</si>
  <si>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</si>
  <si>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</si>
  <si>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</si>
  <si>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</si>
  <si>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</si>
  <si>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</si>
  <si>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</si>
  <si>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</si>
  <si>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</si>
  <si>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</si>
  <si>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</si>
  <si>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</si>
  <si>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</si>
  <si>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</si>
  <si>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</si>
  <si>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</si>
  <si>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</si>
  <si>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</si>
  <si>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</si>
  <si>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</si>
  <si>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</si>
  <si>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</si>
  <si>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</si>
  <si>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</si>
  <si>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</si>
  <si>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</si>
  <si>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</si>
  <si>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</si>
  <si>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</si>
  <si>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</si>
  <si>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</si>
  <si>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</si>
  <si>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</si>
  <si>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</si>
  <si>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</si>
  <si>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</si>
  <si>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</si>
  <si>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</si>
  <si>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</si>
  <si>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</si>
  <si>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</si>
  <si>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</si>
  <si>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</si>
  <si>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</si>
  <si>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</si>
  <si>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</si>
  <si>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</si>
  <si>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</si>
  <si>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</si>
  <si>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</si>
  <si>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</si>
  <si>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</si>
  <si>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</si>
  <si>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</si>
  <si>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</si>
  <si>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</si>
  <si>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</si>
  <si>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</si>
  <si>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</si>
  <si>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</si>
  <si>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</si>
  <si>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</si>
  <si>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</si>
  <si>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</si>
  <si>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</si>
  <si>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</si>
  <si>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</si>
  <si>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</si>
  <si>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</si>
  <si>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</si>
  <si>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</si>
  <si>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</si>
  <si>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</si>
  <si>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</si>
  <si>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</si>
  <si>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</si>
  <si>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</si>
  <si>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</si>
  <si>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</si>
  <si>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</si>
  <si>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</si>
  <si>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</si>
  <si>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</si>
  <si>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</si>
  <si>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</si>
  <si>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</si>
  <si>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</si>
  <si>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</si>
  <si>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</si>
  <si>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</si>
  <si>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</si>
  <si>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</si>
  <si>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</si>
  <si>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</si>
  <si>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</si>
  <si>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</si>
  <si>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</si>
  <si>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</si>
  <si>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</si>
  <si>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</si>
  <si>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</si>
  <si>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</si>
  <si>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</si>
  <si>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</si>
  <si>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</si>
  <si>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</si>
  <si>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</si>
  <si>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</si>
  <si>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</si>
  <si>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</si>
  <si>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</si>
  <si>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</si>
  <si>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</si>
  <si>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</si>
  <si>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</si>
  <si>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</si>
  <si>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</si>
  <si>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</si>
  <si>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</si>
  <si>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</si>
  <si>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</si>
  <si>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</si>
  <si>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</si>
  <si>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</si>
  <si>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</si>
  <si>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</si>
  <si>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</si>
  <si>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</si>
  <si>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</si>
  <si>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</si>
  <si>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</si>
  <si>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</si>
  <si>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</si>
  <si>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</si>
  <si>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</si>
  <si>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</si>
  <si>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</si>
  <si>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</si>
  <si>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</si>
  <si>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</si>
  <si>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</si>
  <si>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</si>
  <si>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</si>
  <si>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</si>
  <si>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</si>
  <si>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</si>
  <si>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</si>
  <si>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</si>
  <si>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</si>
  <si>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</si>
  <si>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</si>
  <si>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</si>
  <si>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</si>
  <si>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</si>
  <si>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</si>
  <si>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</si>
  <si>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</si>
  <si>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</si>
  <si>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</si>
  <si>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</si>
  <si>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</si>
  <si>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</si>
  <si>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</si>
  <si>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</si>
  <si>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</si>
  <si>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</si>
  <si>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</si>
  <si>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</si>
  <si>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</si>
  <si>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</si>
  <si>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</si>
  <si>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</si>
  <si>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</si>
  <si>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</si>
  <si>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</si>
  <si>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</si>
  <si>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</si>
  <si>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</si>
  <si>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</si>
  <si>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</si>
  <si>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</si>
  <si>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</si>
  <si>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</si>
  <si>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</si>
  <si>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</si>
  <si>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</si>
  <si>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</si>
  <si>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</si>
  <si>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</si>
  <si>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</si>
  <si>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</si>
  <si>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</si>
  <si>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</si>
  <si>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</si>
  <si>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</si>
  <si>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</si>
  <si>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</si>
  <si>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</si>
  <si>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</si>
  <si>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</si>
  <si>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</si>
  <si>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</si>
  <si>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</si>
  <si>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</si>
  <si>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</si>
  <si>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</si>
  <si>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</si>
  <si>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</si>
  <si>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</si>
  <si>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</si>
  <si>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</si>
  <si>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</si>
  <si>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</si>
  <si>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</si>
  <si>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</si>
  <si>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</si>
  <si>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</si>
  <si>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</si>
  <si>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</si>
  <si>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</si>
  <si>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</si>
  <si>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</si>
  <si>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</si>
  <si>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</si>
  <si>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</si>
  <si>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</si>
  <si>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</si>
  <si>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</si>
  <si>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</si>
  <si>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</si>
  <si>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</si>
  <si>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</si>
  <si>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</si>
  <si>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</si>
  <si>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</si>
  <si>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</si>
  <si>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</si>
  <si>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</si>
  <si>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</si>
  <si>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</si>
  <si>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</si>
  <si>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</si>
  <si>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</si>
  <si>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</si>
  <si>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</si>
  <si>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</si>
  <si>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</si>
  <si>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</si>
  <si>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</si>
  <si>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</si>
  <si>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</si>
  <si>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</si>
  <si>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</si>
  <si>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</si>
  <si>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</si>
  <si>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</si>
  <si>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</si>
  <si>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</si>
  <si>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</si>
  <si>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</si>
  <si>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</si>
  <si>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</si>
  <si>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</si>
  <si>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</si>
  <si>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</si>
  <si>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</si>
  <si>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</si>
  <si>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</si>
  <si>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</si>
  <si>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</si>
  <si>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</si>
  <si>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</si>
  <si>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</si>
  <si>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</si>
  <si>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</si>
  <si>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</si>
  <si>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</si>
  <si>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</si>
  <si>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</si>
  <si>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</si>
  <si>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</si>
  <si>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</si>
  <si>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</si>
  <si>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</si>
  <si>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</si>
  <si>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</si>
  <si>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</si>
  <si>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</si>
  <si>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</si>
  <si>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</si>
  <si>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</si>
  <si>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</si>
  <si>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</si>
  <si>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</si>
  <si>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</si>
  <si>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</si>
  <si>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</si>
  <si>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</si>
  <si>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</si>
  <si>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</si>
  <si>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</si>
  <si>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</si>
  <si>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</si>
  <si>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</si>
  <si>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</si>
  <si>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</si>
  <si>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</si>
  <si>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</si>
  <si>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</si>
  <si>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</si>
  <si>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</si>
  <si>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</si>
  <si>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</si>
  <si>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</si>
  <si>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</si>
  <si>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</si>
  <si>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</si>
  <si>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</si>
  <si>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</si>
  <si>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</si>
  <si>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</si>
  <si>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</si>
  <si>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</si>
  <si>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</si>
  <si>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</si>
  <si>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</si>
  <si>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</si>
  <si>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</si>
  <si>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</si>
  <si>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</si>
  <si>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</si>
  <si>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</si>
  <si>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</si>
  <si>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</si>
  <si>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</si>
  <si>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</si>
  <si>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</si>
  <si>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</si>
  <si>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</si>
  <si>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</si>
  <si>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</si>
  <si>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</si>
  <si>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</si>
  <si>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</si>
  <si>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</si>
  <si>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</si>
  <si>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</si>
  <si>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</si>
  <si>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</si>
  <si>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</si>
  <si>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</si>
  <si>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</si>
  <si>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</si>
  <si>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</si>
  <si>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</si>
  <si>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</si>
  <si>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</si>
  <si>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</si>
  <si>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</si>
  <si>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</si>
  <si>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</si>
  <si>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</si>
  <si>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</si>
  <si>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</si>
  <si>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</si>
  <si>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</si>
  <si>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</si>
  <si>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</si>
  <si>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</si>
  <si>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</si>
  <si>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</si>
  <si>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</si>
  <si>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</si>
  <si>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</si>
  <si>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</si>
  <si>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</si>
  <si>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</si>
  <si>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</si>
  <si>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</si>
  <si>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</si>
  <si>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</si>
  <si>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</si>
  <si>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</si>
  <si>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</si>
  <si>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</si>
  <si>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</si>
  <si>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</si>
  <si>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</si>
  <si>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</si>
  <si>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</si>
  <si>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</si>
  <si>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</si>
  <si>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</si>
  <si>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</si>
  <si>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</si>
  <si>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</si>
  <si>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</si>
  <si>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</si>
  <si>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</si>
  <si>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</si>
  <si>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</si>
  <si>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</si>
  <si>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</si>
  <si>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</si>
  <si>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</si>
  <si>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</si>
  <si>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</si>
  <si>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</si>
  <si>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</si>
  <si>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</si>
  <si>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</si>
  <si>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</si>
  <si>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</si>
  <si>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</si>
  <si>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</si>
  <si>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</si>
  <si>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</si>
  <si>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</si>
  <si>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</si>
  <si>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</si>
  <si>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</si>
  <si>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</si>
  <si>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</si>
  <si>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</si>
  <si>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</si>
  <si>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</si>
  <si>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</si>
  <si>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</si>
  <si>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</si>
  <si>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</si>
  <si>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</si>
  <si>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</si>
  <si>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</si>
  <si>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</si>
  <si>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</si>
  <si>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</si>
  <si>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</si>
  <si>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</si>
  <si>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</si>
  <si>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</si>
  <si>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</si>
  <si>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</si>
  <si>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</si>
  <si>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</si>
  <si>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</si>
  <si>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</si>
  <si>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</si>
  <si>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</si>
  <si>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</si>
  <si>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</si>
  <si>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</si>
  <si>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</si>
  <si>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</si>
  <si>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</si>
  <si>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</si>
  <si>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</si>
  <si>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</si>
  <si>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</si>
  <si>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</si>
  <si>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</si>
  <si>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</si>
  <si>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</si>
  <si>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</si>
  <si>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</si>
  <si>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</si>
  <si>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</si>
  <si>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</si>
  <si>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</si>
  <si>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</si>
  <si>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</si>
  <si>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</si>
  <si>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</si>
  <si>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</si>
  <si>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</si>
  <si>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</si>
  <si>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</si>
  <si>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</si>
  <si>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</si>
  <si>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</si>
  <si>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</si>
  <si>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</si>
  <si>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</si>
  <si>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</si>
  <si>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</si>
  <si>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</si>
  <si>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</si>
  <si>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</si>
  <si>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</si>
  <si>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</si>
  <si>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</si>
  <si>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</si>
  <si>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</si>
  <si>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</si>
  <si>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</si>
  <si>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</si>
  <si>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</si>
  <si>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</si>
  <si>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</si>
  <si>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</si>
  <si>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</si>
  <si>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</si>
  <si>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</si>
  <si>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</si>
  <si>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</si>
  <si>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</si>
  <si>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</si>
  <si>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</si>
  <si>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</si>
  <si>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</si>
  <si>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</si>
  <si>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</si>
  <si>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</si>
  <si>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</si>
  <si>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</si>
  <si>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</si>
  <si>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</si>
  <si>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</si>
  <si>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</si>
  <si>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</si>
  <si>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</si>
  <si>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</si>
  <si>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</si>
  <si>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</si>
  <si>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</si>
  <si>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</si>
  <si>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</si>
  <si>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</si>
  <si>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</si>
  <si>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</si>
  <si>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</si>
  <si>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</si>
  <si>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</si>
  <si>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</si>
  <si>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</si>
  <si>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</si>
  <si>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</si>
  <si>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</si>
  <si>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</si>
  <si>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</si>
  <si>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</si>
  <si>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</si>
  <si>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</si>
  <si>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</si>
  <si>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</si>
  <si>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</si>
  <si>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</si>
  <si>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</si>
  <si>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</si>
  <si>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</si>
  <si>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</si>
  <si>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</si>
  <si>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</si>
  <si>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</si>
  <si>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</si>
  <si>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</si>
  <si>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</si>
  <si>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</si>
  <si>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</si>
  <si>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</si>
  <si>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</si>
  <si>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</si>
  <si>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</si>
  <si>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</si>
  <si>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</si>
  <si>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</si>
  <si>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</si>
  <si>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</si>
  <si>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</si>
  <si>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</si>
  <si>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</si>
  <si>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</si>
  <si>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</si>
  <si>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</si>
  <si>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</si>
  <si>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</si>
  <si>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</si>
  <si>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</si>
  <si>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</si>
  <si>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</si>
  <si>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</si>
  <si>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</si>
  <si>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</si>
  <si>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</si>
  <si>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</si>
  <si>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</si>
  <si>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</si>
  <si>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</si>
  <si>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</si>
  <si>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</si>
  <si>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</si>
  <si>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</si>
  <si>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</si>
  <si>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</si>
  <si>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</si>
  <si>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</si>
  <si>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</si>
  <si>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</si>
  <si>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</si>
  <si>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</si>
  <si>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</si>
  <si>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</si>
  <si>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</si>
  <si>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</si>
  <si>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</si>
  <si>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</si>
  <si>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</si>
  <si>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</si>
  <si>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</si>
  <si>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</si>
  <si>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</si>
  <si>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</si>
  <si>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</si>
  <si>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</si>
  <si>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</si>
  <si>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</si>
  <si>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</si>
  <si>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</si>
  <si>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</si>
  <si>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</si>
  <si>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</si>
  <si>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</si>
  <si>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</si>
  <si>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</si>
  <si>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</si>
  <si>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</si>
  <si>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</si>
  <si>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</si>
  <si>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</si>
  <si>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</si>
  <si>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</si>
  <si>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</si>
  <si>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</si>
  <si>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</si>
  <si>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</si>
  <si>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</si>
  <si>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</si>
  <si>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</si>
  <si>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</si>
  <si>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</si>
  <si>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</si>
  <si>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</si>
  <si>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</si>
  <si>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</si>
  <si>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</si>
  <si>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</si>
  <si>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</si>
  <si>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</si>
  <si>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</si>
  <si>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</si>
  <si>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</si>
  <si>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</si>
  <si>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</si>
  <si>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</si>
  <si>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</si>
  <si>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</si>
  <si>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</si>
  <si>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</si>
  <si>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</si>
  <si>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</si>
  <si>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</si>
  <si>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</si>
  <si>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</si>
  <si>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</si>
  <si>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</si>
  <si>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</si>
  <si>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</si>
  <si>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</si>
  <si>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</si>
  <si>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</si>
  <si>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</si>
  <si>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</si>
  <si>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</si>
  <si>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</si>
  <si>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</si>
  <si>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</si>
  <si>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</si>
  <si>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</si>
  <si>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</si>
  <si>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</si>
  <si>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</si>
  <si>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</si>
  <si>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</si>
  <si>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</si>
  <si>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</si>
  <si>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</si>
  <si>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</si>
  <si>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</si>
  <si>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</si>
  <si>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</si>
  <si>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</si>
  <si>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</si>
  <si>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</si>
  <si>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</si>
  <si>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</si>
  <si>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</si>
  <si>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</si>
  <si>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</si>
  <si>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</si>
  <si>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</si>
  <si>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</si>
  <si>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</si>
  <si>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</si>
  <si>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</si>
  <si>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</si>
  <si>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</si>
  <si>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</si>
  <si>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</si>
  <si>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</si>
  <si>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</si>
  <si>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</si>
  <si>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</si>
  <si>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</si>
  <si>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</si>
  <si>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</si>
  <si>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</si>
  <si>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</si>
  <si>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</si>
  <si>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</si>
  <si>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</si>
  <si>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</si>
  <si>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</si>
  <si>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</si>
  <si>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</si>
  <si>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</si>
  <si>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</si>
  <si>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</si>
  <si>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</si>
  <si>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</si>
  <si>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</si>
  <si>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</si>
  <si>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</si>
  <si>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</si>
  <si>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</si>
  <si>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</si>
  <si>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</si>
  <si>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</si>
  <si>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</si>
  <si>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</si>
  <si>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</si>
  <si>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</si>
  <si>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</si>
  <si>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</si>
  <si>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</si>
  <si>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</si>
  <si>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</si>
  <si>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</si>
  <si>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</si>
  <si>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</si>
  <si>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</si>
  <si>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</si>
  <si>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</si>
  <si>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</si>
  <si>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</si>
  <si>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</si>
  <si>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</si>
  <si>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</si>
  <si>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</si>
  <si>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</si>
  <si>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</si>
  <si>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</si>
  <si>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</si>
  <si>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</si>
  <si>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</si>
  <si>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</si>
  <si>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</si>
  <si>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</si>
  <si>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</si>
  <si>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</si>
  <si>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</si>
  <si>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</si>
  <si>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</si>
  <si>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</si>
  <si>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</si>
  <si>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</si>
  <si>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</si>
  <si>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</si>
  <si>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</si>
  <si>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</si>
  <si>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</si>
  <si>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</si>
  <si>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</si>
  <si>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</si>
  <si>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</si>
  <si>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</si>
  <si>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</si>
  <si>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</si>
  <si>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</si>
  <si>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</si>
  <si>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</si>
  <si>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</si>
  <si>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</si>
  <si>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</si>
  <si>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</si>
  <si>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</si>
  <si>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</si>
  <si>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</si>
  <si>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</si>
  <si>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</si>
  <si>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</si>
  <si>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</si>
  <si>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</si>
  <si>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</si>
  <si>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</si>
  <si>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</si>
  <si>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</si>
  <si>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</si>
  <si>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</si>
  <si>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</si>
  <si>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</si>
  <si>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</si>
  <si>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</si>
  <si>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</si>
  <si>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</si>
  <si>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</si>
  <si>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</si>
  <si>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</si>
  <si>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</si>
  <si>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</si>
  <si>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</si>
  <si>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</si>
  <si>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</si>
  <si>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</si>
  <si>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</si>
  <si>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</si>
  <si>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</si>
  <si>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</si>
  <si>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</si>
  <si>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</si>
  <si>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</si>
  <si>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</si>
  <si>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</si>
  <si>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</si>
  <si>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</si>
  <si>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</si>
  <si>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</si>
  <si>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</si>
  <si>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</si>
  <si>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</si>
  <si>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</si>
  <si>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</si>
  <si>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</si>
  <si>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</si>
  <si>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</si>
  <si>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</si>
  <si>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</si>
  <si>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</si>
  <si>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</si>
  <si>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</si>
  <si>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</si>
  <si>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</si>
  <si>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</si>
  <si>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</si>
  <si>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</si>
  <si>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</si>
  <si>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</si>
  <si>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</si>
  <si>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</si>
  <si>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</si>
  <si>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</si>
  <si>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</si>
  <si>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</si>
  <si>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</si>
  <si>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</si>
  <si>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</si>
  <si>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</si>
  <si>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</si>
  <si>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</si>
  <si>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</si>
  <si>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</si>
  <si>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</si>
  <si>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</si>
  <si>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</si>
  <si>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</si>
  <si>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</si>
  <si>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</si>
  <si>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</si>
  <si>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</si>
  <si>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</si>
  <si>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</si>
  <si>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</si>
  <si>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</si>
  <si>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</si>
  <si>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</si>
  <si>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</si>
  <si>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</si>
  <si>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</si>
  <si>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</si>
  <si>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</si>
  <si>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</si>
  <si>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</si>
  <si>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</si>
  <si>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</si>
  <si>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</si>
  <si>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</si>
  <si>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</si>
  <si>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</si>
  <si>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</si>
  <si>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</si>
  <si>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</si>
  <si>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</si>
  <si>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</si>
  <si>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</si>
  <si>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</si>
  <si>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</si>
  <si>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</si>
  <si>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</si>
  <si>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</si>
  <si>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</si>
  <si>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</si>
  <si>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</si>
  <si>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</si>
  <si>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</si>
  <si>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</si>
  <si>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</si>
  <si>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</si>
  <si>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</si>
  <si>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</si>
  <si>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</si>
  <si>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</si>
  <si>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</si>
  <si>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</si>
  <si>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</si>
  <si>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</si>
  <si>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</si>
  <si>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</si>
  <si>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</si>
  <si>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</si>
  <si>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</si>
  <si>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</si>
  <si>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</si>
  <si>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</si>
  <si>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</si>
  <si>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</si>
  <si>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</si>
  <si>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</si>
  <si>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</si>
  <si>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</si>
  <si>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</si>
  <si>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</si>
  <si>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</si>
  <si>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</si>
  <si>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</si>
  <si>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</si>
  <si>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</si>
  <si>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</si>
  <si>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</si>
  <si>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</si>
  <si>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</si>
  <si>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</si>
  <si>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</si>
  <si>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</si>
  <si>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</si>
  <si>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</si>
  <si>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</si>
  <si>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</si>
  <si>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</si>
  <si>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</si>
  <si>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</si>
  <si>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</si>
  <si>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</si>
  <si>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</si>
  <si>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</si>
  <si>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</si>
  <si>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</si>
  <si>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</si>
  <si>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</si>
  <si>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</si>
  <si>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</si>
  <si>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</si>
  <si>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</si>
  <si>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</si>
  <si>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</si>
  <si>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</si>
  <si>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</si>
  <si>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</si>
  <si>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</si>
  <si>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</si>
  <si>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</si>
  <si>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</si>
  <si>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</si>
  <si>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</si>
  <si>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</si>
  <si>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</si>
  <si>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</si>
  <si>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</si>
  <si>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</si>
  <si>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</si>
  <si>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</si>
  <si>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</si>
  <si>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</si>
  <si>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</si>
  <si>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</si>
  <si>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</si>
  <si>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</si>
  <si>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</si>
  <si>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</si>
  <si>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</si>
  <si>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</si>
  <si>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</si>
  <si>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</si>
  <si>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</si>
  <si>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</si>
  <si>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</si>
  <si>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</si>
  <si>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</si>
  <si>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</si>
  <si>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</si>
  <si>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</si>
  <si>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</si>
  <si>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</si>
  <si>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</si>
  <si>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</si>
  <si>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</si>
  <si>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</si>
  <si>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</si>
  <si>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</si>
  <si>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</si>
  <si>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</si>
  <si>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</si>
  <si>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</si>
  <si>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</si>
  <si>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</si>
  <si>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</si>
  <si>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</si>
  <si>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</si>
  <si>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</si>
  <si>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</si>
  <si>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</si>
  <si>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</si>
  <si>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</si>
  <si>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</si>
  <si>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</si>
  <si>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</si>
  <si>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</si>
  <si>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</si>
  <si>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</si>
  <si>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</si>
  <si>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</si>
  <si>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</si>
  <si>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</si>
  <si>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</si>
  <si>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</si>
  <si>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</si>
  <si>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</si>
  <si>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</si>
  <si>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</si>
  <si>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</si>
  <si>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</si>
  <si>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</si>
  <si>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</si>
  <si>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</si>
  <si>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</si>
  <si>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</si>
  <si>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</si>
  <si>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</si>
  <si>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</si>
  <si>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</si>
  <si>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</si>
  <si>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</si>
  <si>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</si>
  <si>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</si>
  <si>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</si>
  <si>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</si>
  <si>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</si>
  <si>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</si>
  <si>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</si>
  <si>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</si>
  <si>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</si>
  <si>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</si>
  <si>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</si>
  <si>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</si>
  <si>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</si>
  <si>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</si>
  <si>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</si>
  <si>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</si>
  <si>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</si>
  <si>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</si>
  <si>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</si>
  <si>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</si>
  <si>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</si>
  <si>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</si>
  <si>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</si>
  <si>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</si>
  <si>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</si>
  <si>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</si>
  <si>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</si>
  <si>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</si>
  <si>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</si>
  <si>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</si>
  <si>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</si>
  <si>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</si>
  <si>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</si>
  <si>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</si>
  <si>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</si>
  <si>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</si>
  <si>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</si>
  <si>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</si>
  <si>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</si>
  <si>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</si>
  <si>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</si>
  <si>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</si>
  <si>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</si>
  <si>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</si>
  <si>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</si>
  <si>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</si>
  <si>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</si>
  <si>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</si>
  <si>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</si>
  <si>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</si>
  <si>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</si>
  <si>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</si>
  <si>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</si>
  <si>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</si>
  <si>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</si>
  <si>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</si>
  <si>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</si>
  <si>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</si>
  <si>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</si>
  <si>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</si>
  <si>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</si>
  <si>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</si>
  <si>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</si>
  <si>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</si>
  <si>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</si>
  <si>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</si>
  <si>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</si>
  <si>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</si>
  <si>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</si>
  <si>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</si>
  <si>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</si>
  <si>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</si>
  <si>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</si>
  <si>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</si>
  <si>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</si>
  <si>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</si>
  <si>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</si>
  <si>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</si>
  <si>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</si>
  <si>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</si>
  <si>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</si>
  <si>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</si>
  <si>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</si>
  <si>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</si>
  <si>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</si>
  <si>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</si>
  <si>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</si>
  <si>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</si>
  <si>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</si>
  <si>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</si>
  <si>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</si>
  <si>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</si>
  <si>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</si>
  <si>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</si>
  <si>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</si>
  <si>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</si>
  <si>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</si>
  <si>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</si>
  <si>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</si>
  <si>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</si>
  <si>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</si>
  <si>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</si>
  <si>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</si>
  <si>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</si>
  <si>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</si>
  <si>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</si>
  <si>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</si>
  <si>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</si>
  <si>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</si>
  <si>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</si>
  <si>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</si>
  <si>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</si>
  <si>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</si>
  <si>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</si>
  <si>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</si>
  <si>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</si>
  <si>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</si>
  <si>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</si>
  <si>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</si>
  <si>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</si>
  <si>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</si>
  <si>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</si>
  <si>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</si>
  <si>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</si>
  <si>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</si>
  <si>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</si>
  <si>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</si>
  <si>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</si>
  <si>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</si>
  <si>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</si>
  <si>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</si>
  <si>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</si>
  <si>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</si>
  <si>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</si>
  <si>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</si>
  <si>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</si>
  <si>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</si>
  <si>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</si>
  <si>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</si>
  <si>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</si>
  <si>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</si>
  <si>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</si>
  <si>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</si>
  <si>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</si>
  <si>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</si>
  <si>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</si>
  <si>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</si>
  <si>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</si>
  <si>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</si>
  <si>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</si>
  <si>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</si>
  <si>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</si>
  <si>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</si>
  <si>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</si>
  <si>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</si>
  <si>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</si>
  <si>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</si>
  <si>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</si>
  <si>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</si>
  <si>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</si>
  <si>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</si>
  <si>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</si>
  <si>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</si>
  <si>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</si>
  <si>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</si>
  <si>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</si>
  <si>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</si>
  <si>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</si>
  <si>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</si>
  <si>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</si>
  <si>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</si>
  <si>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</si>
  <si>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</si>
  <si>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</si>
  <si>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</si>
  <si>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</si>
  <si>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</si>
  <si>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</si>
  <si>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</si>
  <si>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</si>
  <si>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</si>
  <si>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</si>
  <si>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</si>
  <si>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</si>
  <si>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</si>
  <si>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</si>
  <si>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</si>
  <si>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</si>
  <si>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</si>
  <si>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</si>
  <si>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</si>
  <si>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</si>
  <si>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</si>
  <si>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</si>
  <si>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</si>
  <si>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</si>
  <si>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</si>
  <si>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</si>
  <si>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</si>
  <si>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</si>
  <si>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</si>
  <si>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</si>
  <si>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</si>
  <si>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</si>
  <si>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</si>
  <si>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</si>
  <si>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</si>
  <si>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</si>
  <si>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</si>
  <si>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</si>
  <si>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</si>
  <si>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</si>
  <si>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</si>
  <si>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</si>
  <si>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</si>
  <si>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</si>
  <si>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</si>
  <si>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</si>
  <si>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</si>
  <si>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</si>
  <si>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</si>
  <si>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</si>
  <si>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</si>
  <si>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</si>
  <si>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</si>
  <si>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</si>
  <si>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</si>
  <si>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</si>
  <si>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</si>
  <si>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</si>
  <si>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</si>
  <si>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</si>
  <si>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</si>
  <si>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</si>
  <si>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</si>
  <si>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</si>
  <si>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</si>
  <si>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</si>
  <si>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</si>
  <si>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</si>
  <si>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</si>
  <si>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</si>
  <si>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</si>
  <si>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</si>
  <si>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</si>
  <si>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</si>
  <si>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</si>
  <si>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</si>
  <si>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</si>
  <si>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</si>
  <si>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</si>
  <si>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</si>
  <si>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</si>
  <si>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</si>
  <si>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</si>
  <si>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</si>
  <si>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</si>
  <si>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</si>
  <si>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</si>
  <si>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</si>
  <si>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</si>
  <si>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</si>
  <si>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</si>
  <si>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</si>
  <si>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</si>
  <si>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</si>
  <si>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</si>
  <si>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</si>
  <si>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</si>
  <si>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</si>
  <si>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</si>
  <si>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</si>
  <si>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</si>
  <si>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</si>
  <si>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</si>
  <si>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</si>
  <si>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</si>
  <si>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</si>
  <si>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</si>
  <si>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</si>
  <si>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</si>
  <si>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</si>
  <si>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</si>
  <si>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</si>
  <si>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</si>
  <si>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</si>
  <si>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</si>
  <si>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</si>
  <si>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</si>
  <si>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</si>
  <si>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</si>
  <si>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</si>
  <si>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</si>
  <si>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</si>
  <si>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</si>
  <si>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</si>
  <si>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</si>
  <si>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</si>
  <si>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</si>
  <si>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</si>
  <si>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</si>
  <si>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</si>
  <si>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</si>
  <si>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</si>
  <si>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</si>
  <si>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</si>
  <si>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</si>
  <si>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</si>
  <si>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</si>
  <si>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</si>
  <si>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</si>
  <si>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</si>
  <si>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</si>
  <si>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</si>
  <si>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</si>
  <si>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</si>
  <si>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</si>
  <si>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</si>
  <si>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</si>
  <si>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</si>
  <si>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</si>
  <si>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</si>
  <si>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</si>
  <si>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</si>
  <si>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</si>
  <si>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</si>
  <si>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</si>
  <si>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</si>
  <si>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</si>
  <si>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</si>
  <si>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</si>
  <si>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</si>
  <si>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</si>
  <si>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</si>
  <si>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</si>
  <si>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</si>
  <si>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</si>
  <si>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</si>
  <si>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</si>
  <si>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</si>
  <si>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</si>
  <si>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</si>
  <si>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</si>
  <si>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</si>
  <si>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</si>
  <si>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</si>
  <si>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</si>
  <si>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</si>
  <si>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</si>
  <si>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</si>
  <si>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</si>
  <si>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</si>
  <si>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</si>
  <si>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</si>
  <si>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</si>
  <si>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</si>
  <si>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</si>
  <si>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</si>
  <si>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</si>
  <si>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</si>
  <si>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</si>
  <si>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</si>
  <si>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</si>
  <si>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</si>
  <si>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</si>
  <si>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</si>
  <si>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</si>
  <si>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</si>
  <si>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</si>
  <si>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</si>
  <si>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</si>
  <si>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</si>
  <si>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</si>
  <si>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</si>
  <si>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</si>
  <si>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</si>
  <si>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</si>
  <si>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</si>
  <si>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</si>
  <si>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</si>
  <si>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</si>
  <si>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</si>
  <si>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</si>
  <si>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</si>
  <si>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</si>
  <si>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</si>
  <si>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</si>
  <si>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</si>
  <si>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</si>
  <si>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</si>
  <si>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</si>
  <si>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</si>
  <si>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</si>
  <si>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</si>
  <si>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</si>
  <si>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</si>
  <si>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</si>
  <si>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</si>
  <si>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</si>
  <si>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</si>
  <si>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</si>
  <si>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</si>
  <si>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</si>
  <si>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</si>
  <si>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</si>
  <si>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</si>
  <si>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</si>
  <si>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</si>
  <si>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</si>
  <si>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</si>
  <si>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</si>
  <si>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</si>
  <si>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</si>
  <si>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</si>
  <si>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</si>
  <si>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</si>
  <si>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</si>
  <si>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</si>
  <si>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</si>
  <si>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</si>
  <si>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</si>
  <si>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</si>
  <si>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</si>
  <si>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</si>
  <si>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</si>
  <si>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</si>
  <si>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</si>
  <si>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</si>
  <si>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</si>
  <si>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</si>
  <si>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</si>
  <si>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</si>
  <si>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</si>
  <si>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</si>
  <si>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</si>
  <si>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</si>
  <si>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</si>
  <si>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</si>
  <si>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</si>
  <si>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</si>
  <si>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</si>
  <si>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</si>
  <si>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</si>
  <si>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</si>
  <si>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</si>
  <si>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</si>
  <si>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</si>
  <si>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</si>
  <si>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</si>
  <si>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</si>
  <si>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</si>
  <si>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</si>
  <si>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</si>
  <si>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</si>
  <si>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</si>
  <si>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</si>
  <si>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</si>
  <si>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</si>
  <si>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</si>
  <si>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</si>
  <si>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</si>
  <si>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</si>
  <si>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</si>
  <si>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</si>
  <si>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</si>
  <si>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</si>
  <si>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</si>
  <si>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</si>
  <si>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</si>
  <si>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</si>
  <si>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</si>
  <si>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</si>
  <si>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</si>
  <si>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</si>
  <si>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</si>
  <si>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</si>
  <si>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</si>
  <si>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</si>
  <si>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</si>
  <si>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</si>
  <si>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</si>
  <si>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</si>
  <si>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</si>
  <si>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</si>
  <si>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</si>
  <si>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</si>
  <si>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</si>
  <si>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</si>
  <si>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</si>
  <si>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</si>
  <si>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</si>
  <si>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</si>
  <si>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</si>
  <si>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</si>
  <si>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</si>
  <si>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</si>
  <si>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</si>
  <si>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</si>
  <si>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</si>
  <si>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</si>
  <si>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</si>
  <si>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</si>
  <si>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</si>
  <si>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</si>
  <si>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</si>
  <si>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</si>
  <si>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</si>
  <si>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</si>
  <si>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</si>
  <si>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</si>
  <si>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</si>
  <si>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</si>
  <si>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</si>
  <si>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</si>
  <si>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</si>
  <si>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</si>
  <si>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</si>
  <si>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</si>
  <si>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</si>
  <si>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</si>
  <si>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</si>
  <si>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</si>
  <si>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</si>
  <si>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</si>
  <si>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</si>
  <si>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</si>
  <si>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</si>
  <si>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</si>
  <si>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</si>
  <si>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</si>
  <si>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</si>
  <si>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</si>
  <si>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</si>
  <si>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</si>
  <si>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</si>
  <si>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</si>
  <si>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</si>
  <si>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</si>
  <si>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</si>
  <si>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</si>
  <si>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</si>
  <si>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</si>
  <si>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</si>
  <si>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</si>
  <si>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</si>
  <si>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</si>
  <si>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</si>
  <si>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</si>
  <si>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</si>
  <si>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</si>
  <si>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</si>
  <si>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</si>
  <si>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</si>
  <si>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</si>
  <si>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</si>
  <si>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</si>
  <si>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</si>
  <si>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</si>
  <si>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</si>
  <si>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</si>
  <si>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</si>
  <si>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</si>
  <si>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</si>
  <si>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</si>
  <si>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</si>
  <si>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</si>
  <si>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</si>
  <si>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</si>
  <si>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</si>
  <si>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</si>
  <si>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</si>
  <si>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</si>
  <si>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</si>
  <si>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</si>
  <si>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</si>
  <si>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</si>
  <si>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</si>
  <si>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</si>
  <si>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</si>
  <si>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</si>
  <si>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</si>
  <si>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</si>
  <si>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</si>
  <si>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</si>
  <si>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</si>
  <si>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</si>
  <si>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</si>
  <si>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</si>
  <si>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</si>
  <si>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</si>
  <si>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</si>
  <si>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</si>
  <si>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</si>
  <si>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</si>
  <si>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</si>
  <si>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</si>
  <si>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</si>
  <si>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</si>
  <si>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</si>
  <si>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</si>
  <si>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</si>
  <si>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</si>
  <si>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</si>
  <si>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</si>
  <si>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</si>
  <si>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</si>
  <si>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</si>
  <si>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</si>
  <si>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</si>
  <si>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</si>
  <si>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</si>
  <si>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</si>
  <si>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</si>
  <si>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</si>
  <si>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</si>
  <si>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</si>
  <si>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</si>
  <si>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</si>
  <si>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</si>
  <si>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</si>
  <si>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</si>
  <si>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</si>
  <si>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</si>
  <si>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</si>
  <si>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</si>
  <si>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</si>
  <si>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</si>
  <si>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</si>
  <si>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</si>
  <si>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</si>
  <si>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</si>
  <si>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</si>
  <si>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</si>
  <si>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</si>
  <si>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</si>
  <si>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</si>
  <si>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</si>
  <si>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</si>
  <si>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</si>
  <si>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</si>
  <si>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</si>
  <si>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</si>
  <si>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</si>
  <si>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</si>
  <si>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</si>
  <si>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</si>
  <si>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</si>
  <si>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</si>
  <si>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</si>
  <si>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</si>
  <si>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</si>
  <si>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</si>
  <si>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</si>
  <si>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</si>
  <si>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</si>
  <si>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</si>
  <si>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</si>
  <si>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</si>
  <si>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</si>
  <si>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</si>
  <si>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</si>
  <si>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</si>
  <si>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</si>
  <si>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</si>
  <si>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</si>
  <si>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</si>
  <si>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</si>
  <si>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</si>
  <si>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</si>
  <si>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</si>
  <si>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</si>
  <si>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</si>
  <si>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</si>
  <si>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</si>
  <si>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</si>
  <si>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</si>
  <si>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</si>
  <si>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</si>
  <si>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</si>
  <si>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</si>
  <si>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</si>
  <si>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</si>
  <si>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</si>
  <si>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</si>
  <si>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</si>
  <si>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</si>
  <si>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</si>
  <si>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</si>
  <si>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</si>
  <si>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</si>
  <si>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</si>
  <si>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</si>
  <si>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</si>
  <si>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</si>
  <si>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</si>
  <si>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</si>
  <si>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</si>
  <si>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</si>
  <si>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</si>
  <si>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</si>
  <si>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</si>
  <si>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</si>
  <si>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</si>
  <si>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</si>
  <si>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</si>
  <si>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</si>
  <si>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</si>
  <si>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</si>
  <si>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</si>
  <si>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</si>
  <si>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</si>
  <si>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</si>
  <si>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</si>
  <si>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</si>
  <si>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</si>
  <si>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</si>
  <si>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</si>
  <si>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</si>
  <si>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</si>
  <si>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</si>
  <si>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</si>
  <si>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</si>
  <si>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</si>
  <si>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</si>
  <si>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</si>
  <si>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</si>
  <si>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</si>
  <si>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</si>
  <si>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</si>
  <si>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</si>
  <si>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</si>
  <si>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</si>
  <si>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</si>
  <si>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</si>
  <si>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</si>
  <si>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</si>
  <si>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</si>
  <si>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</si>
  <si>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</si>
  <si>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</si>
  <si>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</si>
  <si>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</si>
  <si>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</si>
  <si>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</si>
  <si>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</si>
  <si>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</si>
  <si>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</si>
  <si>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</si>
  <si>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</si>
  <si>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</si>
  <si>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</si>
  <si>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</si>
  <si>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</si>
  <si>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</si>
  <si>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</si>
  <si>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</si>
  <si>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</si>
  <si>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</si>
  <si>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</si>
  <si>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</si>
  <si>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</si>
  <si>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</si>
  <si>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</si>
  <si>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</si>
  <si>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</si>
  <si>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</si>
  <si>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</si>
  <si>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</si>
  <si>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</si>
  <si>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</si>
  <si>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</si>
  <si>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</si>
  <si>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</si>
  <si>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</si>
  <si>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</si>
  <si>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</si>
  <si>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</si>
  <si>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</si>
  <si>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</si>
  <si>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</si>
  <si>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</si>
  <si>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</si>
  <si>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</si>
  <si>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</si>
  <si>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</si>
  <si>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</si>
  <si>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</si>
  <si>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</si>
  <si>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</si>
  <si>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</si>
  <si>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</si>
  <si>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</si>
  <si>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</si>
  <si>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</si>
  <si>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</si>
  <si>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</si>
  <si>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</si>
  <si>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</si>
  <si>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</si>
  <si>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</si>
  <si>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</si>
  <si>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</si>
  <si>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</si>
  <si>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</si>
  <si>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</si>
  <si>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</si>
  <si>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</si>
  <si>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</si>
  <si>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</si>
  <si>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</si>
  <si>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</si>
  <si>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</si>
  <si>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</si>
  <si>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</si>
  <si>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</si>
  <si>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</si>
  <si>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</si>
  <si>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</si>
  <si>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</si>
  <si>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</si>
  <si>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</si>
  <si>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</si>
  <si>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</si>
  <si>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</si>
  <si>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</si>
  <si>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</si>
  <si>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</si>
  <si>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</si>
  <si>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</si>
  <si>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</si>
  <si>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</si>
  <si>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</si>
  <si>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</si>
  <si>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</si>
  <si>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</si>
  <si>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</si>
  <si>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</si>
  <si>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</si>
  <si>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</si>
  <si>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</si>
  <si>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</si>
  <si>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</si>
  <si>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</si>
  <si>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</si>
  <si>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</si>
  <si>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</si>
  <si>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</si>
  <si>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</si>
  <si>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</si>
  <si>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</si>
  <si>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</si>
  <si>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</si>
  <si>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</si>
  <si>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</si>
  <si>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</si>
  <si>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</si>
  <si>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</si>
  <si>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</si>
  <si>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</si>
  <si>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</si>
  <si>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</si>
  <si>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</si>
  <si>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</si>
  <si>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</si>
  <si>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</si>
  <si>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</si>
  <si>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</si>
  <si>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</si>
  <si>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</si>
  <si>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</si>
  <si>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</si>
  <si>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</si>
  <si>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</si>
  <si>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</si>
  <si>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</si>
  <si>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</si>
  <si>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</si>
  <si>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</si>
  <si>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</si>
  <si>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</si>
  <si>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</si>
  <si>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</si>
  <si>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</si>
  <si>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</si>
  <si>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</si>
  <si>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</si>
  <si>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</si>
  <si>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</si>
  <si>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</si>
  <si>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</si>
  <si>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</si>
  <si>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</si>
  <si>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</si>
  <si>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</si>
  <si>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</si>
  <si>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</si>
  <si>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</si>
  <si>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</si>
  <si>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</si>
  <si>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</si>
  <si>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</si>
  <si>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</si>
  <si>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</si>
  <si>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</si>
  <si>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</si>
  <si>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</si>
  <si>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</si>
  <si>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</si>
  <si>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</si>
  <si>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</si>
  <si>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</si>
  <si>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</si>
  <si>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</si>
  <si>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</si>
  <si>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</si>
  <si>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</si>
  <si>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</si>
  <si>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</si>
  <si>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</si>
  <si>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</si>
  <si>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</si>
  <si>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</si>
  <si>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</si>
  <si>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</si>
  <si>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</si>
  <si>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</si>
  <si>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</si>
  <si>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</si>
  <si>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</si>
  <si>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</si>
  <si>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</si>
  <si>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</si>
  <si>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</si>
  <si>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</si>
  <si>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</si>
  <si>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</si>
  <si>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</si>
  <si>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</si>
  <si>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</si>
  <si>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</si>
  <si>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</si>
  <si>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</si>
  <si>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</si>
  <si>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</si>
  <si>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</si>
  <si>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</si>
  <si>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</si>
  <si>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</si>
  <si>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</si>
  <si>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</si>
  <si>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</si>
  <si>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</si>
  <si>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</si>
  <si>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</si>
  <si>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</si>
  <si>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</si>
  <si>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</si>
  <si>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</si>
  <si>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</si>
  <si>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</si>
  <si>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</si>
  <si>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</si>
  <si>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</si>
  <si>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</si>
  <si>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</si>
  <si>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</si>
  <si>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</si>
  <si>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</si>
  <si>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</si>
  <si>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</si>
  <si>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</si>
  <si>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</si>
  <si>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</si>
  <si>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</si>
  <si>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</si>
  <si>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</si>
  <si>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</si>
  <si>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</si>
  <si>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</si>
  <si>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</si>
  <si>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</si>
  <si>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</si>
  <si>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</si>
  <si>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</si>
  <si>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</si>
  <si>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</si>
  <si>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</si>
  <si>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</si>
  <si>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</si>
  <si>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</si>
  <si>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</si>
  <si>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</si>
  <si>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</si>
  <si>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</si>
  <si>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</si>
  <si>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</si>
  <si>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</si>
  <si>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</si>
  <si>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</si>
  <si>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</si>
  <si>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</si>
  <si>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</si>
  <si>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</si>
  <si>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</si>
  <si>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</si>
  <si>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</si>
  <si>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</si>
  <si>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</si>
  <si>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</si>
  <si>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</si>
  <si>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</si>
  <si>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</si>
  <si>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</si>
  <si>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</si>
  <si>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</si>
  <si>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</si>
  <si>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</si>
  <si>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</si>
  <si>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</si>
  <si>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</si>
  <si>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</si>
  <si>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</si>
  <si>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</si>
  <si>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</si>
  <si>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</si>
  <si>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</si>
  <si>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</si>
  <si>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</si>
  <si>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</si>
  <si>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</si>
  <si>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</si>
  <si>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</si>
  <si>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</si>
  <si>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</si>
  <si>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</si>
  <si>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</si>
  <si>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</si>
  <si>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</si>
  <si>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</si>
  <si>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</si>
  <si>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</si>
  <si>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</si>
  <si>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</si>
  <si>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</si>
  <si>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</si>
  <si>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</si>
  <si>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</si>
  <si>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</si>
  <si>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</si>
  <si>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</si>
  <si>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</si>
  <si>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</si>
  <si>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</si>
  <si>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</si>
  <si>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</si>
  <si>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</si>
  <si>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</si>
  <si>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</si>
  <si>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</si>
  <si>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</si>
  <si>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</si>
  <si>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</si>
  <si>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</si>
  <si>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</si>
  <si>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</si>
  <si>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</si>
  <si>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</si>
  <si>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</si>
  <si>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</si>
  <si>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</si>
  <si>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</si>
  <si>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</si>
  <si>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</si>
  <si>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</si>
  <si>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</si>
  <si>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</si>
  <si>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</si>
  <si>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</si>
  <si>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</si>
  <si>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</si>
  <si>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</si>
  <si>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</si>
  <si>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</si>
  <si>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</si>
  <si>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</si>
  <si>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</si>
  <si>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</si>
  <si>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</si>
  <si>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</si>
  <si>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</si>
  <si>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</si>
  <si>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</si>
  <si>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</si>
  <si>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</si>
  <si>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</si>
  <si>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</si>
  <si>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</si>
  <si>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</si>
  <si>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</si>
  <si>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</si>
  <si>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</si>
  <si>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</si>
  <si>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</si>
  <si>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</si>
  <si>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</si>
  <si>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</si>
  <si>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</si>
  <si>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</si>
  <si>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</si>
  <si>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</si>
  <si>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</si>
  <si>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</si>
  <si>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</si>
  <si>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</si>
  <si>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</si>
  <si>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</si>
  <si>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</si>
  <si>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</si>
  <si>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</si>
  <si>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</si>
  <si>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</si>
  <si>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</si>
  <si>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</si>
  <si>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</si>
  <si>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</si>
  <si>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</si>
  <si>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</si>
  <si>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</si>
  <si>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</si>
  <si>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</si>
  <si>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</si>
  <si>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</si>
  <si>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</si>
  <si>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</si>
  <si>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</si>
  <si>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</si>
  <si>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</si>
  <si>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</si>
  <si>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</si>
  <si>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</si>
  <si>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</si>
  <si>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</si>
  <si>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</si>
  <si>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</si>
  <si>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</si>
  <si>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</si>
  <si>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</si>
  <si>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</si>
  <si>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</si>
  <si>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</si>
  <si>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</si>
  <si>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</si>
  <si>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</si>
  <si>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</si>
  <si>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</si>
  <si>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</si>
  <si>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</si>
  <si>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</si>
  <si>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</si>
  <si>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</si>
  <si>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</si>
  <si>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</si>
  <si>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</si>
  <si>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</si>
  <si>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</si>
  <si>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</si>
  <si>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</si>
  <si>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</si>
  <si>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</si>
  <si>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</si>
  <si>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</si>
  <si>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</si>
  <si>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</si>
  <si>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</si>
  <si>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</si>
  <si>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</si>
  <si>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</si>
  <si>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</si>
  <si>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</si>
  <si>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</si>
  <si>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</si>
  <si>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</si>
  <si>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</si>
  <si>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</si>
  <si>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</si>
  <si>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</si>
  <si>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</si>
  <si>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</si>
  <si>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</si>
  <si>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</si>
  <si>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</si>
  <si>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</si>
  <si>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</si>
  <si>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</si>
  <si>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</si>
  <si>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</si>
  <si>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</si>
  <si>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</si>
  <si>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</si>
  <si>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</si>
  <si>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</si>
  <si>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</si>
  <si>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</si>
  <si>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</si>
  <si>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</si>
  <si>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</si>
  <si>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</si>
  <si>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</si>
  <si>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</si>
  <si>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</si>
  <si>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</si>
  <si>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</si>
  <si>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</si>
  <si>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</si>
  <si>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</si>
  <si>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</si>
  <si>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</si>
  <si>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</si>
  <si>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</si>
  <si>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</si>
  <si>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</si>
  <si>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</si>
  <si>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</si>
  <si>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</si>
  <si>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</si>
  <si>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</si>
  <si>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</si>
  <si>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</si>
  <si>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</si>
  <si>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</si>
  <si>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</si>
  <si>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</si>
  <si>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</si>
  <si>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</si>
  <si>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</si>
  <si>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</si>
  <si>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</si>
  <si>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</si>
  <si>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</si>
  <si>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</si>
  <si>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</si>
  <si>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</si>
  <si>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</si>
  <si>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</si>
  <si>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</si>
  <si>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</si>
  <si>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</si>
  <si>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</si>
  <si>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</si>
  <si>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</si>
  <si>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</si>
  <si>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</si>
  <si>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</si>
  <si>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</si>
  <si>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</si>
  <si>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</si>
  <si>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</si>
  <si>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</si>
  <si>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</si>
  <si>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</si>
  <si>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</si>
  <si>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</si>
  <si>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</si>
  <si>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</si>
  <si>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</si>
  <si>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</si>
  <si>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</si>
  <si>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</si>
  <si>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</si>
  <si>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</si>
  <si>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</si>
  <si>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</si>
  <si>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</si>
  <si>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</si>
  <si>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</si>
  <si>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</si>
  <si>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</si>
  <si>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</si>
  <si>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</si>
  <si>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</si>
  <si>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</si>
  <si>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</si>
  <si>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</si>
  <si>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</si>
  <si>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</si>
  <si>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</si>
  <si>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</si>
  <si>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</si>
  <si>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</si>
  <si>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</si>
  <si>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</si>
  <si>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</si>
  <si>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</si>
  <si>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</si>
  <si>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</si>
  <si>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</si>
  <si>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</si>
  <si>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</si>
  <si>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</si>
  <si>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</si>
  <si>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</si>
  <si>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</si>
  <si>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</si>
  <si>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</si>
  <si>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</si>
  <si>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</si>
  <si>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</si>
  <si>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</si>
  <si>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</si>
  <si>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</si>
  <si>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</si>
  <si>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</si>
  <si>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</si>
  <si>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</si>
  <si>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</si>
  <si>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</si>
  <si>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</si>
  <si>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</si>
  <si>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</si>
  <si>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</si>
  <si>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</si>
  <si>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</si>
  <si>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</si>
  <si>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</si>
  <si>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</si>
  <si>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</si>
  <si>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</si>
  <si>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</si>
  <si>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</si>
  <si>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</si>
  <si>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</si>
  <si>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</si>
  <si>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</si>
  <si>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</si>
  <si>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</si>
  <si>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</si>
  <si>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</si>
  <si>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</si>
  <si>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</si>
  <si>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</si>
  <si>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</si>
  <si>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</si>
  <si>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</si>
  <si>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</si>
  <si>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</si>
  <si>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</si>
  <si>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</si>
  <si>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</si>
  <si>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</si>
  <si>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</si>
  <si>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</si>
  <si>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</si>
  <si>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</si>
  <si>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</si>
  <si>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</si>
  <si>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</si>
  <si>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</si>
  <si>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</si>
  <si>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</si>
  <si>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</si>
  <si>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</si>
  <si>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</si>
  <si>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</si>
  <si>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</si>
  <si>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</si>
  <si>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</si>
  <si>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</si>
  <si>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</si>
  <si>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</si>
  <si>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</si>
  <si>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</si>
  <si>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</si>
  <si>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</si>
  <si>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</si>
  <si>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</si>
  <si>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</si>
  <si>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</si>
  <si>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</si>
  <si>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</si>
  <si>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</si>
  <si>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</si>
  <si>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</si>
  <si>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</si>
  <si>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</si>
  <si>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</si>
  <si>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</si>
  <si>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</si>
  <si>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</si>
  <si>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</si>
  <si>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</si>
  <si>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</si>
  <si>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</si>
  <si>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</si>
  <si>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</si>
  <si>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</si>
  <si>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</si>
  <si>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</si>
  <si>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</si>
  <si>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</si>
  <si>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</si>
  <si>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</si>
  <si>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</si>
  <si>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</si>
  <si>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</si>
  <si>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</si>
  <si>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</si>
  <si>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</si>
  <si>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</si>
  <si>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</si>
  <si>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</si>
  <si>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</si>
  <si>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</si>
  <si>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</si>
  <si>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</si>
  <si>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</si>
  <si>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</si>
  <si>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</si>
  <si>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</si>
  <si>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</si>
  <si>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</si>
  <si>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</si>
  <si>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</si>
  <si>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</si>
  <si>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</si>
  <si>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</si>
  <si>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</si>
  <si>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</si>
  <si>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</si>
  <si>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</si>
  <si>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</si>
  <si>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</si>
  <si>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</si>
  <si>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</si>
  <si>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</si>
  <si>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</si>
  <si>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</si>
  <si>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</si>
  <si>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</si>
  <si>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</si>
  <si>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</si>
  <si>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</si>
  <si>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</si>
  <si>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</si>
  <si>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</si>
  <si>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</si>
  <si>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</si>
  <si>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</si>
  <si>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</si>
  <si>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</si>
  <si>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</si>
  <si>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</si>
  <si>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</si>
  <si>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</si>
  <si>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</si>
  <si>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</si>
  <si>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</si>
  <si>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</si>
  <si>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</si>
  <si>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</si>
  <si>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</si>
  <si>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</si>
  <si>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</si>
  <si>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</si>
  <si>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</si>
  <si>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</si>
  <si>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</si>
  <si>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</si>
  <si>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</si>
  <si>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</si>
  <si>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</si>
  <si>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</si>
  <si>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</si>
  <si>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</si>
  <si>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</si>
  <si>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</si>
  <si>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</si>
  <si>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</si>
  <si>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</si>
  <si>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</si>
  <si>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</si>
  <si>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</si>
  <si>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</si>
  <si>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</si>
  <si>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</si>
  <si>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</si>
  <si>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</si>
  <si>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</si>
  <si>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</si>
  <si>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</si>
  <si>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</si>
  <si>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</si>
  <si>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</si>
  <si>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</si>
  <si>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</si>
  <si>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</si>
  <si>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</si>
  <si>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</si>
  <si>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</si>
  <si>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</si>
  <si>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</si>
  <si>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</si>
  <si>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</si>
  <si>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</si>
  <si>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</si>
  <si>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</si>
  <si>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</si>
  <si>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</si>
  <si>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</si>
  <si>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</si>
  <si>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</si>
  <si>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</si>
  <si>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</si>
  <si>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</si>
  <si>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</si>
  <si>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</si>
  <si>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</si>
  <si>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</si>
  <si>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</si>
  <si>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</si>
  <si>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</si>
  <si>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</si>
  <si>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</si>
  <si>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</si>
  <si>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</si>
  <si>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</si>
  <si>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</si>
  <si>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</si>
  <si>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</si>
  <si>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</si>
  <si>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</si>
  <si>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</si>
  <si>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</si>
  <si>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</si>
  <si>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</si>
  <si>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</si>
  <si>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</si>
  <si>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</si>
  <si>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</si>
  <si>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</si>
  <si>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</si>
  <si>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</si>
  <si>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</si>
  <si>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</si>
  <si>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</si>
  <si>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</si>
  <si>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</si>
  <si>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</si>
  <si>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</si>
  <si>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</si>
  <si>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</si>
  <si>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</si>
  <si>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</si>
  <si>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</si>
  <si>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</si>
  <si>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</si>
  <si>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</si>
  <si>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</si>
  <si>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</si>
  <si>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</si>
  <si>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</si>
  <si>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</si>
  <si>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</si>
  <si>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</si>
  <si>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</si>
  <si>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</si>
  <si>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</si>
  <si>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</si>
  <si>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</si>
  <si>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</si>
  <si>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</si>
  <si>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</si>
  <si>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</si>
  <si>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</si>
  <si>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</si>
  <si>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</si>
  <si>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</si>
  <si>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</si>
  <si>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</si>
  <si>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</si>
  <si>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</si>
  <si>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</si>
  <si>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</si>
  <si>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</si>
  <si>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</si>
  <si>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</si>
  <si>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</si>
  <si>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</si>
  <si>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</si>
  <si>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</si>
  <si>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</si>
  <si>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</si>
  <si>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</si>
  <si>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</si>
  <si>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</si>
  <si>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</si>
  <si>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</si>
  <si>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</si>
  <si>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</si>
  <si>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</si>
  <si>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</si>
  <si>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</si>
  <si>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</si>
  <si>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</si>
  <si>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</si>
  <si>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</si>
  <si>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</si>
  <si>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</si>
  <si>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</si>
  <si>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</si>
  <si>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</si>
  <si>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</si>
  <si>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</si>
  <si>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</si>
  <si>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</si>
  <si>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</si>
  <si>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</si>
  <si>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</si>
  <si>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</si>
  <si>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</si>
  <si>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</si>
  <si>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</si>
  <si>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</si>
  <si>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</si>
  <si>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</si>
  <si>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</si>
  <si>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</si>
  <si>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</si>
  <si>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</si>
  <si>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</si>
  <si>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</si>
  <si>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</si>
  <si>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</si>
  <si>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</si>
  <si>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</si>
  <si>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</si>
  <si>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</si>
  <si>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</si>
  <si>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</si>
  <si>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</si>
  <si>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</si>
  <si>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</si>
  <si>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</si>
  <si>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</si>
  <si>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</si>
  <si>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</si>
  <si>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</si>
  <si>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</si>
  <si>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</si>
  <si>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</si>
  <si>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</si>
  <si>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</si>
  <si>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</si>
  <si>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</si>
  <si>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</si>
  <si>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</si>
  <si>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</si>
  <si>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</si>
  <si>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</si>
  <si>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</si>
  <si>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</si>
  <si>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</si>
  <si>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</si>
  <si>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</si>
  <si>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</si>
  <si>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</si>
  <si>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</si>
  <si>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</si>
  <si>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</si>
  <si>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</si>
  <si>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</si>
  <si>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</si>
  <si>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</si>
  <si>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</si>
  <si>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</si>
  <si>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</si>
  <si>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</si>
  <si>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</si>
  <si>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</si>
  <si>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</si>
  <si>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</si>
  <si>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</si>
  <si>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</si>
  <si>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</si>
  <si>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</si>
  <si>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</si>
  <si>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</si>
  <si>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</si>
  <si>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</si>
  <si>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</si>
  <si>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</si>
  <si>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</si>
  <si>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</si>
  <si>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</si>
  <si>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</si>
  <si>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</si>
  <si>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</si>
  <si>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</si>
  <si>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</si>
  <si>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</si>
  <si>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</si>
  <si>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</si>
  <si>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</si>
  <si>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</si>
  <si>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</si>
  <si>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</si>
  <si>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</si>
  <si>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</si>
  <si>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</si>
  <si>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</si>
  <si>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</si>
  <si>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</si>
  <si>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</si>
  <si>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</si>
  <si>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</si>
  <si>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</si>
  <si>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</si>
  <si>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</si>
  <si>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</si>
  <si>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</si>
  <si>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</si>
  <si>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</si>
  <si>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</si>
  <si>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</si>
  <si>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</si>
  <si>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</si>
  <si>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</si>
  <si>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</si>
  <si>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</si>
  <si>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</si>
  <si>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</si>
  <si>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</si>
  <si>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</si>
  <si>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</si>
  <si>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</si>
  <si>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</si>
  <si>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</si>
  <si>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</si>
  <si>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</si>
  <si>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</si>
  <si>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</si>
  <si>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</si>
  <si>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</si>
  <si>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</si>
  <si>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</si>
  <si>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</si>
  <si>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</si>
  <si>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</si>
  <si>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</si>
  <si>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</si>
  <si>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</si>
  <si>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</si>
  <si>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</si>
  <si>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</si>
  <si>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</si>
  <si>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</si>
  <si>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</si>
  <si>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</si>
  <si>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</si>
  <si>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</si>
  <si>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</si>
  <si>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</si>
  <si>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</si>
  <si>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</si>
  <si>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</si>
  <si>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</si>
  <si>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</si>
  <si>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</si>
  <si>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</si>
  <si>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</si>
  <si>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</si>
  <si>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</si>
  <si>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</si>
  <si>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</si>
  <si>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</si>
  <si>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</si>
  <si>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</si>
  <si>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</si>
  <si>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</si>
  <si>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</si>
  <si>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</si>
  <si>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</si>
  <si>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</si>
  <si>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</si>
  <si>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</si>
  <si>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</si>
  <si>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</si>
  <si>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</si>
  <si>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</si>
  <si>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</si>
  <si>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</si>
  <si>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</si>
  <si>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</si>
  <si>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</si>
  <si>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</si>
  <si>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</si>
  <si>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</si>
  <si>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</si>
  <si>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</si>
  <si>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</si>
  <si>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</si>
  <si>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</si>
  <si>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</si>
  <si>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</si>
  <si>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</si>
  <si>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</si>
  <si>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</si>
  <si>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</si>
  <si>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</si>
  <si>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</si>
  <si>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</si>
  <si>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</si>
  <si>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</si>
  <si>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</si>
  <si>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</si>
  <si>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</si>
  <si>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</si>
  <si>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</si>
  <si>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</si>
  <si>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</si>
  <si>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</si>
  <si>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</si>
  <si>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</si>
  <si>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</si>
  <si>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</si>
  <si>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</si>
  <si>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</si>
  <si>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</si>
  <si>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</si>
  <si>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</si>
  <si>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</si>
  <si>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</si>
  <si>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</si>
  <si>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</si>
  <si>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</si>
  <si>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</si>
  <si>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</si>
  <si>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</si>
  <si>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</si>
  <si>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</si>
  <si>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</si>
  <si>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</si>
  <si>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</si>
  <si>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</si>
  <si>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</si>
  <si>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</si>
  <si>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</si>
  <si>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</si>
  <si>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</si>
  <si>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</si>
  <si>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</si>
  <si>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</si>
  <si>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</si>
  <si>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</si>
  <si>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</si>
  <si>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</si>
  <si>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</si>
  <si>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</si>
  <si>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</si>
  <si>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</si>
  <si>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</si>
  <si>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</si>
  <si>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</si>
  <si>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</si>
  <si>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</si>
  <si>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</si>
  <si>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</si>
  <si>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</si>
  <si>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</si>
  <si>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</si>
  <si>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</si>
  <si>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</si>
  <si>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</si>
  <si>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</si>
  <si>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</si>
  <si>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</si>
  <si>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</si>
  <si>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</si>
  <si>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</si>
  <si>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</si>
  <si>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</si>
  <si>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</si>
  <si>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</si>
  <si>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</si>
  <si>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</si>
  <si>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</si>
  <si>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</si>
  <si>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</si>
  <si>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</si>
  <si>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</si>
  <si>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</si>
  <si>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</si>
  <si>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</si>
  <si>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</si>
  <si>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</si>
  <si>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</si>
  <si>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</si>
  <si>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</si>
  <si>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</si>
  <si>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</si>
  <si>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</si>
  <si>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</si>
  <si>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</si>
  <si>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</si>
  <si>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</si>
  <si>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</si>
  <si>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</si>
  <si>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</si>
  <si>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</si>
  <si>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</si>
  <si>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</si>
  <si>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</si>
  <si>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</si>
  <si>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</si>
  <si>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</si>
  <si>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</si>
  <si>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</si>
  <si>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</si>
  <si>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</si>
  <si>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</si>
  <si>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</si>
  <si>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</si>
  <si>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</si>
  <si>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</si>
  <si>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</si>
  <si>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</si>
  <si>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</si>
  <si>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</si>
  <si>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</si>
  <si>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</si>
  <si>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</si>
  <si>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</si>
  <si>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</si>
  <si>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</si>
  <si>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</si>
  <si>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</si>
  <si>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</si>
  <si>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</si>
  <si>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</si>
  <si>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</si>
  <si>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</si>
  <si>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</si>
  <si>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</si>
  <si>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</si>
  <si>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</si>
  <si>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</si>
  <si>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</si>
  <si>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</si>
  <si>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</si>
  <si>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</si>
  <si>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</si>
  <si>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</si>
  <si>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</si>
  <si>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</si>
  <si>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</si>
  <si>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</si>
  <si>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</si>
  <si>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</si>
  <si>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</si>
  <si>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</si>
  <si>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</si>
  <si>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</si>
  <si>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</si>
  <si>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</si>
  <si>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</si>
  <si>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</si>
  <si>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</si>
  <si>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</si>
  <si>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</si>
  <si>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</si>
  <si>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</si>
  <si>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</si>
  <si>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</si>
  <si>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</si>
  <si>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</si>
  <si>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</si>
  <si>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</si>
  <si>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</si>
  <si>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</si>
  <si>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</si>
  <si>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</si>
  <si>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</si>
  <si>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</si>
  <si>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</si>
  <si>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</si>
  <si>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</si>
  <si>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</si>
  <si>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</si>
  <si>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</si>
  <si>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</si>
  <si>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</si>
  <si>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</si>
  <si>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</si>
  <si>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</si>
  <si>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</si>
  <si>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</si>
  <si>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</si>
  <si>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</si>
  <si>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</si>
  <si>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</si>
  <si>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</si>
  <si>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</si>
  <si>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</si>
  <si>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</si>
  <si>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</si>
  <si>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</si>
  <si>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</si>
  <si>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</si>
  <si>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</si>
  <si>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</si>
  <si>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</si>
  <si>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</si>
  <si>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</si>
  <si>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</si>
  <si>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Instructure currently has no requirement to conform to NIST SP 800-171 and is not CMMC certified, however, based on our ISO 27001 certification, we believe CMMC Level 3 could be achieved. </t>
  </si>
  <si>
    <t xml:space="preserve">Instructure maintains a number of policies that form our employee onboarding and offboarding policies. This includes IT Acceptable Use, Network Security, Onboarding and Termination checklists, and Induction policies. </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</si>
  <si>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</si>
  <si>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</si>
  <si>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</si>
  <si>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</si>
  <si>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The security and engineering teams ensure the languages, web applications, frameworks, and environments that Instructure leverages to develop, host, and maintain our products are maintained to supported versions.</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</si>
  <si>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</si>
  <si>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</si>
  <si>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</si>
  <si>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</si>
  <si>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</si>
  <si>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After 30 days the issued token will expire if the user has been inactive for this period (if a user is active this token is automatically refreshed). Inactivity time is not configurable for the time being.</t>
  </si>
  <si>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</si>
  <si>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</si>
  <si>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As part of Instructure's annual business continuity tabletop testing, use cases can include events that affect remote employees, Instructure office relocation, and communication procedures.</t>
  </si>
  <si>
    <t>As part of our SDLC, QA, and Change Management processes, each product team ensures that all required third-party libraries and dependencies are supported and functional in each release with the use of a number of different development and QA tools.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</si>
  <si>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</si>
  <si>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t xml:space="preserve">Clients are logically separated via horizontal and vertical partitioning within a multi-tenant, single instance web application. </t>
  </si>
  <si>
    <t>Customer data is not stored on devices configured with non-RFC 1918/4193 (publicly routable) IP addresses.</t>
  </si>
  <si>
    <t>Instructure utilizes AES with at least 128 bits to encrypt data in transit and to encrypt volumes for data at rest. AES conforms to Annex A to FIPS PUB 140-3. Instructure's cryptographic implementations are not FIPS validated.</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</si>
  <si>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</si>
  <si>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t xml:space="preserve">Hot and cold backups are stored in multiple AWS Availability Zones (data centers) within a customer's designated region. Backups are encrypted at rest in a non-volatile state. </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</si>
  <si>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</si>
  <si>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</si>
  <si>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</si>
  <si>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</si>
  <si>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</si>
  <si>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</si>
  <si>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</si>
  <si>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</si>
  <si>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</si>
  <si>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</si>
  <si>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We utilize AWS Machine Images (AMIs) and further harden these images with internal configuration and hardening by default.</t>
  </si>
  <si>
    <t>Instructure's Disaster Recovery Plan is owned by the Security and Compliance Team and reviewed annually. It is provided to stakeholders for review and supported by both the Executive Leadership Team and Engineering Team.</t>
  </si>
  <si>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</si>
  <si>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</si>
  <si>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</si>
  <si>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</si>
  <si>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</si>
  <si>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</si>
  <si>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All output from these systems is sent to Instructure's centralized logging management system for further analysis and alert generation.</t>
  </si>
  <si>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</si>
  <si>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</si>
  <si>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</si>
  <si>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</si>
  <si>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</si>
  <si>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</si>
  <si>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</si>
  <si>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</si>
  <si>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</si>
  <si>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</si>
  <si>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</si>
  <si>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t>See VULN-02</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</si>
  <si>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</si>
  <si>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Version 3.06</t>
  </si>
  <si>
    <t xml:space="preserve">Please see: https://inst.bid/privacy </t>
  </si>
  <si>
    <t>Our third party services are required to provide the service to our customers. For example, we utilize Amazon Web Services to host our products. As our list of third parties is often evolving, a list of current third parties can be provided upon request.</t>
  </si>
  <si>
    <t>Instructure's Chief Information Security and Privacy Officer is responsible for overseeing business continuity in coordination with both the Executive Leadership Team and the Director of Engineering.</t>
  </si>
  <si>
    <t>Tabletop testing occurs every year, typically in Q1.</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</si>
  <si>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</si>
  <si>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</si>
  <si>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</si>
  <si>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</si>
  <si>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 xml:space="preserve">Instructure is CSA STAR Level 1 Self Assessed. Our listing can be viewed on the CSA STAR Registry at: https://inst.bid/csa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</si>
  <si>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</si>
  <si>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</si>
  <si>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</si>
  <si>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</si>
  <si>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</si>
  <si>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</si>
  <si>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</si>
  <si>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</si>
  <si>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</si>
  <si>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</si>
  <si>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</si>
  <si>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</si>
  <si>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The BCP/DRP and supporting documentation is included in the Impact Compliance Package which can be downloaded here: https://inst.bid/</t>
  </si>
  <si>
    <t>No major unplanned disruptions have occurred during the past 12 months.</t>
  </si>
  <si>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</si>
  <si>
    <t>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</si>
  <si>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t>
  </si>
  <si>
    <r>
      <t>A SOC 2 audited report for Impact by Instructure was last completed in June 2023. Instructure requires an MNDA in order to distribute copies of our SOC 2 reports.</t>
    </r>
    <r>
      <rPr>
        <sz val="12"/>
        <color rgb="FF000000"/>
        <rFont val="Verdana"/>
        <family val="2"/>
      </rPr>
      <t xml:space="preserve">
</t>
    </r>
    <r>
      <rPr>
        <sz val="11"/>
        <color rgb="FF000000"/>
        <rFont val="Verdana"/>
        <family val="2"/>
      </rPr>
      <t>Instructure's information security policies and standards are independently audited annually on the International Organization for Standardization's (ISO) 27000 suite of standards.</t>
    </r>
  </si>
  <si>
    <t>Instructure's CAIQ and CSA STAR Level 1 certificate are included in the Impact Compliance Package available at https://inst.bid/impact/dl. Our listing can be viewed on the CSA STAR Registry at: https://inst.bid/csa</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</si>
  <si>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t>
  </si>
  <si>
    <t xml:space="preserve">An architecture diagram of Impact by Instructure has been included in the Impact Compliance Package made available by Instructure at https://inst.bid/impact/dl </t>
  </si>
  <si>
    <t xml:space="preserve">A documented change management process is in place, which is in line with ISO 27001 standards. Instructure's ISO 27001 certificate is available in the Impact Compliance Package. </t>
  </si>
  <si>
    <t>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t>
  </si>
  <si>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</si>
  <si>
    <t>Impact is not certified for accessibility compliance by a third party. By the end of 2024, our aim is to achieve full WCAG 2.1 AA compliance. Once achieved, we will create a new Voluntary Product Accessibility Template (VPAT) document, reflecting our commitment to providing an accessible platform for all users.</t>
  </si>
  <si>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</si>
  <si>
    <t xml:space="preserve">Instructure is committed to ensuring its products are inclusive and meet the diverse accessibility needs of our users. As with all of the Instructure Learning Platform, Impact by Instructure is tested for conformance with a target of WCAG 2.1 AA accessibility standards and we are working to achieve full conformance. </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</si>
  <si>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</si>
  <si>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</si>
  <si>
    <t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</si>
  <si>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t>Impact is able to be used with only a keyboard, without requiring a mouse or touchpad.</t>
  </si>
  <si>
    <r>
      <t xml:space="preserve">The majority of functionality that Impact offers integrates into the core of the Learning Management System, namely, Canvas LMS. The Canvas ecosystem provides integration points as modular plugins which leverage the APIs of the remote system.
</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</si>
  <si>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Our processes and procedures cover regions in which we operate.</t>
  </si>
  <si>
    <t>Impact supports role-based access control (RBAC) for both administrators and end-users. Within the Impact control panel, administrators can also organize and group user roles, institutional hierarchies or sub-accounts.</t>
  </si>
  <si>
    <t xml:space="preserve">Where possible, forms and fields provide helpful messaging to users to assist with accurate and adequate data input. We are continually improving our products to better serve users in user experience and understanding. </t>
  </si>
  <si>
    <t>Yes, a WAF is provided by Cloudflare.</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</si>
  <si>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t>
  </si>
  <si>
    <t>Impact does not have a mobile app.</t>
  </si>
  <si>
    <t>All code must go through a developer peer-review process before it is merged into the code base repository. The code review includes security auditing based on OWASP secure coding, code review documents, other community sources on best security practices.</t>
  </si>
  <si>
    <t>High-level security administration is managed by Instructure. Separation of duties is provided for Standard users and System Administrators.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</si>
  <si>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t>
  </si>
  <si>
    <t>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</si>
  <si>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Our figures for uptime, performance, and overall availability are completely transparent, which means that all users can track our performance at https://inst.bid/status on demand. Instructure guarantees a 99.9% uptime.</t>
  </si>
  <si>
    <t>Impact is third-party tested annually and an executive summary of the test report can be made available under NDA.</t>
  </si>
  <si>
    <t>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t>
  </si>
  <si>
    <t>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t>
  </si>
  <si>
    <t>Access to the Impact cloud architecture back-end is via a combination of VPN, MFA, SSH, and digital keys managed using Amazon's KMS (KMS is certified via the Cryptographic Module Validation Program).</t>
  </si>
  <si>
    <t>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</si>
  <si>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Two-factor authentication can be enabled in account settings and utilizes an additional OTP code, configurable via an authenticator app such as Google Authenticator.</t>
  </si>
  <si>
    <t>We store an 'id' field for the user as well as recipient identifier (e.g. email address).</t>
  </si>
  <si>
    <t>System logs are retained for 1 month. The audit information listed can be provided on request but is not currently available in-system as yet.
Logs are stored in various SIEM's/collectors based on the log type.</t>
  </si>
  <si>
    <t>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t>
  </si>
  <si>
    <t>Local authentication enforces a minimum character count of 12 characters.</t>
  </si>
  <si>
    <t>Local authentication does not enforce password complexity requirements.</t>
  </si>
  <si>
    <t>Local authentication does not enforce password aging requirements.</t>
  </si>
  <si>
    <t xml:space="preserve">System and security logs are retained for a minimum of 1 month. All platform activity is logged in secure, immutable logs. Instructure manages logs on behalf of customers, but can provide them in case of a security incident.	</t>
  </si>
  <si>
    <r>
      <t>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</si>
  <si>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https://status.instructure.com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Business Continuity white paper is part of the Impact Compliance Package.</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</si>
  <si>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</si>
  <si>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t>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t>
  </si>
  <si>
    <t xml:space="preserve">A documented change management process is in place, which is in line with SOC 2 Type II standards. A copy of the Impact SOC 2 Type II report is available under mutual NDA. </t>
  </si>
  <si>
    <t>Instructure will email customers regarding any major changes which may impact an institution's security posture. The update/upgrade release notes are available to all Impact users at https://inst.bid/impact/releases</t>
  </si>
  <si>
    <t>As Impact is a Software as a Service, all customers are on the same version and get the latest features, fixes and updates.</t>
  </si>
  <si>
    <t>Impact is a Software as a Service, and as such, all clients are on the same version.</t>
  </si>
  <si>
    <t xml:space="preserve">Impact does not typically require reconfiguration after feature releases. Customizations such as branding elements are unaffected by releases. </t>
  </si>
  <si>
    <t xml:space="preserve">Impact releases occur weekly with some exceptions (either an additional release or less depending on season). </t>
  </si>
  <si>
    <t>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</si>
  <si>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t>
  </si>
  <si>
    <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</si>
  <si>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Updates often only take minutes to complete with little to no downtime required, or impact to the customer. Releases are typically deployed on a weekly basis. </t>
  </si>
  <si>
    <t>Emergency changes follow our standard code change process, including documenting changes, authorization, and testing. Code changes are well documented and versioned. Deployments can only be performed by authorized individuals through use of keys and any changes are logged.</t>
  </si>
  <si>
    <t>Instructure deploys a configuration management system which monitors for file drift or skew and will replace a skewed file with a gold copy on a regular basis.</t>
  </si>
  <si>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</si>
  <si>
    <t>All data is encrypted in transit with TLS v1.2 or higher.</t>
  </si>
  <si>
    <t xml:space="preserve">All data is encrypted at rest using AES-256. </t>
  </si>
  <si>
    <t>On termination or expiration of your agreement with us, Instructure employs industry best practices to ensure customer data is removed from the system in order to prevent unauthorized or inadvertent access.</t>
  </si>
  <si>
    <t xml:space="preserve">Customers have up to 90 days after the end of the contract. </t>
  </si>
  <si>
    <t>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</si>
  <si>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</si>
  <si>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</si>
  <si>
    <t>Impact databases and media content are backed up.</t>
  </si>
  <si>
    <t>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t>
  </si>
  <si>
    <t>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t>
  </si>
  <si>
    <t>Please see our Instructure Business Continuity and Disaster Recovery Paper which is part of the Impact Compliance Package. https://inst.bid/impact/dl</t>
  </si>
  <si>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</si>
  <si>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Impact is hosted in multiple regions around the world. For each region, there is a designated Disaster Recovery site.</t>
    </r>
  </si>
  <si>
    <t>Please see our Business Continuity and Disaster Recovery Paper which is part of the Impact Compliance Package. https://inst.bid/impact/dl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</si>
  <si>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</si>
  <si>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</si>
  <si>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</si>
  <si>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</si>
  <si>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</si>
  <si>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</si>
  <si>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</si>
  <si>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Instructure conducts internal audits of the policies and procedures under which it operates including an annual assessment of key security controls.</t>
  </si>
  <si>
    <t>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t>
  </si>
  <si>
    <t>Impact has Cloudflare WAF and CDN deployed to protect against common web application attacks as well as DDoS mitigation</t>
  </si>
  <si>
    <t>AWS GuardDuty is deployed on all Impact environments to provide intrusion and anomaly detection.</t>
  </si>
  <si>
    <t>We rely on AWS GuardDuty to monitor for malicious activity and anomalous behavior.</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</si>
  <si>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t>
  </si>
  <si>
    <t>Intrustion monitoring is performed internally by both the Instructure Security and Engineering teams.</t>
  </si>
  <si>
    <t>Yes, intrustion monitoring occurs on a 24 x 7 x 365 basis and an incident response plan is in place in the need of an immediate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</si>
</sst>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i/>
      <sz val="12"/>
      <color rgb="FF000000"/>
      <name val="Verdana"/>
      <family val="2"/>
    </font>
    <font>
      <u/>
      <sz val="11"/>
      <color theme="10"/>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36">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59" xfId="0" applyNumberFormat="1" applyFont="1" applyBorder="1" applyAlignment="1">
      <alignment vertical="center" wrapText="1"/>
    </xf>
    <xf numFmtId="0" fontId="25" fillId="0" borderId="59" xfId="0" applyFont="1" applyBorder="1">
      <alignment vertical="top"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0"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25" fillId="0" borderId="5" xfId="0" applyFont="1" applyBorder="1" applyProtection="1">
      <alignment vertical="top" wrapText="1"/>
      <protection locked="0"/>
    </xf>
    <xf numFmtId="0" fontId="1" fillId="0" borderId="3" xfId="0" applyFont="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25" fillId="0" borderId="3" xfId="0" applyFont="1" applyBorder="1" applyAlignment="1">
      <alignment horizontal="left" vertical="center" wrapText="1"/>
    </xf>
    <xf numFmtId="0" fontId="4" fillId="2"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6" fillId="0" borderId="23" xfId="0" applyFont="1" applyBorder="1" applyAlignment="1">
      <alignment horizontal="left" vertical="center" wrapText="1"/>
    </xf>
    <xf numFmtId="0" fontId="46" fillId="0" borderId="58" xfId="0" applyFont="1" applyBorder="1">
      <alignment vertical="top" wrapText="1"/>
    </xf>
    <xf numFmtId="0" fontId="14" fillId="5" borderId="3" xfId="0" applyNumberFormat="1" applyFont="1" applyFill="1" applyBorder="1" applyAlignment="1">
      <alignment horizontal="left" vertical="center" wrapText="1"/>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21" fillId="7"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1" xfId="0" applyFont="1" applyBorder="1" applyAlignment="1">
      <alignment horizontal="lef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43" fillId="0" borderId="0" xfId="0" applyFont="1" applyAlignment="1">
      <alignment horizontal="center" vertical="center" wrapText="1"/>
    </xf>
    <xf numFmtId="0" fontId="24" fillId="36" borderId="26" xfId="0" applyFont="1" applyFill="1" applyBorder="1" applyAlignment="1">
      <alignment horizontal="left" vertical="center" wrapText="1"/>
    </xf>
    <xf numFmtId="0" fontId="24" fillId="36" borderId="47"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1" fillId="2" borderId="3" xfId="0" applyFont="1" applyFill="1" applyBorder="1">
      <alignment vertical="top" wrapText="1"/>
    </xf>
    <xf numFmtId="0" fontId="12" fillId="2" borderId="3" xfId="0" applyFont="1" applyFill="1" applyBorder="1">
      <alignmen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165" fontId="1" fillId="0" borderId="3" xfId="0" applyNumberFormat="1" applyFont="1" applyBorder="1" applyAlignment="1">
      <alignment horizontal="left" vertical="top" wrapText="1"/>
    </xf>
    <xf numFmtId="165" fontId="17" fillId="0" borderId="3" xfId="0" applyNumberFormat="1" applyFont="1" applyBorder="1" applyAlignment="1">
      <alignment horizontal="left" vertical="top" wrapText="1"/>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0" fontId="8" fillId="0" borderId="3" xfId="0" applyFont="1" applyBorder="1" applyAlignment="1">
      <alignment horizontal="left" vertical="center"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xf numFmtId="0" fontId="62" fillId="0" borderId="23" xfId="17" applyFont="1" applyBorder="1" applyAlignment="1">
      <alignment horizontal="left" vertical="center" wrapText="1"/>
    </xf>
    <xf numFmtId="0" fontId="62" fillId="0" borderId="58" xfId="17" applyFont="1" applyBorder="1" applyAlignment="1">
      <alignment vertical="top" wrapText="1"/>
    </xf>
    <xf numFmtId="0" fontId="62" fillId="0" borderId="6" xfId="17" applyFont="1" applyBorder="1" applyAlignment="1">
      <alignment vertical="top" wrapText="1"/>
    </xf>
    <xf numFmtId="0" fontId="0" fillId="0" borderId="3" xfId="0" applyNumberFormat="1" applyFill="1" applyBorder="1">
      <alignment vertical="top" wrapText="1"/>
    </xf>
    <xf numFmtId="9" fontId="0" fillId="0" borderId="3" xfId="0" applyNumberFormat="1" applyFill="1" applyBorder="1">
      <alignment vertical="top"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0.90909090909090906</c:v>
                </c:pt>
                <c:pt idx="2">
                  <c:v>0.77777777777777779</c:v>
                </c:pt>
                <c:pt idx="3">
                  <c:v>0.6470588235294118</c:v>
                </c:pt>
                <c:pt idx="4">
                  <c:v>0.77777777777777779</c:v>
                </c:pt>
                <c:pt idx="5">
                  <c:v>1</c:v>
                </c:pt>
                <c:pt idx="6">
                  <c:v>0.44155844155844154</c:v>
                </c:pt>
                <c:pt idx="7">
                  <c:v>1</c:v>
                </c:pt>
                <c:pt idx="8">
                  <c:v>0.96296296296296291</c:v>
                </c:pt>
                <c:pt idx="9">
                  <c:v>0.92929292929292928</c:v>
                </c:pt>
                <c:pt idx="10">
                  <c:v>1</c:v>
                </c:pt>
                <c:pt idx="11">
                  <c:v>0.82608695652173914</c:v>
                </c:pt>
                <c:pt idx="12">
                  <c:v>0.625</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21" t="s">
        <v>3202</v>
      </c>
      <c r="B2" s="422"/>
      <c r="C2" s="422"/>
      <c r="D2" s="422"/>
      <c r="E2" s="422"/>
      <c r="F2" s="422"/>
      <c r="G2" s="422"/>
      <c r="H2" s="422"/>
      <c r="I2" s="422"/>
      <c r="J2" s="422"/>
    </row>
    <row r="3" spans="1:10" ht="36" customHeight="1" x14ac:dyDescent="0.15">
      <c r="A3" s="335" t="s">
        <v>2797</v>
      </c>
      <c r="B3" s="335"/>
      <c r="C3" s="335"/>
      <c r="D3" s="335"/>
      <c r="E3" s="335"/>
      <c r="F3" s="335"/>
      <c r="G3" s="335"/>
      <c r="H3" s="335"/>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23" t="s">
        <v>8</v>
      </c>
      <c r="B32" s="424"/>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23" t="s">
        <v>7</v>
      </c>
      <c r="B38" s="424"/>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3" t="s">
        <v>2198</v>
      </c>
      <c r="B50" s="343"/>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3" t="str">
        <f>IF($C$27="No","Assessment of Third Parties - Optional based on QUALIFIER response.","Assessment of Third Parties")</f>
        <v>Assessment of Third Parties</v>
      </c>
      <c r="B60" s="343"/>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3" t="str">
        <f>IF($C$31="","Consulting",IF($C$31="Yes","Consulting - All questions after this section are OPTIONAL.","Consulting - Optional based on QUALIFIER response."))</f>
        <v>Consulting - Optional based on QUALIFIER response.</v>
      </c>
      <c r="B65" s="343"/>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3" t="str">
        <f>IF($C$31="","Application/Service Security",IF($C$31="Yes","App/Service Security - Optional based on QUALIFIER response.","Application/Service Security"))</f>
        <v>Application/Service Security</v>
      </c>
      <c r="B75" s="343"/>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3" t="str">
        <f>IF($C$31="","Authentication, Authorization, and Accounting",IF($C$31="Yes","AAA - Optional based on QUALIFIER response.","Authentication, Authorization, and Accounting"))</f>
        <v>Authentication, Authorization, and Accounting</v>
      </c>
      <c r="B90" s="343"/>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3" t="str">
        <f>IF(OR($C$28="No",$C$31="Yes"),"BCP - Optional based on QUALIFIER response.","Business Continuity Plan")</f>
        <v>Business Continuity Plan</v>
      </c>
      <c r="B110" s="343"/>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3" t="str">
        <f>IF($C$31="","Change Management",IF($C$31="Yes","Change Management - Optional based on QUALIFIER response.","Change Management"))</f>
        <v>Change Management</v>
      </c>
      <c r="B121" s="343"/>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3" t="str">
        <f>IF($C$31="","Data",IF($C$31="Yes","Data - Optional based on QUALIFIER response.","Data"))</f>
        <v>Data</v>
      </c>
      <c r="B137" s="343"/>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3" t="str">
        <f>IF($C$31="","Datacenter",IF($C$31="Yes","Datacenter - Optional based on QUALIFIER response.","Datacenter"))</f>
        <v>Datacenter</v>
      </c>
      <c r="B162" s="343"/>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3" t="str">
        <f>IF(OR($C$29="No",$C$31="Yes"),"DRP - Optional based on QUALIFIER response.","Disaster Recovery Plan")</f>
        <v>Disaster Recovery Plan</v>
      </c>
      <c r="B180" s="343"/>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3" t="str">
        <f>IF($C$31="","Firewalls, IDS, IPS, and Networking",IF($C$31="Yes","FW/IDPS/Networks - Optional based on QUALIFIER response.","Firewalls, IDS, IPS, and Networking"))</f>
        <v>Firewalls, IDS, IPS, and Networking</v>
      </c>
      <c r="B192" s="343"/>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3" t="str">
        <f>IF($C$31="","Policies, Procedures, and Processes",IF($C$31="Yes","Pol/Pro/Proc - Optional based on QUALIFIER response.","Policies, Procedures, and Processes"))</f>
        <v>Policies, Procedures, and Processes</v>
      </c>
      <c r="B204" s="343"/>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3" t="s">
        <v>244</v>
      </c>
      <c r="B221" s="343"/>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3" t="str">
        <f>IF($C$31="","Quality Assurance",IF($C$31="Yes","Quality Assurance - Optional based on QUALIFIER response.","Quality Assurance"))</f>
        <v>Quality Assurance</v>
      </c>
      <c r="B226" s="343"/>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3" t="str">
        <f>IF($C$31="","Vulnerability Scanning",IF($C$31="Yes","Vulnerability Scanning - Optional based on QUALIFIER response.","Vulnerability Scanning"))</f>
        <v>Vulnerability Scanning</v>
      </c>
      <c r="B232" s="343"/>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3" t="str">
        <f>IF(OR($C$25="No",$C$31="Yes"),"HIPAA - Optional based on QUALIFIER response.","HIPAA")</f>
        <v>HIPAA</v>
      </c>
      <c r="B239" s="343"/>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3" t="str">
        <f>IF(OR($C$30="No",$C$31="Yes"),"PCI DSS - Optional based on QUALIFIER response.","PCI DSS")</f>
        <v>PCI DSS</v>
      </c>
      <c r="B269" s="343"/>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2:J2"/>
    <mergeCell ref="A3:H3"/>
    <mergeCell ref="A110:B110"/>
    <mergeCell ref="A90:B90"/>
    <mergeCell ref="A75:B75"/>
    <mergeCell ref="A65:B65"/>
    <mergeCell ref="A60:B60"/>
    <mergeCell ref="A38:B38"/>
    <mergeCell ref="A32:B32"/>
    <mergeCell ref="A50:B50"/>
    <mergeCell ref="A239:B239"/>
    <mergeCell ref="A269:B269"/>
    <mergeCell ref="A226:B226"/>
    <mergeCell ref="A232:B232"/>
    <mergeCell ref="A162:B162"/>
    <mergeCell ref="A137:B137"/>
    <mergeCell ref="A121:B121"/>
    <mergeCell ref="A221:B221"/>
    <mergeCell ref="A204:B204"/>
    <mergeCell ref="A180:B180"/>
    <mergeCell ref="A192:B192"/>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2">
      <formula>$C$185="No"</formula>
    </cfRule>
    <cfRule type="expression" dxfId="7" priority="51">
      <formula>$C$31="Yes"</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9">
      <formula>$C$247="No"</formula>
    </cfRule>
    <cfRule type="expression" dxfId="1" priority="38">
      <formula>$C$246="No"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25" t="s">
        <v>2803</v>
      </c>
      <c r="B2" s="426"/>
      <c r="C2" s="427"/>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28" t="s">
        <v>2804</v>
      </c>
      <c r="B3" s="429"/>
      <c r="C3" s="430"/>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33" t="s">
        <v>1</v>
      </c>
      <c r="B2" s="334"/>
    </row>
    <row r="3" spans="1:256" ht="26" customHeight="1" x14ac:dyDescent="0.15">
      <c r="A3" s="335"/>
      <c r="B3" s="335"/>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1" t="s">
        <v>2</v>
      </c>
      <c r="B4" s="332"/>
    </row>
    <row r="5" spans="1:256" ht="72" customHeight="1" x14ac:dyDescent="0.2">
      <c r="A5" s="330" t="s">
        <v>3199</v>
      </c>
      <c r="B5" s="330"/>
    </row>
    <row r="6" spans="1:256" s="12" customFormat="1" ht="24" customHeight="1" x14ac:dyDescent="0.2">
      <c r="A6" s="331" t="s">
        <v>3</v>
      </c>
      <c r="B6" s="332"/>
    </row>
    <row r="7" spans="1:256" ht="84" customHeight="1" x14ac:dyDescent="0.2">
      <c r="A7" s="330" t="s">
        <v>2882</v>
      </c>
      <c r="B7" s="330"/>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0" t="s">
        <v>2885</v>
      </c>
      <c r="B13" s="330"/>
    </row>
    <row r="14" spans="1:256" ht="124.25" customHeight="1" x14ac:dyDescent="0.2">
      <c r="A14" s="339" t="s">
        <v>12</v>
      </c>
      <c r="B14" s="340"/>
    </row>
    <row r="15" spans="1:256" s="12" customFormat="1" ht="24" customHeight="1" x14ac:dyDescent="0.2">
      <c r="A15" s="331" t="s">
        <v>13</v>
      </c>
      <c r="B15" s="332"/>
    </row>
    <row r="16" spans="1:256" ht="56" customHeight="1" x14ac:dyDescent="0.2">
      <c r="A16" s="330" t="s">
        <v>2886</v>
      </c>
      <c r="B16" s="330"/>
    </row>
    <row r="17" spans="1:2" ht="112.25" customHeight="1" x14ac:dyDescent="0.2">
      <c r="A17" s="339" t="s">
        <v>14</v>
      </c>
      <c r="B17" s="340"/>
    </row>
    <row r="18" spans="1:2" s="12" customFormat="1" ht="24" customHeight="1" x14ac:dyDescent="0.2">
      <c r="A18" s="331" t="s">
        <v>15</v>
      </c>
      <c r="B18" s="332"/>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1" t="s">
        <v>19</v>
      </c>
      <c r="B22" s="332"/>
    </row>
    <row r="23" spans="1:2" ht="64.5" customHeight="1" x14ac:dyDescent="0.2">
      <c r="A23" s="342" t="s">
        <v>3200</v>
      </c>
      <c r="B23" s="330"/>
    </row>
    <row r="24" spans="1:2" ht="36" customHeight="1" x14ac:dyDescent="0.2">
      <c r="A24" s="341" t="s">
        <v>2890</v>
      </c>
      <c r="B24" s="341"/>
    </row>
    <row r="25" spans="1:2" ht="47" customHeight="1" x14ac:dyDescent="0.2">
      <c r="A25" s="338"/>
      <c r="B25" s="338"/>
    </row>
    <row r="26" spans="1:2" s="12" customFormat="1" ht="36" customHeight="1" x14ac:dyDescent="0.2">
      <c r="A26" s="336" t="s">
        <v>20</v>
      </c>
      <c r="B26" s="337"/>
    </row>
    <row r="27" spans="1:2" ht="172" customHeight="1" x14ac:dyDescent="0.2">
      <c r="A27" s="330" t="s">
        <v>2891</v>
      </c>
      <c r="B27" s="330"/>
    </row>
    <row r="28" spans="1:2" x14ac:dyDescent="0.2">
      <c r="A28" s="272" t="s">
        <v>3231</v>
      </c>
    </row>
    <row r="29" spans="1:2" hidden="1" x14ac:dyDescent="0.2">
      <c r="A29" s="13"/>
    </row>
    <row r="31" spans="1:2" hidden="1" x14ac:dyDescent="0.2">
      <c r="A31" s="13"/>
    </row>
  </sheetData>
  <mergeCells count="18">
    <mergeCell ref="A26:B26"/>
    <mergeCell ref="A27:B27"/>
    <mergeCell ref="A25:B25"/>
    <mergeCell ref="A17:B17"/>
    <mergeCell ref="A14:B14"/>
    <mergeCell ref="A24:B24"/>
    <mergeCell ref="A22:B22"/>
    <mergeCell ref="A23:B23"/>
    <mergeCell ref="A2:B2"/>
    <mergeCell ref="A3:B3"/>
    <mergeCell ref="A4:B4"/>
    <mergeCell ref="A5:B5"/>
    <mergeCell ref="A6:B6"/>
    <mergeCell ref="A7:B7"/>
    <mergeCell ref="A13:B13"/>
    <mergeCell ref="A15:B15"/>
    <mergeCell ref="A16:B16"/>
    <mergeCell ref="A18:B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zoomScaleNormal="100" workbookViewId="0">
      <selection activeCell="F2" sqref="F2"/>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62" t="s">
        <v>21</v>
      </c>
      <c r="B2" s="362"/>
      <c r="C2" s="362"/>
      <c r="D2" s="362"/>
      <c r="E2" s="90" t="s">
        <v>3404</v>
      </c>
    </row>
    <row r="3" spans="1:5" ht="36" customHeight="1" x14ac:dyDescent="0.15">
      <c r="A3" s="363" t="s">
        <v>22</v>
      </c>
      <c r="B3" s="363"/>
      <c r="C3" s="363"/>
      <c r="D3" s="363"/>
      <c r="E3" s="363"/>
    </row>
    <row r="4" spans="1:5" ht="29" customHeight="1" x14ac:dyDescent="0.15">
      <c r="A4" s="17" t="s">
        <v>23</v>
      </c>
      <c r="B4" s="7" t="s">
        <v>24</v>
      </c>
      <c r="C4" s="364">
        <v>45470</v>
      </c>
      <c r="D4" s="364"/>
      <c r="E4" s="364"/>
    </row>
    <row r="5" spans="1:5" ht="36" customHeight="1" x14ac:dyDescent="0.15">
      <c r="A5" s="343" t="s">
        <v>4</v>
      </c>
      <c r="B5" s="343"/>
      <c r="C5" s="20"/>
      <c r="D5" s="21"/>
      <c r="E5" s="22"/>
    </row>
    <row r="6" spans="1:5" ht="72" customHeight="1" x14ac:dyDescent="0.15">
      <c r="A6" s="361" t="s">
        <v>2892</v>
      </c>
      <c r="B6" s="361"/>
      <c r="C6" s="361"/>
      <c r="D6" s="361"/>
      <c r="E6" s="361"/>
    </row>
    <row r="7" spans="1:5" ht="24" customHeight="1" x14ac:dyDescent="0.15">
      <c r="A7" s="365" t="s">
        <v>25</v>
      </c>
      <c r="B7" s="365"/>
      <c r="C7" s="365"/>
      <c r="D7" s="365"/>
      <c r="E7" s="365"/>
    </row>
    <row r="8" spans="1:5" ht="22.25" customHeight="1" x14ac:dyDescent="0.15">
      <c r="A8" s="11" t="s">
        <v>26</v>
      </c>
      <c r="B8" s="434" t="str">
        <f>VLOOKUP(A8,Questions!$B$3:$C$256,2,FALSE)</f>
        <v>Vendor Name</v>
      </c>
      <c r="C8" s="359" t="s">
        <v>3414</v>
      </c>
      <c r="D8" s="360"/>
      <c r="E8" s="353"/>
    </row>
    <row r="9" spans="1:5" ht="22" customHeight="1" x14ac:dyDescent="0.15">
      <c r="A9" s="11" t="s">
        <v>28</v>
      </c>
      <c r="B9" s="434" t="str">
        <f>VLOOKUP(A9,Questions!$B$3:$C$256,2,FALSE)</f>
        <v>Product Name</v>
      </c>
      <c r="C9" s="359" t="s">
        <v>3415</v>
      </c>
      <c r="D9" s="360"/>
      <c r="E9" s="353"/>
    </row>
    <row r="10" spans="1:5" ht="31" customHeight="1" x14ac:dyDescent="0.15">
      <c r="A10" s="11" t="s">
        <v>29</v>
      </c>
      <c r="B10" s="434" t="str">
        <f>VLOOKUP(A10,Questions!$B$3:$C$256,2,FALSE)</f>
        <v>Product Description</v>
      </c>
      <c r="C10" s="359" t="s">
        <v>3416</v>
      </c>
      <c r="D10" s="360"/>
      <c r="E10" s="353"/>
    </row>
    <row r="11" spans="1:5" ht="22.25" customHeight="1" x14ac:dyDescent="0.15">
      <c r="A11" s="11" t="s">
        <v>30</v>
      </c>
      <c r="B11" s="434" t="str">
        <f>VLOOKUP(A11,Questions!$B$3:$C$256,2,FALSE)</f>
        <v>Web Link to Product Privacy Notice</v>
      </c>
      <c r="C11" s="431" t="s">
        <v>3417</v>
      </c>
      <c r="D11" s="432"/>
      <c r="E11" s="433"/>
    </row>
    <row r="12" spans="1:5" ht="22.25" customHeight="1" x14ac:dyDescent="0.15">
      <c r="A12" s="11" t="s">
        <v>31</v>
      </c>
      <c r="B12" s="434" t="str">
        <f>VLOOKUP(A12,Questions!$B$3:$C$256,2,FALSE)</f>
        <v>Web Link to Accessibility Statement or VPAT</v>
      </c>
      <c r="C12" s="431" t="s">
        <v>3418</v>
      </c>
      <c r="D12" s="432"/>
      <c r="E12" s="433"/>
    </row>
    <row r="13" spans="1:5" ht="22.25" customHeight="1" x14ac:dyDescent="0.15">
      <c r="A13" s="11" t="s">
        <v>32</v>
      </c>
      <c r="B13" s="434" t="str">
        <f>VLOOKUP(A13,Questions!$B$3:$C$256,2,FALSE)</f>
        <v>Vendor Contact Name</v>
      </c>
      <c r="C13" s="359" t="s">
        <v>3419</v>
      </c>
      <c r="D13" s="360"/>
      <c r="E13" s="353"/>
    </row>
    <row r="14" spans="1:5" ht="22.25" customHeight="1" x14ac:dyDescent="0.15">
      <c r="A14" s="11" t="s">
        <v>34</v>
      </c>
      <c r="B14" s="434" t="str">
        <f>VLOOKUP(A14,Questions!$B$3:$C$256,2,FALSE)</f>
        <v>Vendor Contact Title</v>
      </c>
      <c r="C14" s="359" t="s">
        <v>3419</v>
      </c>
      <c r="D14" s="360"/>
      <c r="E14" s="353"/>
    </row>
    <row r="15" spans="1:5" ht="22.25" customHeight="1" x14ac:dyDescent="0.15">
      <c r="A15" s="11" t="s">
        <v>36</v>
      </c>
      <c r="B15" s="434" t="str">
        <f>VLOOKUP(A15,Questions!$B$3:$C$256,2,FALSE)</f>
        <v>Vendor Contact Email</v>
      </c>
      <c r="C15" s="359" t="s">
        <v>3420</v>
      </c>
      <c r="D15" s="360"/>
      <c r="E15" s="353"/>
    </row>
    <row r="16" spans="1:5" ht="22.25" customHeight="1" x14ac:dyDescent="0.15">
      <c r="A16" s="11" t="s">
        <v>37</v>
      </c>
      <c r="B16" s="434" t="str">
        <f>VLOOKUP(A16,Questions!$B$3:$C$256,2,FALSE)</f>
        <v>Vendor Contact Phone Number</v>
      </c>
      <c r="C16" s="359" t="s">
        <v>3421</v>
      </c>
      <c r="D16" s="360"/>
      <c r="E16" s="353"/>
    </row>
    <row r="17" spans="1:6" ht="22.25" customHeight="1" x14ac:dyDescent="0.15">
      <c r="A17" s="11" t="s">
        <v>38</v>
      </c>
      <c r="B17" s="434" t="str">
        <f>VLOOKUP(A17,Questions!$B$3:$C$256,2,FALSE)</f>
        <v>Vendor Accessibility Contact Name</v>
      </c>
      <c r="C17" s="359" t="s">
        <v>3422</v>
      </c>
      <c r="D17" s="360"/>
      <c r="E17" s="353"/>
    </row>
    <row r="18" spans="1:6" ht="22.25" customHeight="1" x14ac:dyDescent="0.15">
      <c r="A18" s="11" t="s">
        <v>40</v>
      </c>
      <c r="B18" s="434" t="str">
        <f>VLOOKUP(A18,Questions!$B$3:$C$256,2,FALSE)</f>
        <v>Vendor Accessibility Contact Title</v>
      </c>
      <c r="C18" s="359" t="s">
        <v>3422</v>
      </c>
      <c r="D18" s="360"/>
      <c r="E18" s="353"/>
    </row>
    <row r="19" spans="1:6" ht="22.25" customHeight="1" x14ac:dyDescent="0.15">
      <c r="A19" s="11" t="s">
        <v>42</v>
      </c>
      <c r="B19" s="434" t="str">
        <f>VLOOKUP(A19,Questions!$B$3:$C$256,2,FALSE)</f>
        <v>Vendor Accessibility Contact Email</v>
      </c>
      <c r="C19" s="359" t="s">
        <v>3423</v>
      </c>
      <c r="D19" s="360"/>
      <c r="E19" s="353"/>
    </row>
    <row r="20" spans="1:6" ht="23" customHeight="1" x14ac:dyDescent="0.15">
      <c r="A20" s="11" t="s">
        <v>43</v>
      </c>
      <c r="B20" s="434" t="str">
        <f>VLOOKUP(A20,Questions!$B$3:$C$256,2,FALSE)</f>
        <v>Vendor Accessibility Contact Phone Number</v>
      </c>
      <c r="C20" s="359" t="s">
        <v>3422</v>
      </c>
      <c r="D20" s="360"/>
      <c r="E20" s="353"/>
    </row>
    <row r="21" spans="1:6" ht="31" customHeight="1" x14ac:dyDescent="0.15">
      <c r="A21" s="11" t="s">
        <v>44</v>
      </c>
      <c r="B21" s="434" t="str">
        <f>VLOOKUP(A21,Questions!$B$3:$C$256,2,FALSE)</f>
        <v>Vendor Hosting Regions</v>
      </c>
      <c r="C21" s="359" t="s">
        <v>3424</v>
      </c>
      <c r="D21" s="360"/>
      <c r="E21" s="353"/>
    </row>
    <row r="22" spans="1:6" ht="30" customHeight="1" x14ac:dyDescent="0.15">
      <c r="A22" s="11" t="s">
        <v>45</v>
      </c>
      <c r="B22" s="434" t="str">
        <f>VLOOKUP(A22,Questions!$B$3:$C$256,2,FALSE)</f>
        <v>Vendor Work Locations</v>
      </c>
      <c r="C22" s="359" t="s">
        <v>3425</v>
      </c>
      <c r="D22" s="360"/>
      <c r="E22" s="353"/>
      <c r="F22" s="29" t="s">
        <v>3233</v>
      </c>
    </row>
    <row r="23" spans="1:6" ht="36" customHeight="1" x14ac:dyDescent="0.15">
      <c r="A23" s="343" t="s">
        <v>46</v>
      </c>
      <c r="B23" s="343"/>
      <c r="C23" s="20"/>
      <c r="D23" s="21"/>
      <c r="E23" s="22"/>
    </row>
    <row r="24" spans="1:6" ht="72" customHeight="1" thickBot="1" x14ac:dyDescent="0.2">
      <c r="A24" s="361" t="s">
        <v>2893</v>
      </c>
      <c r="B24" s="361"/>
      <c r="C24" s="361"/>
      <c r="D24" s="361"/>
      <c r="E24" s="361"/>
    </row>
    <row r="25" spans="1:6" ht="37.25" customHeight="1" x14ac:dyDescent="0.15">
      <c r="A25" s="350" t="s">
        <v>5</v>
      </c>
      <c r="B25" s="351"/>
      <c r="C25" s="20" t="s">
        <v>47</v>
      </c>
      <c r="D25" s="20" t="s">
        <v>48</v>
      </c>
      <c r="E25" s="175" t="s">
        <v>49</v>
      </c>
      <c r="F25" s="178" t="s">
        <v>50</v>
      </c>
    </row>
    <row r="26" spans="1:6" ht="48" customHeight="1" x14ac:dyDescent="0.15">
      <c r="A26" s="347" t="s">
        <v>51</v>
      </c>
      <c r="B26" s="348"/>
      <c r="C26" s="348"/>
      <c r="D26" s="348"/>
      <c r="E26" s="349"/>
      <c r="F26" s="182"/>
    </row>
    <row r="27" spans="1:6" ht="48" customHeight="1" x14ac:dyDescent="0.15">
      <c r="A27" s="11" t="s">
        <v>52</v>
      </c>
      <c r="B27" s="434"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434" t="str">
        <f>VLOOKUP(A28,Questions!$B$3:$C$256,2,FALSE)</f>
        <v>Will institutional data be shared with or hosted by any third parties? (Any entity not wholly owned by your company is considered a third-party.)</v>
      </c>
      <c r="C28" s="8" t="s">
        <v>2122</v>
      </c>
      <c r="D28" s="244" t="s">
        <v>3347</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434" t="str">
        <f>VLOOKUP(A29,Questions!$B$3:$C$256,2,FALSE)</f>
        <v>Do you have a well-documented Business Continuity Plan (BCP) that is tested annually?</v>
      </c>
      <c r="C29" s="8" t="s">
        <v>2122</v>
      </c>
      <c r="D29" s="244" t="s">
        <v>3426</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434" t="str">
        <f>VLOOKUP(A30,Questions!$B$3:$C$256,2,FALSE)</f>
        <v>Do you have a well-documented Disaster Recovery Plan (DRP) that is tested annually?</v>
      </c>
      <c r="C30" s="8" t="s">
        <v>2122</v>
      </c>
      <c r="D30" s="293" t="s">
        <v>3426</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434"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434"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434"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50" t="s">
        <v>8</v>
      </c>
      <c r="B34" s="351"/>
      <c r="C34" s="20" t="s">
        <v>47</v>
      </c>
      <c r="D34" s="20" t="s">
        <v>48</v>
      </c>
      <c r="E34" s="175" t="s">
        <v>49</v>
      </c>
      <c r="F34" s="183" t="s">
        <v>50</v>
      </c>
    </row>
    <row r="35" spans="1:7" ht="54" customHeight="1" x14ac:dyDescent="0.15">
      <c r="A35" s="11" t="s">
        <v>59</v>
      </c>
      <c r="B35" s="434" t="str">
        <f>VLOOKUP(A35,Questions!$B$3:$C$256,2,FALSE)</f>
        <v>Describe your organization’s business background and ownership structure, including all parent and subsidiary relationships.</v>
      </c>
      <c r="C35" s="354" t="s">
        <v>3348</v>
      </c>
      <c r="D35" s="355"/>
      <c r="E35" s="176" t="str">
        <f>IF((C35=""),VLOOKUP(A35,Questions!B$18:G$258,4,FALSE),IF(C35="Yes",VLOOKUP(A35,Questions!B$18:G$258,6,FALSE),IF(C35="No",VLOOKUP(A35,Questions!B$18:G$258,5,FALSE),"N/A")))</f>
        <v>N/A</v>
      </c>
      <c r="F35" s="182" t="str">
        <f>VLOOKUP(A35,'Analyst Report'!$A$39:$E$288,5,FALSE)</f>
        <v xml:space="preserve"> </v>
      </c>
    </row>
    <row r="36" spans="1:7" ht="54" customHeight="1" x14ac:dyDescent="0.15">
      <c r="A36" s="11" t="s">
        <v>61</v>
      </c>
      <c r="B36" s="434" t="str">
        <f>VLOOKUP(A36,Questions!$B$3:$C$256,2,FALSE)</f>
        <v>Have you had an unplanned disruption to this product/service in the past 12 months?</v>
      </c>
      <c r="C36" s="294" t="s">
        <v>2126</v>
      </c>
      <c r="D36" s="295" t="s">
        <v>3427</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434" t="str">
        <f>VLOOKUP(A37,Questions!$B$3:$C$256,2,FALSE)</f>
        <v>Do you have a dedicated Information Security staff or office?</v>
      </c>
      <c r="C37" s="294" t="s">
        <v>2122</v>
      </c>
      <c r="D37" s="295" t="s">
        <v>3428</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434" t="str">
        <f>VLOOKUP(A38,Questions!$B$3:$C$256,2,FALSE)</f>
        <v>Do you have a dedicated Software and System Development team(s)? (e.g., Customer Support, Implementation, Product Management, etc.)</v>
      </c>
      <c r="C38" s="294" t="s">
        <v>2122</v>
      </c>
      <c r="D38" s="295" t="s">
        <v>3429</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434" t="str">
        <f>VLOOKUP(A39,Questions!$B$3:$C$256,2,FALSE)</f>
        <v>Use this area to share information about your environment that will assist those who are assessing your company data security program.</v>
      </c>
      <c r="C39" s="354" t="s">
        <v>3430</v>
      </c>
      <c r="D39" s="355"/>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57" t="s">
        <v>7</v>
      </c>
      <c r="B40" s="358"/>
      <c r="C40" s="20" t="s">
        <v>47</v>
      </c>
      <c r="D40" s="20" t="s">
        <v>48</v>
      </c>
      <c r="E40" s="175" t="s">
        <v>49</v>
      </c>
      <c r="F40" s="184" t="s">
        <v>50</v>
      </c>
    </row>
    <row r="41" spans="1:7" ht="97.25" customHeight="1" x14ac:dyDescent="0.15">
      <c r="A41" s="11" t="s">
        <v>65</v>
      </c>
      <c r="B41" s="434" t="str">
        <f>VLOOKUP(A41,Questions!$B$3:$C$256,2,FALSE)</f>
        <v>Have you undergone a SSAE 18/SOC 2 audit?</v>
      </c>
      <c r="C41" s="8" t="s">
        <v>2122</v>
      </c>
      <c r="D41" s="295" t="s">
        <v>3431</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434" t="str">
        <f>VLOOKUP(A42,Questions!$B$3:$C$256,2,FALSE)</f>
        <v>Have you completed the Cloud Security Alliance (CSA) self assessment or CAIQ?</v>
      </c>
      <c r="C42" s="296" t="s">
        <v>2122</v>
      </c>
      <c r="D42" s="297" t="s">
        <v>3432</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434" t="str">
        <f>VLOOKUP(A43,Questions!$B$3:$C$256,2,FALSE)</f>
        <v>Have you received the Cloud Security Alliance STAR certification?</v>
      </c>
      <c r="C43" s="298" t="s">
        <v>2122</v>
      </c>
      <c r="D43" s="299" t="s">
        <v>3413</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434" t="str">
        <f>VLOOKUP(A44,Questions!$B$3:$C$256,2,FALSE)</f>
        <v>Do you conform with a specific industry standard security framework? (e.g., NIST Cybersecurity Framework, CIS Controls, ISO 27001, etc.)</v>
      </c>
      <c r="C44" s="298" t="s">
        <v>2122</v>
      </c>
      <c r="D44" s="299" t="s">
        <v>3433</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434" t="str">
        <f>VLOOKUP(A45,Questions!$B$3:$C$256,2,FALSE)</f>
        <v>Can the systems that hold the institution's data be compliant with NIST SP 800-171 and/or CMMC Level 2 standards?</v>
      </c>
      <c r="C45" s="298" t="s">
        <v>2122</v>
      </c>
      <c r="D45" s="299" t="s">
        <v>3349</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434" t="str">
        <f>VLOOKUP(A46,Questions!$B$3:$C$256,2,FALSE)</f>
        <v>Can you provide overall system and/or application architecture diagrams, including a full description of the data flow for all components of the system?</v>
      </c>
      <c r="C46" s="298" t="s">
        <v>2122</v>
      </c>
      <c r="D46" s="300" t="s">
        <v>3434</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434" t="str">
        <f>VLOOKUP(A47,Questions!$B$3:$C$256,2,FALSE)</f>
        <v>Does your organization have a data privacy policy?</v>
      </c>
      <c r="C47" s="298" t="s">
        <v>2122</v>
      </c>
      <c r="D47" s="300" t="s">
        <v>3405</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434" t="str">
        <f>VLOOKUP(A48,Questions!$B$3:$C$256,2,FALSE)</f>
        <v>Do you have a documented, and currently implemented, employee onboarding and offboarding policy?</v>
      </c>
      <c r="C48" s="298" t="s">
        <v>2122</v>
      </c>
      <c r="D48" s="300" t="s">
        <v>3350</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434" t="str">
        <f>VLOOKUP(A49,Questions!$B$3:$C$256,2,FALSE)</f>
        <v>Do you have a documented change management process?</v>
      </c>
      <c r="C49" s="298" t="s">
        <v>2122</v>
      </c>
      <c r="D49" s="300" t="s">
        <v>3435</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434" t="str">
        <f>VLOOKUP(A50,Questions!$B$3:$C$256,2,FALSE)</f>
        <v>Has a VPAT or ACR been created or updated for the product and version under consideration within the past year?</v>
      </c>
      <c r="C50" s="298" t="s">
        <v>2126</v>
      </c>
      <c r="D50" s="300" t="s">
        <v>3437</v>
      </c>
      <c r="E50" s="176" t="str">
        <f>IF((C50=""),VLOOKUP(A50,Questions!B$18:G$258,4,FALSE),IF(C50="Yes",VLOOKUP(A50,Questions!B$18:G$258,6,FALSE),IF(C50="No",VLOOKUP(A50,Questions!B$18:G$258,5,FALSE),"N/A")))</f>
        <v>Please state your plans (when and by whom) to complete a VPAT.</v>
      </c>
      <c r="F50" s="180" t="str">
        <f>VLOOKUP(A50,'Analyst Report'!$A$39:$E$288,5,FALSE)</f>
        <v xml:space="preserve"> </v>
      </c>
    </row>
    <row r="51" spans="1:7" ht="64.25" customHeight="1" x14ac:dyDescent="0.15">
      <c r="A51" s="11" t="s">
        <v>75</v>
      </c>
      <c r="B51" s="434" t="str">
        <f>VLOOKUP(A51,Questions!$B$3:$C$256,2,FALSE)</f>
        <v>Do you have documentation to support the accessibility features of your product?</v>
      </c>
      <c r="C51" s="298" t="s">
        <v>2122</v>
      </c>
      <c r="D51" s="297" t="s">
        <v>3436</v>
      </c>
      <c r="E51" s="176" t="str">
        <f>IF((C51=""),VLOOKUP(A51,Questions!B$18:G$258,4,FALSE),IF(C51="Yes",VLOOKUP(A51,Questions!B$18:G$258,6,FALSE),IF(C51="No",VLOOKUP(A51,Questions!B$18:G$258,5,FALSE),"N/A")))</f>
        <v>Provide examples with links where possible.</v>
      </c>
      <c r="F51" s="180" t="str">
        <f>VLOOKUP(A51,'Analyst Report'!$A$39:$E$288,5,FALSE)</f>
        <v xml:space="preserve"> </v>
      </c>
      <c r="G51" s="275" t="s">
        <v>3233</v>
      </c>
    </row>
    <row r="52" spans="1:7" ht="36" customHeight="1" x14ac:dyDescent="0.15">
      <c r="A52" s="352" t="s">
        <v>76</v>
      </c>
      <c r="B52" s="353"/>
      <c r="C52" s="20" t="s">
        <v>47</v>
      </c>
      <c r="D52" s="20" t="s">
        <v>48</v>
      </c>
      <c r="E52" s="175" t="s">
        <v>49</v>
      </c>
      <c r="F52" s="179" t="s">
        <v>50</v>
      </c>
    </row>
    <row r="53" spans="1:7" ht="48" customHeight="1" x14ac:dyDescent="0.15">
      <c r="A53" s="11" t="s">
        <v>77</v>
      </c>
      <c r="B53" s="434" t="str">
        <f>VLOOKUP(A53,Questions!$B$3:$C$256,2,FALSE)</f>
        <v>Has a third-party expert conducted an audit of the most recent version of your product?</v>
      </c>
      <c r="C53" s="8" t="s">
        <v>2126</v>
      </c>
      <c r="D53" s="295" t="s">
        <v>3438</v>
      </c>
      <c r="E53" s="176" t="str">
        <f>IF((C53=""),VLOOKUP(A53,Questions!B$18:G$258,4,FALSE),IF(C53="Yes",VLOOKUP(A53,Questions!B$18:G$258,6,FALSE),IF(C53="No",VLOOKUP(A53,Questions!B$18:G$258,5,FALSE),"N/A")))</f>
        <v>Please provide plans (when and by whom) any audit is planned, if any or rationale if not.</v>
      </c>
      <c r="F53" s="180" t="str">
        <f>VLOOKUP(A53,'Analyst Report'!$A$39:$E$288,5,FALSE)</f>
        <v xml:space="preserve"> </v>
      </c>
    </row>
    <row r="54" spans="1:7" ht="60" customHeight="1" x14ac:dyDescent="0.15">
      <c r="A54" s="11" t="s">
        <v>78</v>
      </c>
      <c r="B54" s="434" t="str">
        <f>VLOOKUP(A54,Questions!$B$3:$C$256,2,FALSE)</f>
        <v>Do you have a documented and implemented process for verifying accessibility conformance?</v>
      </c>
      <c r="C54" s="8" t="s">
        <v>2122</v>
      </c>
      <c r="D54" s="295" t="s">
        <v>3439</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434" t="str">
        <f>VLOOKUP(A55,Questions!$B$3:$C$256,2,FALSE)</f>
        <v>Have you adopted a technical or legal standard of conformance for the product in question?</v>
      </c>
      <c r="C55" s="8" t="s">
        <v>2122</v>
      </c>
      <c r="D55" s="295" t="s">
        <v>3440</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434" t="str">
        <f>VLOOKUP(A56,Questions!$B$3:$C$256,2,FALSE)</f>
        <v>Can you provide a current, detailed accessibility roadmap with delivery timelines?</v>
      </c>
      <c r="C56" s="8" t="s">
        <v>2126</v>
      </c>
      <c r="D56" s="294" t="s">
        <v>3351</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434" t="str">
        <f>VLOOKUP(A57,Questions!$B$3:$C$256,2,FALSE)</f>
        <v>Do you expect your staff to maintain a current skill set in IT accessibility?</v>
      </c>
      <c r="C57" s="8" t="s">
        <v>2122</v>
      </c>
      <c r="D57" s="88" t="s">
        <v>3441</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434" t="str">
        <f>VLOOKUP(A58,Questions!$B$3:$C$256,2,FALSE)</f>
        <v>Do you have a documented and implemented process for reporting and tracking accessibility issues?</v>
      </c>
      <c r="C58" s="8" t="s">
        <v>2122</v>
      </c>
      <c r="D58" s="295" t="s">
        <v>3442</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434" t="str">
        <f>VLOOKUP(A59,Questions!$B$3:$C$256,2,FALSE)</f>
        <v>Do you have documented processes and procedures for implementing accessibility into your development lifecycle?</v>
      </c>
      <c r="C59" s="8" t="s">
        <v>2122</v>
      </c>
      <c r="D59" s="88" t="s">
        <v>3443</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434" t="str">
        <f>VLOOKUP(A60,Questions!$B$3:$C$256,2,FALSE)</f>
        <v>Can all functions of the application or service be performed using only the keyboard?</v>
      </c>
      <c r="C60" s="8" t="s">
        <v>2122</v>
      </c>
      <c r="D60" s="295" t="s">
        <v>3444</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434"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3" t="str">
        <f>IF($C$29="No","Assessment of Third Parties - Optional based on QUALIFIER response.","Assessment of Third Parties")</f>
        <v>Assessment of Third Parties</v>
      </c>
      <c r="B62" s="343"/>
      <c r="C62" s="20" t="s">
        <v>47</v>
      </c>
      <c r="D62" s="20" t="s">
        <v>48</v>
      </c>
      <c r="E62" s="175" t="s">
        <v>49</v>
      </c>
      <c r="F62" s="179" t="s">
        <v>50</v>
      </c>
    </row>
    <row r="63" spans="1:7" ht="96" customHeight="1" x14ac:dyDescent="0.15">
      <c r="A63" s="11" t="s">
        <v>86</v>
      </c>
      <c r="B63" s="434" t="str">
        <f>VLOOKUP(A63,Questions!$B$3:$C$256,2,FALSE)</f>
        <v>Do you perform security assessments of third-party companies with which you share data? (e.g., hosting providers, cloud services, PaaS, IaaS, SaaS)</v>
      </c>
      <c r="C63" s="32" t="s">
        <v>2122</v>
      </c>
      <c r="D63" s="301" t="s">
        <v>3352</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434" t="str">
        <f>VLOOKUP(A64,Questions!$B$3:$C$256,2,FALSE)</f>
        <v>Provide a brief description for why each of these third parties will have access to institutional data.</v>
      </c>
      <c r="C64" s="356" t="s">
        <v>3406</v>
      </c>
      <c r="D64" s="344"/>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434" t="str">
        <f>VLOOKUP(A65,Questions!$B$3:$C$256,2,FALSE)</f>
        <v>What legal agreements (i.e., contracts) do you have in place with these third parties that address liability in the event of a data breach?</v>
      </c>
      <c r="C65" s="344" t="s">
        <v>3353</v>
      </c>
      <c r="D65" s="344"/>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434" t="str">
        <f>VLOOKUP(A66,Questions!$B$3:$C$256,2,FALSE)</f>
        <v>Do you have an implemented third-party management strategy?</v>
      </c>
      <c r="C66" s="32" t="s">
        <v>2122</v>
      </c>
      <c r="D66" s="301" t="s">
        <v>3445</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434" t="str">
        <f>VLOOKUP(A67,Questions!$B$3:$C$256,2,FALSE)</f>
        <v>Do you have a process and implemented procedures for managing your hardware supply chain? (e.g., telecommunications equipment, export licensing, computing devices)</v>
      </c>
      <c r="C67" s="32" t="s">
        <v>2122</v>
      </c>
      <c r="D67" s="301" t="s">
        <v>3446</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3" t="str">
        <f>IF(Questions!D23&lt;&gt;"","Consulting",IF(Questions!D23&lt;&gt;"Yes","Consulting - All questions after this section are OPTIONAL.","Consulting - Optional based on QUALIFIER response."))</f>
        <v>Consulting</v>
      </c>
      <c r="B68" s="343"/>
      <c r="C68" s="20" t="s">
        <v>47</v>
      </c>
      <c r="D68" s="20" t="s">
        <v>48</v>
      </c>
      <c r="E68" s="175" t="s">
        <v>49</v>
      </c>
      <c r="F68" s="179" t="s">
        <v>50</v>
      </c>
    </row>
    <row r="69" spans="1:256" ht="48" customHeight="1" x14ac:dyDescent="0.15">
      <c r="A69" s="11" t="s">
        <v>91</v>
      </c>
      <c r="B69" s="434"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434"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434"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434"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434"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434"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434"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434"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434"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3" t="s">
        <v>100</v>
      </c>
      <c r="B78" s="343"/>
      <c r="C78" s="20" t="s">
        <v>47</v>
      </c>
      <c r="D78" s="20" t="s">
        <v>48</v>
      </c>
      <c r="E78" s="175" t="s">
        <v>49</v>
      </c>
      <c r="F78" s="179" t="s">
        <v>50</v>
      </c>
    </row>
    <row r="79" spans="1:256" ht="89.25" customHeight="1" x14ac:dyDescent="0.15">
      <c r="A79" s="11" t="s">
        <v>101</v>
      </c>
      <c r="B79" s="434" t="str">
        <f>VLOOKUP(A79,Questions!$B$3:$C$256,2,FALSE)</f>
        <v>Are access controls for institutional accounts based on structured rules, such as role-based access control (RBAC), attribute-based access control (ABAC), or policy-based access control (PBAC)?</v>
      </c>
      <c r="C79" s="8" t="s">
        <v>2122</v>
      </c>
      <c r="D79" s="244" t="s">
        <v>3447</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434" t="str">
        <f>VLOOKUP(A80,Questions!$B$3:$C$256,2,FALSE)</f>
        <v>Are access controls for staff within your organization based on structured rules, such as RBAC, ABAC, or PBAC?</v>
      </c>
      <c r="C80" s="8" t="s">
        <v>2122</v>
      </c>
      <c r="D80" s="244" t="s">
        <v>3354</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434" t="str">
        <f>VLOOKUP(A81,Questions!$B$3:$C$256,2,FALSE)</f>
        <v>Does the system provide data input validation and error messages?</v>
      </c>
      <c r="C81" s="8" t="s">
        <v>2122</v>
      </c>
      <c r="D81" s="244" t="s">
        <v>3448</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26" customHeight="1" x14ac:dyDescent="0.15">
      <c r="A82" s="11" t="s">
        <v>104</v>
      </c>
      <c r="B82" s="434" t="str">
        <f>VLOOKUP(A82,Questions!$B$3:$C$256,2,FALSE)</f>
        <v>Are you using a web application firewall (WAF)?</v>
      </c>
      <c r="C82" s="8" t="s">
        <v>2122</v>
      </c>
      <c r="D82" s="329" t="s">
        <v>3449</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434" t="str">
        <f>VLOOKUP(A83,Questions!$B$3:$C$256,2,FALSE)</f>
        <v>Do you have a process and implemented procedures for managing your software supply chain (e.g., libraries, repositories, frameworks, etc.)</v>
      </c>
      <c r="C83" s="8" t="s">
        <v>2122</v>
      </c>
      <c r="D83" s="61" t="s">
        <v>3450</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434" t="str">
        <f>VLOOKUP(A84,Questions!$B$3:$C$256,2,FALSE)</f>
        <v>Are only currently supported operating system(s), software, and libraries leveraged by the system(s)/application(s) that will have access to institution's data?</v>
      </c>
      <c r="C84" s="8" t="s">
        <v>2122</v>
      </c>
      <c r="D84" s="26" t="s">
        <v>3355</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434" t="str">
        <f>VLOOKUP(A85,Questions!$B$3:$C$256,2,FALSE)</f>
        <v>If mobile, is the application available from a trusted source (e.g., App Store, Google Play Store)?</v>
      </c>
      <c r="C85" s="8" t="s">
        <v>2733</v>
      </c>
      <c r="D85" s="9" t="s">
        <v>3451</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434"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434" t="str">
        <f>VLOOKUP(A87,Questions!$B$3:$C$256,2,FALSE)</f>
        <v>Does your application provide separation of duties between security administration, system administration, and standard user functions?</v>
      </c>
      <c r="C87" s="8" t="s">
        <v>2122</v>
      </c>
      <c r="D87" s="9" t="s">
        <v>3453</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434" t="str">
        <f>VLOOKUP(A88,Questions!$B$3:$C$256,2,FALSE)</f>
        <v>Do you have a fully implemented policy or procedure that details how your employees obtain administrator access to institutional instance of the application?</v>
      </c>
      <c r="C88" s="8" t="s">
        <v>2122</v>
      </c>
      <c r="D88" s="9" t="s">
        <v>3356</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210" x14ac:dyDescent="0.15">
      <c r="A89" s="11" t="s">
        <v>111</v>
      </c>
      <c r="B89" s="434" t="str">
        <f>VLOOKUP(A89,Questions!$B$3:$C$256,2,FALSE)</f>
        <v>Have your developers been trained in secure coding techniques?</v>
      </c>
      <c r="C89" s="8" t="s">
        <v>2122</v>
      </c>
      <c r="D89" s="9" t="s">
        <v>3357</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434" t="str">
        <f>VLOOKUP(A90,Questions!$B$3:$C$256,2,FALSE)</f>
        <v>Was your application developed using secure coding techniques?</v>
      </c>
      <c r="C90" s="8" t="s">
        <v>2122</v>
      </c>
      <c r="D90" s="9" t="s">
        <v>3452</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434"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434" t="str">
        <f>VLOOKUP(A92,Questions!$B$3:$C$256,2,FALSE)</f>
        <v>Do you have software testing processes (dynamic or static) that are established and followed?</v>
      </c>
      <c r="C92" s="8" t="s">
        <v>2122</v>
      </c>
      <c r="D92" s="9" t="s">
        <v>3358</v>
      </c>
      <c r="E92" s="176"/>
      <c r="F92" s="180" t="str">
        <f>VLOOKUP(A92,'Analyst Report'!$A$39:$E$288,5,FALSE)</f>
        <v xml:space="preserve"> </v>
      </c>
      <c r="G92" s="275" t="s">
        <v>3233</v>
      </c>
    </row>
    <row r="93" spans="1:256" ht="36" customHeight="1" x14ac:dyDescent="0.15">
      <c r="A93" s="343" t="s">
        <v>115</v>
      </c>
      <c r="B93" s="343"/>
      <c r="C93" s="20" t="s">
        <v>47</v>
      </c>
      <c r="D93" s="20" t="s">
        <v>48</v>
      </c>
      <c r="E93" s="175" t="s">
        <v>49</v>
      </c>
      <c r="F93" s="179" t="s">
        <v>50</v>
      </c>
    </row>
    <row r="94" spans="1:256" ht="84" customHeight="1" x14ac:dyDescent="0.15">
      <c r="A94" s="11" t="s">
        <v>116</v>
      </c>
      <c r="B94" s="434" t="str">
        <f>VLOOKUP(A94,Questions!$B$3:$C$256,2,FALSE)</f>
        <v>Does your solution support single sign-on (SSO) protocols for user and administrator authentication?</v>
      </c>
      <c r="C94" s="8" t="s">
        <v>2769</v>
      </c>
      <c r="D94" s="9"/>
      <c r="E94" s="176" t="str">
        <f>IF((C94=""),VLOOKUP(A94,Questions!B:G,4,FALSE),IF(C94="1) Yes",VLOOKUP(A94,Questions!B:G,6,FALSE),IF(C94="2) No",VLOOKUP(A94,Questions!B:G,5,FALSE),"N/A")))</f>
        <v>Describe plans to support strong authentication practices.</v>
      </c>
      <c r="F94" s="180" t="str">
        <f>VLOOKUP(A94,'Analyst Report'!$A$39:$E$288,5,FALSE)</f>
        <v xml:space="preserve"> </v>
      </c>
    </row>
    <row r="95" spans="1:256" ht="48" customHeight="1" x14ac:dyDescent="0.15">
      <c r="A95" s="11" t="s">
        <v>117</v>
      </c>
      <c r="B95" s="434" t="str">
        <f>VLOOKUP(A95,Questions!$B$3:$C$256,2,FALSE)</f>
        <v>Does your solution support local authentication protocols for user and administrator authentication?</v>
      </c>
      <c r="C95" s="8" t="s">
        <v>2767</v>
      </c>
      <c r="D95" s="9"/>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434" t="str">
        <f>VLOOKUP(A96,Questions!$B$3:$C$256,2,FALSE)</f>
        <v>Can you enforce password/passphrase aging requirements?</v>
      </c>
      <c r="C96" s="8" t="s">
        <v>2126</v>
      </c>
      <c r="D96" s="244" t="s">
        <v>3468</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434" t="str">
        <f>VLOOKUP(A97,Questions!$B$3:$C$256,2,FALSE)</f>
        <v>Can you enforce password/passphrase complexity requirements (provided by the institution)?</v>
      </c>
      <c r="C97" s="8" t="s">
        <v>2126</v>
      </c>
      <c r="D97" s="244" t="s">
        <v>3467</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434" t="str">
        <f>VLOOKUP(A98,Questions!$B$3:$C$256,2,FALSE)</f>
        <v>Does the system have password complexity or length limitations and/or restrictions?</v>
      </c>
      <c r="C98" s="8" t="s">
        <v>2122</v>
      </c>
      <c r="D98" s="61" t="s">
        <v>3466</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434" t="str">
        <f>VLOOKUP(A99,Questions!$B$3:$C$256,2,FALSE)</f>
        <v>Do you have documented password/passphrase reset procedures that are currently implemented in the system and/or customer support?</v>
      </c>
      <c r="C99" s="8" t="s">
        <v>2122</v>
      </c>
      <c r="D99" s="9" t="s">
        <v>3359</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434" t="str">
        <f>VLOOKUP(A100,Questions!$B$3:$C$256,2,FALSE)</f>
        <v>Does your organization participate in InCommon or another eduGAIN-affiliated trust federation?</v>
      </c>
      <c r="C100" s="8" t="s">
        <v>2122</v>
      </c>
      <c r="D100" s="214" t="s">
        <v>3360</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434" t="str">
        <f>VLOOKUP(A101,Questions!$B$3:$C$256,2,FALSE)</f>
        <v>Does your application support integration with other authentication and authorization systems?</v>
      </c>
      <c r="C101" s="8" t="s">
        <v>2126</v>
      </c>
      <c r="D101" s="295"/>
      <c r="E101" s="176" t="str">
        <f>IF((C101=""),VLOOKUP(A101,Questions!B:G,4,FALSE),IF(C101="Yes",VLOOKUP(A101,Questions!B:G,6,FALSE),IF(C101="No",VLOOKUP(A101,Questions!B:G,5,FALSE),"N/A")))</f>
        <v>Describe any plans to support integration with other authentication and authorization systems.</v>
      </c>
      <c r="F101" s="180" t="str">
        <f>VLOOKUP(A101,'Analyst Report'!$A$39:$E$288,5,FALSE)</f>
        <v xml:space="preserve"> </v>
      </c>
    </row>
    <row r="102" spans="1:7" ht="74.75" customHeight="1" x14ac:dyDescent="0.15">
      <c r="A102" s="11" t="s">
        <v>124</v>
      </c>
      <c r="B102" s="434" t="str">
        <f>VLOOKUP(A102,Questions!$B$3:$C$256,2,FALSE)</f>
        <v>Does your solution support any of the following web SSO standards? [e.g., SAML2 (with redirect flow), OIDC, CAS, or other]</v>
      </c>
      <c r="C102" s="8"/>
      <c r="D102" s="303"/>
      <c r="E102" s="176" t="str">
        <f>IF((C102=""),VLOOKUP(A102,Questions!B:G,4,FALSE),IF(C102="Yes",VLOOKUP(A102,Questions!B:G,6,FALSE),IF(C102="No",VLOOKUP(A102,Questions!B:G,5,FALSE),"N/A")))</f>
        <v>An answer of "Yes" should be well-supported in the Additional Information column, and all elements of interest should be sufficiently addressed.</v>
      </c>
      <c r="F102" s="180" t="str">
        <f>VLOOKUP(A102,'Analyst Report'!$A$39:$E$288,5,FALSE)</f>
        <v xml:space="preserve"> </v>
      </c>
    </row>
    <row r="103" spans="1:7" ht="53" customHeight="1" x14ac:dyDescent="0.15">
      <c r="A103" s="11" t="s">
        <v>125</v>
      </c>
      <c r="B103" s="434" t="str">
        <f>VLOOKUP(A103,Questions!$B$3:$C$256,2,FALSE)</f>
        <v>Do you support differentiation between email address and user identifier?</v>
      </c>
      <c r="C103" s="8" t="s">
        <v>2122</v>
      </c>
      <c r="D103" s="304" t="s">
        <v>3463</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434" t="str">
        <f>VLOOKUP(A104,Questions!$B$3:$C$256,2,FALSE)</f>
        <v>Do you allow the customer to specify attribute mappings for any needed information beyond a user identifier? (e.g., Reference eduPerson, ePPA/ePPN/ePE)</v>
      </c>
      <c r="C104" s="77"/>
      <c r="D104" s="9"/>
      <c r="E104" s="176" t="str">
        <f>IF((C104=""),VLOOKUP(A104,Questions!B:G,4,FALSE),IF(C104="Yes",VLOOKUP(A104,Questions!B:G,6,FALSE),IF(C104="No",VLOOKUP(A104,Questions!B:G,5,FALSE),"N/A")))</f>
        <v xml:space="preserve"> </v>
      </c>
      <c r="F104" s="180" t="str">
        <f>VLOOKUP(A104,'Analyst Report'!$A$39:$E$288,5,FALSE)</f>
        <v xml:space="preserve"> </v>
      </c>
    </row>
    <row r="105" spans="1:7" ht="54" customHeight="1" x14ac:dyDescent="0.15">
      <c r="A105" s="11" t="s">
        <v>127</v>
      </c>
      <c r="B105" s="434" t="str">
        <f>VLOOKUP(A105,Questions!$B$3:$C$256,2,FALSE)</f>
        <v>If you don't support SSO, does your application and/or user-frontend/portal support multi-factor authentication? (e.g., Duo, Google Authenticator, OTP, etc.)</v>
      </c>
      <c r="C105" s="8" t="s">
        <v>2122</v>
      </c>
      <c r="D105" s="9" t="s">
        <v>3462</v>
      </c>
      <c r="E105" s="176" t="str">
        <f>IF((C105=""),VLOOKUP(A105,Questions!B:G,4,FALSE),IF(C105="Yes",VLOOKUP(A105,Questions!B:G,6,FALSE),IF(C105="No",VLOOKUP(A105,Questions!B:G,5,FALSE),"N/A")))</f>
        <v>List all supported multi-factor authentication methods, technologies, and/or products and provide a brief summary of each.</v>
      </c>
      <c r="F105" s="180" t="str">
        <f>VLOOKUP(A105,'Analyst Report'!$A$39:$E$288,5,FALSE)</f>
        <v xml:space="preserve"> </v>
      </c>
    </row>
    <row r="106" spans="1:7" ht="54" customHeight="1" x14ac:dyDescent="0.15">
      <c r="A106" s="11" t="s">
        <v>128</v>
      </c>
      <c r="B106" s="434" t="str">
        <f>VLOOKUP(A106,Questions!$B$3:$C$256,2,FALSE)</f>
        <v>Does your application automatically lock the session or log-out an account after a period of inactivity?</v>
      </c>
      <c r="C106" s="77" t="s">
        <v>2122</v>
      </c>
      <c r="D106" s="304" t="s">
        <v>3361</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434"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434"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434" t="str">
        <f>VLOOKUP(A109,Questions!$B$3:$C$256,2,FALSE)</f>
        <v>Does your application support directory integration for user accounts?</v>
      </c>
      <c r="C109" s="77" t="s">
        <v>2126</v>
      </c>
      <c r="D109" s="9"/>
      <c r="E109" s="176" t="str">
        <f>IF((C109=""),VLOOKUP(A109,Questions!B:G,4,FALSE),IF(C109="Yes",VLOOKUP(A109,Questions!B:G,6,FALSE),IF(C109="No",VLOOKUP(A109,Questions!B:G,5,FALSE),"N/A")))</f>
        <v>Describe any plans to support external authentication services in place of local authentication.</v>
      </c>
      <c r="F109" s="180" t="str">
        <f>VLOOKUP(A109,'Analyst Report'!$A$39:$E$288,5,FALSE)</f>
        <v xml:space="preserve"> </v>
      </c>
    </row>
    <row r="110" spans="1:7" ht="86" customHeight="1" x14ac:dyDescent="0.15">
      <c r="A110" s="11" t="s">
        <v>132</v>
      </c>
      <c r="B110" s="434" t="str">
        <f>VLOOKUP(A110,Questions!$B$3:$C$256,2,FALSE)</f>
        <v>Are audit logs available that include AT LEAST all of the following: login, logout, actions performed, and source IP address?</v>
      </c>
      <c r="C110" s="8" t="s">
        <v>2122</v>
      </c>
      <c r="D110" s="304" t="s">
        <v>3465</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434"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44" t="s">
        <v>3464</v>
      </c>
      <c r="D111" s="344"/>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434" t="str">
        <f>VLOOKUP(A112,Questions!$B$3:$C$256,2,FALSE)</f>
        <v>Describe or provide a reference to the retention period for those logs, how logs are protected, and whether they are accessible to the customer (and if so, how).</v>
      </c>
      <c r="C112" s="344" t="s">
        <v>3469</v>
      </c>
      <c r="D112" s="344"/>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3" t="str">
        <f>IF(OR($C$29="No",$C$29="Yes"),"BCP - Respond to as many questions below as possible.","Business Continuity Plan")</f>
        <v>BCP - Respond to as many questions below as possible.</v>
      </c>
      <c r="B113" s="343"/>
      <c r="C113" s="20" t="s">
        <v>47</v>
      </c>
      <c r="D113" s="20" t="s">
        <v>48</v>
      </c>
      <c r="E113" s="175" t="s">
        <v>49</v>
      </c>
      <c r="F113" s="179" t="s">
        <v>50</v>
      </c>
    </row>
    <row r="114" spans="1:7" ht="60" x14ac:dyDescent="0.15">
      <c r="A114" s="11" t="s">
        <v>135</v>
      </c>
      <c r="B114" s="434" t="str">
        <f>VLOOKUP(A114,Questions!$B$3:$C$256,2,FALSE)</f>
        <v>Is an owner assigned who is responsible for the maintenance and review of the Business Continuity Plan?</v>
      </c>
      <c r="C114" s="8" t="s">
        <v>2122</v>
      </c>
      <c r="D114" s="305" t="s">
        <v>3407</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229" x14ac:dyDescent="0.15">
      <c r="A115" s="11" t="s">
        <v>136</v>
      </c>
      <c r="B115" s="434" t="str">
        <f>VLOOKUP(A115,Questions!$B$3:$C$256,2,FALSE)</f>
        <v>Is there a defined problem/issue escalation plan in your BCP for impacted clients?</v>
      </c>
      <c r="C115" s="8" t="s">
        <v>2122</v>
      </c>
      <c r="D115" s="305" t="s">
        <v>3470</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09.6" x14ac:dyDescent="0.15">
      <c r="A116" s="11" t="s">
        <v>137</v>
      </c>
      <c r="B116" s="434" t="str">
        <f>VLOOKUP(A116,Questions!$B$3:$C$256,2,FALSE)</f>
        <v>Is there a documented communication plan in your BCP for impacted clients?</v>
      </c>
      <c r="C116" s="8" t="s">
        <v>2122</v>
      </c>
      <c r="D116" s="306" t="s">
        <v>3471</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120" x14ac:dyDescent="0.15">
      <c r="A117" s="11" t="s">
        <v>138</v>
      </c>
      <c r="B117" s="434" t="str">
        <f>VLOOKUP(A117,Questions!$B$3:$C$256,2,FALSE)</f>
        <v>Are all components of the BCP reviewed at least annually and updated as needed to reflect change?</v>
      </c>
      <c r="C117" s="8" t="s">
        <v>2122</v>
      </c>
      <c r="D117" s="305" t="s">
        <v>3472</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60" x14ac:dyDescent="0.15">
      <c r="A118" s="11" t="s">
        <v>139</v>
      </c>
      <c r="B118" s="434" t="str">
        <f>VLOOKUP(A118,Questions!$B$3:$C$256,2,FALSE)</f>
        <v>Are specific crisis management roles and responsibilities defined and documented?</v>
      </c>
      <c r="C118" s="8" t="s">
        <v>2122</v>
      </c>
      <c r="D118" s="305" t="s">
        <v>3362</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51" x14ac:dyDescent="0.15">
      <c r="A119" s="11" t="s">
        <v>140</v>
      </c>
      <c r="B119" s="434" t="str">
        <f>VLOOKUP(A119,Questions!$B$3:$C$256,2,FALSE)</f>
        <v>Does your organization conduct training and awareness activities to validate its employees' understanding of their roles and responsibilities during a crisis?</v>
      </c>
      <c r="C119" s="8" t="s">
        <v>2122</v>
      </c>
      <c r="D119" s="305" t="s">
        <v>3363</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240" x14ac:dyDescent="0.15">
      <c r="A120" s="11" t="s">
        <v>141</v>
      </c>
      <c r="B120" s="434" t="str">
        <f>VLOOKUP(A120,Questions!$B$3:$C$256,2,FALSE)</f>
        <v>Does your organization have an alternative business site or a contracted Business Recovery provider?</v>
      </c>
      <c r="C120" s="8" t="s">
        <v>2122</v>
      </c>
      <c r="D120" s="305" t="s">
        <v>3454</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60" x14ac:dyDescent="0.15">
      <c r="A121" s="11" t="s">
        <v>142</v>
      </c>
      <c r="B121" s="434" t="str">
        <f>VLOOKUP(A121,Questions!$B$3:$C$256,2,FALSE)</f>
        <v>Does your organization conduct an annual test of relocating to an alternate site for business recovery purposes?</v>
      </c>
      <c r="C121" s="8" t="s">
        <v>2122</v>
      </c>
      <c r="D121" s="305" t="s">
        <v>3364</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90" x14ac:dyDescent="0.15">
      <c r="A122" s="11" t="s">
        <v>143</v>
      </c>
      <c r="B122" s="434" t="str">
        <f>VLOOKUP(A122,Questions!$B$3:$C$256,2,FALSE)</f>
        <v>Is this product a core service of your organization and, as such, the top priority during business continuity planning?</v>
      </c>
      <c r="C122" s="8" t="s">
        <v>2122</v>
      </c>
      <c r="D122" s="305" t="s">
        <v>3473</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434" t="str">
        <f>VLOOKUP(A123,Questions!$B$3:$C$256,2,FALSE)</f>
        <v>Are all services that support your product fully redundant?</v>
      </c>
      <c r="C123" s="8" t="s">
        <v>2122</v>
      </c>
      <c r="D123" s="305" t="s">
        <v>3455</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3" t="s">
        <v>145</v>
      </c>
      <c r="B124" s="343"/>
      <c r="C124" s="20" t="s">
        <v>47</v>
      </c>
      <c r="D124" s="20" t="s">
        <v>48</v>
      </c>
      <c r="E124" s="175" t="s">
        <v>49</v>
      </c>
      <c r="F124" s="179" t="s">
        <v>50</v>
      </c>
    </row>
    <row r="125" spans="1:7" ht="48" customHeight="1" x14ac:dyDescent="0.15">
      <c r="A125" s="11" t="s">
        <v>146</v>
      </c>
      <c r="B125" s="434" t="str">
        <f>VLOOKUP(A125,Questions!$B$3:$C$256,2,FALSE)</f>
        <v>Does your Change Management process minimally include authorization, impact analysis, testing, and validation before moving changes to production?</v>
      </c>
      <c r="C125" s="8" t="s">
        <v>2122</v>
      </c>
      <c r="D125" s="307" t="s">
        <v>3474</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434" t="str">
        <f>VLOOKUP(A126,Questions!$B$3:$C$256,2,FALSE)</f>
        <v>Does your Change Management process also verify that all required third-party libraries and dependencies are still supported with each major change?</v>
      </c>
      <c r="C126" s="8" t="s">
        <v>2122</v>
      </c>
      <c r="D126" s="61" t="s">
        <v>3365</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434" t="str">
        <f>VLOOKUP(A127,Questions!$B$3:$C$256,2,FALSE)</f>
        <v>Will the institution be notified of major changes to your environment that could impact the institution's security posture?</v>
      </c>
      <c r="C127" s="8" t="s">
        <v>2122</v>
      </c>
      <c r="D127" s="61" t="s">
        <v>3475</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434" t="str">
        <f>VLOOKUP(A128,Questions!$B$3:$C$256,2,FALSE)</f>
        <v>Do clients have the option to not participate in or postpone an upgrade to a new release?</v>
      </c>
      <c r="C128" s="8" t="s">
        <v>2126</v>
      </c>
      <c r="D128" s="61" t="s">
        <v>3476</v>
      </c>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434" t="str">
        <f>VLOOKUP(A129,Questions!$B$3:$C$256,2,FALSE)</f>
        <v>Do you have a fully implemented solution support strategy that defines how many concurrent versions you support?</v>
      </c>
      <c r="C129" s="8" t="s">
        <v>2122</v>
      </c>
      <c r="D129" s="308" t="s">
        <v>3477</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434" t="str">
        <f>VLOOKUP(A130,Questions!$B$3:$C$256,2,FALSE)</f>
        <v>Does the system support client customizations from one release to another?</v>
      </c>
      <c r="C130" s="8" t="s">
        <v>2122</v>
      </c>
      <c r="D130" s="302" t="s">
        <v>3478</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434" t="str">
        <f>VLOOKUP(A131,Questions!$B$3:$C$256,2,FALSE)</f>
        <v>Do you have a release schedule for product updates?</v>
      </c>
      <c r="C131" s="8" t="s">
        <v>2122</v>
      </c>
      <c r="D131" s="61" t="s">
        <v>3479</v>
      </c>
      <c r="E131" s="176" t="str">
        <f>IF((C131=""),VLOOKUP(A131,Questions!B:G,4,FALSE),IF(C131="Yes",VLOOKUP(A131,Questions!B:G,6,FALSE),IF(C131="No",VLOOKUP(A131,Questions!B:G,5,FALSE),"N/A")))</f>
        <v>Provide a reference to this product's release schedule.</v>
      </c>
      <c r="F131" s="180" t="str">
        <f>VLOOKUP(A131,'Analyst Report'!$A$39:$E$288,5,FALSE)</f>
        <v xml:space="preserve"> </v>
      </c>
    </row>
    <row r="132" spans="1:256" ht="64.25" customHeight="1" x14ac:dyDescent="0.15">
      <c r="A132" s="11" t="s">
        <v>153</v>
      </c>
      <c r="B132" s="434" t="str">
        <f>VLOOKUP(A132,Questions!$B$3:$C$256,2,FALSE)</f>
        <v>Do you have a technology roadmap, for at least the next two years, for enhancements and bug fixes for the product/service being assessed?</v>
      </c>
      <c r="C132" s="8" t="s">
        <v>2122</v>
      </c>
      <c r="D132" s="61" t="s">
        <v>3480</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434" t="str">
        <f>VLOOKUP(A133,Questions!$B$3:$C$256,2,FALSE)</f>
        <v>Is institutional involvement (i.e., technically or organizationally) required during product updates?</v>
      </c>
      <c r="C133" s="8" t="s">
        <v>2126</v>
      </c>
      <c r="D133" s="308" t="s">
        <v>3481</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434" t="str">
        <f>VLOOKUP(A134,Questions!$B$3:$C$256,2,FALSE)</f>
        <v>Do you have policy and procedure, currently implemented, managing how critical patches are applied to all systems and applications?</v>
      </c>
      <c r="C134" s="8" t="s">
        <v>2122</v>
      </c>
      <c r="D134" s="308" t="s">
        <v>3366</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434" t="str">
        <f>VLOOKUP(A135,Questions!$B$3:$C$256,2,FALSE)</f>
        <v>Do you have policy and procedure, currently implemented, guiding how security risks are mitigated until patches can be applied?</v>
      </c>
      <c r="C135" s="8" t="s">
        <v>2122</v>
      </c>
      <c r="D135" s="302" t="s">
        <v>3482</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1" customFormat="1" ht="64.25" customHeight="1" x14ac:dyDescent="0.15">
      <c r="A136" s="88" t="s">
        <v>157</v>
      </c>
      <c r="B136" s="434" t="str">
        <f>VLOOKUP(A136,Questions!$B$3:$C$256,2,FALSE)</f>
        <v>Are upgrades or system changes installed during off-peak hours or in a manner that does not impact the customer?</v>
      </c>
      <c r="C136" s="32" t="s">
        <v>2122</v>
      </c>
      <c r="D136" s="322" t="s">
        <v>3483</v>
      </c>
      <c r="E136" s="323" t="str">
        <f>IF((C136=""),VLOOKUP(A136,Questions!B:G,4,FALSE),IF(C136="Yes",VLOOKUP(A136,Questions!B:G,6,FALSE),IF(C136="No",VLOOKUP(A136,Questions!B:G,5,FALSE),"N/A")))</f>
        <v>Define current off-peak hours, including time zones as necessary.</v>
      </c>
      <c r="F136" s="324" t="str">
        <f>VLOOKUP(A136,'Analyst Report'!$A$39:$E$288,5,FALSE)</f>
        <v xml:space="preserve"> </v>
      </c>
      <c r="G136" s="325"/>
      <c r="H136" s="320"/>
      <c r="I136" s="320"/>
      <c r="J136" s="320"/>
      <c r="K136" s="320"/>
      <c r="L136" s="320"/>
      <c r="M136" s="320"/>
      <c r="N136" s="320"/>
      <c r="O136" s="320"/>
      <c r="P136" s="320"/>
      <c r="Q136" s="320"/>
      <c r="R136" s="320"/>
      <c r="S136" s="320"/>
      <c r="T136" s="320"/>
      <c r="U136" s="320"/>
      <c r="V136" s="320"/>
      <c r="W136" s="320"/>
      <c r="X136" s="320"/>
      <c r="Y136" s="320"/>
      <c r="Z136" s="320"/>
      <c r="AA136" s="320"/>
      <c r="AB136" s="320"/>
      <c r="AC136" s="320"/>
      <c r="AD136" s="320"/>
      <c r="AE136" s="320"/>
      <c r="AF136" s="320"/>
      <c r="AG136" s="320"/>
      <c r="AH136" s="320"/>
      <c r="AI136" s="320"/>
      <c r="AJ136" s="320"/>
      <c r="AK136" s="320"/>
      <c r="AL136" s="320"/>
      <c r="AM136" s="320"/>
      <c r="AN136" s="320"/>
      <c r="AO136" s="320"/>
      <c r="AP136" s="320"/>
      <c r="AQ136" s="320"/>
      <c r="AR136" s="320"/>
      <c r="AS136" s="320"/>
      <c r="AT136" s="320"/>
      <c r="AU136" s="320"/>
      <c r="AV136" s="320"/>
      <c r="AW136" s="320"/>
      <c r="AX136" s="320"/>
      <c r="AY136" s="320"/>
      <c r="AZ136" s="320"/>
      <c r="BA136" s="320"/>
      <c r="BB136" s="320"/>
      <c r="BC136" s="320"/>
      <c r="BD136" s="320"/>
      <c r="BE136" s="320"/>
      <c r="BF136" s="320"/>
      <c r="BG136" s="320"/>
      <c r="BH136" s="320"/>
      <c r="BI136" s="320"/>
      <c r="BJ136" s="320"/>
      <c r="BK136" s="320"/>
      <c r="BL136" s="320"/>
      <c r="BM136" s="320"/>
      <c r="BN136" s="320"/>
      <c r="BO136" s="320"/>
      <c r="BP136" s="320"/>
      <c r="BQ136" s="320"/>
      <c r="BR136" s="320"/>
      <c r="BS136" s="320"/>
      <c r="BT136" s="320"/>
      <c r="BU136" s="320"/>
      <c r="BV136" s="320"/>
      <c r="BW136" s="320"/>
      <c r="BX136" s="320"/>
      <c r="BY136" s="320"/>
      <c r="BZ136" s="320"/>
      <c r="CA136" s="320"/>
      <c r="CB136" s="320"/>
      <c r="CC136" s="320"/>
      <c r="CD136" s="320"/>
      <c r="CE136" s="320"/>
      <c r="CF136" s="320"/>
      <c r="CG136" s="320"/>
      <c r="CH136" s="320"/>
      <c r="CI136" s="320"/>
      <c r="CJ136" s="320"/>
      <c r="CK136" s="320"/>
      <c r="CL136" s="320"/>
      <c r="CM136" s="320"/>
      <c r="CN136" s="320"/>
      <c r="CO136" s="320"/>
      <c r="CP136" s="320"/>
      <c r="CQ136" s="320"/>
      <c r="CR136" s="320"/>
      <c r="CS136" s="320"/>
      <c r="CT136" s="320"/>
      <c r="CU136" s="320"/>
      <c r="CV136" s="320"/>
      <c r="CW136" s="320"/>
      <c r="CX136" s="320"/>
      <c r="CY136" s="320"/>
      <c r="CZ136" s="320"/>
      <c r="DA136" s="320"/>
      <c r="DB136" s="320"/>
      <c r="DC136" s="320"/>
      <c r="DD136" s="320"/>
      <c r="DE136" s="320"/>
      <c r="DF136" s="320"/>
      <c r="DG136" s="320"/>
      <c r="DH136" s="320"/>
      <c r="DI136" s="320"/>
      <c r="DJ136" s="320"/>
      <c r="DK136" s="320"/>
      <c r="DL136" s="320"/>
      <c r="DM136" s="320"/>
      <c r="DN136" s="320"/>
      <c r="DO136" s="320"/>
      <c r="DP136" s="320"/>
      <c r="DQ136" s="320"/>
      <c r="DR136" s="320"/>
      <c r="DS136" s="320"/>
      <c r="DT136" s="320"/>
      <c r="DU136" s="320"/>
      <c r="DV136" s="320"/>
      <c r="DW136" s="320"/>
      <c r="DX136" s="320"/>
      <c r="DY136" s="320"/>
      <c r="DZ136" s="320"/>
      <c r="EA136" s="320"/>
      <c r="EB136" s="320"/>
      <c r="EC136" s="320"/>
      <c r="ED136" s="320"/>
      <c r="EE136" s="320"/>
      <c r="EF136" s="320"/>
      <c r="EG136" s="320"/>
      <c r="EH136" s="320"/>
      <c r="EI136" s="320"/>
      <c r="EJ136" s="320"/>
      <c r="EK136" s="320"/>
      <c r="EL136" s="320"/>
      <c r="EM136" s="320"/>
      <c r="EN136" s="320"/>
      <c r="EO136" s="320"/>
      <c r="EP136" s="320"/>
      <c r="EQ136" s="320"/>
      <c r="ER136" s="320"/>
      <c r="ES136" s="320"/>
      <c r="ET136" s="320"/>
      <c r="EU136" s="320"/>
      <c r="EV136" s="320"/>
      <c r="EW136" s="320"/>
      <c r="EX136" s="320"/>
      <c r="EY136" s="320"/>
      <c r="EZ136" s="320"/>
      <c r="FA136" s="320"/>
      <c r="FB136" s="320"/>
      <c r="FC136" s="320"/>
      <c r="FD136" s="320"/>
      <c r="FE136" s="320"/>
      <c r="FF136" s="320"/>
      <c r="FG136" s="320"/>
      <c r="FH136" s="320"/>
      <c r="FI136" s="320"/>
      <c r="FJ136" s="320"/>
      <c r="FK136" s="320"/>
      <c r="FL136" s="320"/>
      <c r="FM136" s="320"/>
      <c r="FN136" s="320"/>
      <c r="FO136" s="320"/>
      <c r="FP136" s="320"/>
      <c r="FQ136" s="320"/>
      <c r="FR136" s="320"/>
      <c r="FS136" s="320"/>
      <c r="FT136" s="320"/>
      <c r="FU136" s="320"/>
      <c r="FV136" s="320"/>
      <c r="FW136" s="320"/>
      <c r="FX136" s="320"/>
      <c r="FY136" s="320"/>
      <c r="FZ136" s="320"/>
      <c r="GA136" s="320"/>
      <c r="GB136" s="320"/>
      <c r="GC136" s="320"/>
      <c r="GD136" s="320"/>
      <c r="GE136" s="320"/>
      <c r="GF136" s="320"/>
      <c r="GG136" s="320"/>
      <c r="GH136" s="320"/>
      <c r="GI136" s="320"/>
      <c r="GJ136" s="320"/>
      <c r="GK136" s="320"/>
      <c r="GL136" s="320"/>
      <c r="GM136" s="320"/>
      <c r="GN136" s="320"/>
      <c r="GO136" s="320"/>
      <c r="GP136" s="320"/>
      <c r="GQ136" s="320"/>
      <c r="GR136" s="320"/>
      <c r="GS136" s="320"/>
      <c r="GT136" s="320"/>
      <c r="GU136" s="320"/>
      <c r="GV136" s="320"/>
      <c r="GW136" s="320"/>
      <c r="GX136" s="320"/>
      <c r="GY136" s="320"/>
      <c r="GZ136" s="320"/>
      <c r="HA136" s="320"/>
      <c r="HB136" s="320"/>
      <c r="HC136" s="320"/>
      <c r="HD136" s="320"/>
      <c r="HE136" s="320"/>
      <c r="HF136" s="320"/>
      <c r="HG136" s="320"/>
      <c r="HH136" s="320"/>
      <c r="HI136" s="320"/>
      <c r="HJ136" s="320"/>
      <c r="HK136" s="320"/>
      <c r="HL136" s="320"/>
      <c r="HM136" s="320"/>
      <c r="HN136" s="320"/>
      <c r="HO136" s="320"/>
      <c r="HP136" s="320"/>
      <c r="HQ136" s="320"/>
      <c r="HR136" s="320"/>
      <c r="HS136" s="320"/>
      <c r="HT136" s="320"/>
      <c r="HU136" s="320"/>
      <c r="HV136" s="320"/>
      <c r="HW136" s="320"/>
      <c r="HX136" s="320"/>
      <c r="HY136" s="320"/>
      <c r="HZ136" s="320"/>
      <c r="IA136" s="320"/>
      <c r="IB136" s="320"/>
      <c r="IC136" s="320"/>
      <c r="ID136" s="320"/>
      <c r="IE136" s="320"/>
      <c r="IF136" s="320"/>
      <c r="IG136" s="320"/>
      <c r="IH136" s="320"/>
      <c r="II136" s="320"/>
      <c r="IJ136" s="320"/>
      <c r="IK136" s="320"/>
      <c r="IL136" s="320"/>
      <c r="IM136" s="320"/>
      <c r="IN136" s="320"/>
      <c r="IO136" s="320"/>
      <c r="IP136" s="320"/>
      <c r="IQ136" s="320"/>
      <c r="IR136" s="320"/>
      <c r="IS136" s="320"/>
      <c r="IT136" s="320"/>
      <c r="IU136" s="320"/>
      <c r="IV136" s="320"/>
    </row>
    <row r="137" spans="1:256" ht="64.25" customHeight="1" x14ac:dyDescent="0.15">
      <c r="A137" s="11" t="s">
        <v>158</v>
      </c>
      <c r="B137" s="434" t="str">
        <f>VLOOKUP(A137,Questions!$B$3:$C$256,2,FALSE)</f>
        <v>Do procedures exist to provide that emergency changes are documented and authorized (including after-the-fact approval)?</v>
      </c>
      <c r="C137" s="8" t="s">
        <v>2122</v>
      </c>
      <c r="D137" s="308" t="s">
        <v>3484</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434" t="str">
        <f>VLOOKUP(A138,Questions!$B$3:$C$256,2,FALSE)</f>
        <v>Do you have an implemented system configuration management process? (e.g.,secure "gold" images, etc.)</v>
      </c>
      <c r="C138" s="8" t="s">
        <v>2122</v>
      </c>
      <c r="D138" s="302" t="s">
        <v>3485</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434" t="str">
        <f>VLOOKUP(A139,Questions!$B$3:$C$256,2,FALSE)</f>
        <v>Do you have a systems management and configuration strategy that encompasses servers, appliances, cloud services, applications, and mobile devices (company and employee owned)?</v>
      </c>
      <c r="C139" s="8" t="s">
        <v>2122</v>
      </c>
      <c r="D139" s="302" t="s">
        <v>3486</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3" t="s">
        <v>161</v>
      </c>
      <c r="B140" s="343"/>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434"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1" t="s">
        <v>3367</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434" t="str">
        <f>VLOOKUP(A142,Questions!$B$3:$C$256,2,FALSE)</f>
        <v>Will the institution's data be stored on any devices (database servers, file servers, SAN, NAS, etc.) configured with non-RFC 1918/4193 (i.e., publicly routable) IP addresses?</v>
      </c>
      <c r="C142" s="18" t="s">
        <v>2126</v>
      </c>
      <c r="D142" s="307" t="s">
        <v>3368</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1" customFormat="1" ht="48" customHeight="1" x14ac:dyDescent="0.15">
      <c r="A143" s="88" t="s">
        <v>164</v>
      </c>
      <c r="B143" s="434" t="str">
        <f>VLOOKUP(A143,Questions!$B$3:$C$256,2,FALSE)</f>
        <v>Is sensitive data encrypted, using secure protocols/algorithms, in transport? (e.g., system-to-client)</v>
      </c>
      <c r="C143" s="326" t="s">
        <v>2122</v>
      </c>
      <c r="D143" s="301" t="s">
        <v>3487</v>
      </c>
      <c r="E143" s="323" t="str">
        <f>IF((C143=""),VLOOKUP(A143,Questions!B:G,4,FALSE),IF(C143="Yes",VLOOKUP(A143,Questions!B:G,6,FALSE),IF(C143="No",VLOOKUP(A143,Questions!B:G,5,FALSE),"N/A")))</f>
        <v>Summarize your transport encryption strategy.</v>
      </c>
      <c r="F143" s="324" t="str">
        <f>VLOOKUP(A143,'Analyst Report'!$A$39:$E$288,5,FALSE)</f>
        <v xml:space="preserve"> </v>
      </c>
      <c r="G143" s="231"/>
    </row>
    <row r="144" spans="1:256" s="321" customFormat="1" ht="48" customHeight="1" x14ac:dyDescent="0.15">
      <c r="A144" s="88" t="s">
        <v>165</v>
      </c>
      <c r="B144" s="434" t="str">
        <f>VLOOKUP(A144,Questions!$B$3:$C$256,2,FALSE)</f>
        <v>Is sensitive data encrypted, using secure protocols/algorithms, in storage? (e.g., disk encryption, at-rest, files, and within a running database)</v>
      </c>
      <c r="C144" s="326" t="s">
        <v>2122</v>
      </c>
      <c r="D144" s="301" t="s">
        <v>3488</v>
      </c>
      <c r="E144" s="323" t="str">
        <f>IF((C144=""),VLOOKUP(A144,Questions!B:G,4,FALSE),IF(C144="Yes",VLOOKUP(A144,Questions!B:G,6,FALSE),IF(C144="No",VLOOKUP(A144,Questions!B:G,5,FALSE),"N/A")))</f>
        <v>Summarize your data encryption strategy and state what encryption options are available.</v>
      </c>
      <c r="F144" s="324" t="str">
        <f>VLOOKUP(A144,'Analyst Report'!$A$39:$E$288,5,FALSE)</f>
        <v xml:space="preserve"> </v>
      </c>
      <c r="G144" s="231"/>
    </row>
    <row r="145" spans="1:256" ht="48" customHeight="1" x14ac:dyDescent="0.15">
      <c r="A145" s="11" t="s">
        <v>166</v>
      </c>
      <c r="B145" s="434" t="str">
        <f>VLOOKUP(A145,Questions!$B$3:$C$256,2,FALSE)</f>
        <v>Do all cryptographic modules in use in your product conform to the Federal Information Processing Standards (FIPS PUB 140-3)?</v>
      </c>
      <c r="C145" s="18" t="s">
        <v>2122</v>
      </c>
      <c r="D145" s="307" t="s">
        <v>3369</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1" customFormat="1" ht="65" customHeight="1" x14ac:dyDescent="0.15">
      <c r="A146" s="88" t="s">
        <v>167</v>
      </c>
      <c r="B146" s="434" t="str">
        <f>VLOOKUP(A146,Questions!$B$3:$C$256,2,FALSE)</f>
        <v>At the completion of this contract, will data be returned to the institution and deleted from all your systems and archives?</v>
      </c>
      <c r="C146" s="326" t="s">
        <v>2122</v>
      </c>
      <c r="D146" s="327" t="s">
        <v>3489</v>
      </c>
      <c r="E146" s="323" t="str">
        <f>IF((C146=""),VLOOKUP(A146,Questions!B:G,4,FALSE),IF(C146="Yes",VLOOKUP(A146,Questions!B:G,6,FALSE),IF(C146="No",VLOOKUP(A146,Questions!B:G,5,FALSE),"N/A")))</f>
        <v>State the length of time that the institution's data will be available in the system at the completion of the contract.</v>
      </c>
      <c r="F146" s="324" t="str">
        <f>VLOOKUP(A146,'Analyst Report'!$A$39:$E$288,5,FALSE)</f>
        <v xml:space="preserve"> </v>
      </c>
      <c r="G146" s="231"/>
    </row>
    <row r="147" spans="1:256" ht="60" customHeight="1" x14ac:dyDescent="0.15">
      <c r="A147" s="11" t="s">
        <v>168</v>
      </c>
      <c r="B147" s="434" t="str">
        <f>VLOOKUP(A147,Questions!$B$3:$C$256,2,FALSE)</f>
        <v>Will the institution's data be available within the system for a period of time at the completion of this contract?</v>
      </c>
      <c r="C147" s="18" t="s">
        <v>2122</v>
      </c>
      <c r="D147" s="27" t="s">
        <v>3490</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434" t="str">
        <f>VLOOKUP(A148,Questions!$B$3:$C$256,2,FALSE)</f>
        <v>Can the institution extract a full or partial backup of data?</v>
      </c>
      <c r="C148" s="18" t="s">
        <v>2122</v>
      </c>
      <c r="D148" s="301" t="s">
        <v>3491</v>
      </c>
      <c r="E148" s="176" t="str">
        <f>IF((C148=""),VLOOKUP(A148,Questions!B:G,4,FALSE),IF(C148="Yes",VLOOKUP(A148,Questions!B:G,6,FALSE),IF(C148="No",VLOOKUP(A148,Questions!B:G,5,FALSE),"N/A")))</f>
        <v>Provide a general summary of how full and partial backups of data can be extracted.</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434" t="str">
        <f>VLOOKUP(A149,Questions!$B$3:$C$256,2,FALSE)</f>
        <v>Are ownership rights to all data, inputs, outputs, and metadata retained by the institution?</v>
      </c>
      <c r="C149" s="18" t="s">
        <v>2122</v>
      </c>
      <c r="D149" s="307" t="s">
        <v>3370</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434" t="str">
        <f>VLOOKUP(A150,Questions!$B$3:$C$256,2,FALSE)</f>
        <v>Are these rights retained even through a provider acquisition or bankruptcy event?</v>
      </c>
      <c r="C150" s="18" t="s">
        <v>2122</v>
      </c>
      <c r="D150" s="307" t="s">
        <v>3492</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434" t="str">
        <f>VLOOKUP(A151,Questions!$B$3:$C$256,2,FALSE)</f>
        <v>In the event of imminent bankruptcy, closing of business, or retirement of service, will you provide 90 days for customers to get their data out of the system and migrate applications?</v>
      </c>
      <c r="C151" s="18" t="s">
        <v>2122</v>
      </c>
      <c r="D151" s="307" t="s">
        <v>3493</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434" t="str">
        <f>VLOOKUP(A152,Questions!$B$3:$C$256,2,FALSE)</f>
        <v>Are involatile backup copies made according to predefined schedules and securely stored and protected?</v>
      </c>
      <c r="C152" s="18" t="s">
        <v>2122</v>
      </c>
      <c r="D152" s="301" t="s">
        <v>3371</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434" t="str">
        <f>VLOOKUP(A153,Questions!$B$3:$C$256,2,FALSE)</f>
        <v>Do current backups include all operating system software, utilities, security software, application software, and data files necessary for recovery?</v>
      </c>
      <c r="C153" s="18" t="s">
        <v>2122</v>
      </c>
      <c r="D153" s="310" t="s">
        <v>3494</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434" t="str">
        <f>VLOOKUP(A154,Questions!$B$3:$C$256,2,FALSE)</f>
        <v>Are you performing off-site backups? (i.e., digitally moved off site)</v>
      </c>
      <c r="C154" s="18" t="s">
        <v>2122</v>
      </c>
      <c r="D154" s="305" t="s">
        <v>3372</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434"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434"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434" t="str">
        <f>VLOOKUP(A157,Questions!$B$3:$C$256,2,FALSE)</f>
        <v>Are data backups encrypted?</v>
      </c>
      <c r="C157" s="18" t="s">
        <v>2122</v>
      </c>
      <c r="D157" s="307" t="s">
        <v>3373</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434"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1" t="s">
        <v>3374</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434"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7" t="s">
        <v>3375</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434" t="str">
        <f>VLOOKUP(A160,Questions!$B$3:$C$256,2,FALSE)</f>
        <v>Does the process described in DATA-19 adhere to DoD 5220.22-M and/or NIST SP 800-88 standards?</v>
      </c>
      <c r="C160" s="18" t="s">
        <v>2122</v>
      </c>
      <c r="D160" s="307" t="s">
        <v>3376</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434" t="str">
        <f>VLOOKUP(A161,Questions!$B$3:$C$256,2,FALSE)</f>
        <v>Is media used for long-term retention of business data and archival purposes stored in a secure, environmentally protected area?</v>
      </c>
      <c r="C161" s="18" t="s">
        <v>2122</v>
      </c>
      <c r="D161" s="307" t="s">
        <v>3377</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434" t="str">
        <f>VLOOKUP(A162,Questions!$B$3:$C$256,2,FALSE)</f>
        <v>Will you handle data in a FERPA-compliant manner?</v>
      </c>
      <c r="C162" s="326" t="s">
        <v>2122</v>
      </c>
      <c r="D162" s="328" t="s">
        <v>3495</v>
      </c>
      <c r="E162" s="323"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434" t="str">
        <f>VLOOKUP(A163,Questions!$B$3:$C$256,2,FALSE)</f>
        <v>Does your staff (or third party) have access to institutional data (e.g., financial, PHI or other sensitive information) through any means?</v>
      </c>
      <c r="C163" s="18" t="s">
        <v>2122</v>
      </c>
      <c r="D163" s="311" t="s">
        <v>3378</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434" t="str">
        <f>VLOOKUP(A164,Questions!$B$3:$C$256,2,FALSE)</f>
        <v>Do you have a documented and currently implemented strategy for securing employee workstations when they work remotely (i.e., not in a trusted computing environment)?</v>
      </c>
      <c r="C164" s="18" t="s">
        <v>2122</v>
      </c>
      <c r="D164" s="307" t="s">
        <v>3379</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3" t="s">
        <v>186</v>
      </c>
      <c r="B165" s="343"/>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240" x14ac:dyDescent="0.15">
      <c r="A167" s="11" t="s">
        <v>188</v>
      </c>
      <c r="B167" s="434" t="str">
        <f>VLOOKUP(A167,Questions!$B$3:$C$256,2,FALSE)</f>
        <v>Are you generally able to accommodate storing each institution's data within their geographic region?</v>
      </c>
      <c r="C167" s="296" t="s">
        <v>2122</v>
      </c>
      <c r="D167" s="312" t="s">
        <v>3459</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434" t="str">
        <f>VLOOKUP(A171,Questions!$B$3:$C$256,2,FALSE)</f>
        <v>Are your primary and secondary data centers geographically diverse?</v>
      </c>
      <c r="C171" s="8" t="s">
        <v>2122</v>
      </c>
      <c r="D171" s="307" t="s">
        <v>3380</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434" t="str">
        <f>VLOOKUP(A172,Questions!$B$3:$C$256,2,FALSE)</f>
        <v>If outsourced or co-located, is there a contract in place to prevent data from leaving the institution's data zone?</v>
      </c>
      <c r="C172" s="8" t="s">
        <v>2122</v>
      </c>
      <c r="D172" s="307" t="s">
        <v>3381</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105" x14ac:dyDescent="0.15">
      <c r="A174" s="11" t="s">
        <v>195</v>
      </c>
      <c r="B174" s="434" t="str">
        <f>VLOOKUP(A174,Questions!$B$3:$C$256,2,FALSE)</f>
        <v>Is the service hosted in a high-availability environment?</v>
      </c>
      <c r="C174" s="296" t="s">
        <v>2122</v>
      </c>
      <c r="D174" s="313" t="s">
        <v>3458</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44"/>
      <c r="D177" s="344"/>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434" t="str">
        <f>VLOOKUP(A180,Questions!$B$3:$C$256,2,FALSE)</f>
        <v>Are you requiring multi-factor authentication for administrators of your cloud environment?</v>
      </c>
      <c r="C180" s="296" t="s">
        <v>2122</v>
      </c>
      <c r="D180" s="314" t="s">
        <v>3460</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434" t="str">
        <f>VLOOKUP(A181,Questions!$B$3:$C$256,2,FALSE)</f>
        <v>Are you using your cloud providers available hardening tools or pre-hardened images?</v>
      </c>
      <c r="C181" s="298" t="s">
        <v>2122</v>
      </c>
      <c r="D181" s="315" t="s">
        <v>3382</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434" t="str">
        <f>VLOOKUP(A182,Questions!$B$3:$C$256,2,FALSE)</f>
        <v>Does your cloud vendor have access to your encryption keys?</v>
      </c>
      <c r="C182" s="298" t="s">
        <v>2126</v>
      </c>
      <c r="D182" s="316" t="s">
        <v>3461</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3" t="str">
        <f>IF(OR($C$30="No",$C$30="Yes"),"DRP - Respond to as many questions below as possible.","Disaster Recovery Plan")</f>
        <v>DRP - Respond to as many questions below as possible.</v>
      </c>
      <c r="B183" s="343"/>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434" t="str">
        <f>VLOOKUP(A184,Questions!$B$3:$C$256,2,FALSE)</f>
        <v>Describe or provide a reference to your Disaster Recovery Plan (DRP).</v>
      </c>
      <c r="C184" s="344" t="s">
        <v>3496</v>
      </c>
      <c r="D184" s="344"/>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434" t="str">
        <f>VLOOKUP(A185,Questions!$B$3:$C$256,2,FALSE)</f>
        <v>Is an owner assigned who is responsible for the maintenance and review of the DRP?</v>
      </c>
      <c r="C185" s="296" t="s">
        <v>2122</v>
      </c>
      <c r="D185" s="313" t="s">
        <v>3383</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434" t="str">
        <f>VLOOKUP(A186,Questions!$B$3:$C$256,2,FALSE)</f>
        <v>Can the institution review your DRP and supporting documentation?</v>
      </c>
      <c r="C186" s="298" t="s">
        <v>2122</v>
      </c>
      <c r="D186" s="316" t="s">
        <v>3497</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434" t="str">
        <f>VLOOKUP(A187,Questions!$B$3:$C$256,2,FALSE)</f>
        <v>Are any disaster recovery locations outside the institution's geographic region?</v>
      </c>
      <c r="C187" s="298" t="s">
        <v>2126</v>
      </c>
      <c r="D187" s="316" t="s">
        <v>3498</v>
      </c>
      <c r="E187" s="176">
        <f>IF((C187=""),VLOOKUP(A187,Questions!B:G,4,FALSE),IF(C187="Yes",VLOOKUP(A187,Questions!B:G,6,FALSE),IF(C187="No",VLOOKUP(A187,Questions!B:G,5,FALSE),"N/A")))</f>
        <v>0</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434" t="str">
        <f>VLOOKUP(A188,Questions!$B$3:$C$256,2,FALSE)</f>
        <v>Does your organization have a disaster recovery site or a contracted disaster recovery provider?</v>
      </c>
      <c r="C188" s="298" t="s">
        <v>2122</v>
      </c>
      <c r="D188" s="316" t="s">
        <v>3499</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434" t="str">
        <f>VLOOKUP(A189,Questions!$B$3:$C$256,2,FALSE)</f>
        <v>Does your organization conduct an annual test of relocating to this site for disaster recovery purposes?</v>
      </c>
      <c r="C189" s="298" t="s">
        <v>2122</v>
      </c>
      <c r="D189" s="316" t="s">
        <v>3384</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434" t="str">
        <f>VLOOKUP(A190,Questions!$B$3:$C$256,2,FALSE)</f>
        <v>Is there a defined problem/issue escalation plan in your DRP for impacted clients?</v>
      </c>
      <c r="C190" s="298" t="s">
        <v>2122</v>
      </c>
      <c r="D190" s="316" t="s">
        <v>3500</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434" t="str">
        <f>VLOOKUP(A191,Questions!$B$3:$C$256,2,FALSE)</f>
        <v>Is there a documented communication plan in your DRP for impacted clients?</v>
      </c>
      <c r="C191" s="298" t="s">
        <v>2122</v>
      </c>
      <c r="D191" s="316" t="s">
        <v>3501</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434" t="str">
        <f>VLOOKUP(A192,Questions!$B$3:$C$256,2,FALSE)</f>
        <v>Describe or provide a reference to how your disaster recovery plan is tested. (i.e., scope of DR tests, end-to-end testing, etc.)</v>
      </c>
      <c r="C192" s="345" t="s">
        <v>3385</v>
      </c>
      <c r="D192" s="346"/>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434" t="str">
        <f>VLOOKUP(A193,Questions!$B$3:$C$256,2,FALSE)</f>
        <v>Has the Disaster Recovery Plan been tested in the past year?</v>
      </c>
      <c r="C193" s="296" t="s">
        <v>2122</v>
      </c>
      <c r="D193" s="313" t="s">
        <v>3408</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434" t="str">
        <f>VLOOKUP(A194,Questions!$B$3:$C$256,2,FALSE)</f>
        <v>Are all components of the DRP reviewed at least annually and updated as needed to reflect change?</v>
      </c>
      <c r="C194" s="298" t="s">
        <v>2122</v>
      </c>
      <c r="D194" s="316" t="s">
        <v>3386</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3" t="s">
        <v>215</v>
      </c>
      <c r="B195" s="343"/>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434" t="str">
        <f>VLOOKUP(A196,Questions!$B$3:$C$309,2,FALSE)</f>
        <v>Are you utilizing a stateful packet inspection (SPI) firewall?</v>
      </c>
      <c r="C196" s="8" t="s">
        <v>2126</v>
      </c>
      <c r="D196" s="317" t="s">
        <v>3387</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434" t="str">
        <f>VLOOKUP(A197,Questions!$B$3:$C$256,2,FALSE)</f>
        <v>Is authority for firewall change approval documented? Please list approver names or titles in Additional Info</v>
      </c>
      <c r="C197" s="8" t="s">
        <v>2122</v>
      </c>
      <c r="D197" s="318" t="s">
        <v>3388</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434" t="str">
        <f>VLOOKUP(A198,Questions!$B$3:$C$256,2,FALSE)</f>
        <v>Do you have a documented policy for firewall change requests?</v>
      </c>
      <c r="C198" s="8" t="s">
        <v>2122</v>
      </c>
      <c r="D198" s="318" t="s">
        <v>3389</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34" x14ac:dyDescent="0.15">
      <c r="A199" s="11" t="s">
        <v>219</v>
      </c>
      <c r="B199" s="434" t="str">
        <f>VLOOKUP(A199,Questions!$B$3:$C$256,2,FALSE)</f>
        <v>Have you implemented an Intrusion Detection System (network-based)?</v>
      </c>
      <c r="C199" s="8" t="s">
        <v>2122</v>
      </c>
      <c r="D199" s="319" t="s">
        <v>3511</v>
      </c>
      <c r="E199" s="176" t="str">
        <f>IF((C199=""),VLOOKUP(A199,Questions!B:G,4,FALSE),IF(C199="Yes",VLOOKUP(A199,Questions!B:G,6,FALSE),IF(C199="No",VLOOKUP(A199,Questions!B:G,5,FALSE),"N/A")))</f>
        <v>Describe the currently implemented IDS.</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5" x14ac:dyDescent="0.15">
      <c r="A200" s="11" t="s">
        <v>220</v>
      </c>
      <c r="B200" s="434" t="str">
        <f>VLOOKUP(A200,Questions!$B$3:$C$256,2,FALSE)</f>
        <v>Have you implemented an Intrusion Prevention System (network-based)?</v>
      </c>
      <c r="C200" s="8" t="s">
        <v>2126</v>
      </c>
      <c r="D200" s="319"/>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5" x14ac:dyDescent="0.15">
      <c r="A201" s="11" t="s">
        <v>221</v>
      </c>
      <c r="B201" s="434" t="str">
        <f>VLOOKUP(A201,Questions!$B$3:$C$256,2,FALSE)</f>
        <v>Do you employ host-based intrusion detection?</v>
      </c>
      <c r="C201" s="8" t="s">
        <v>2126</v>
      </c>
      <c r="D201" s="318" t="s">
        <v>3512</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5" x14ac:dyDescent="0.15">
      <c r="A202" s="11" t="s">
        <v>222</v>
      </c>
      <c r="B202" s="434" t="str">
        <f>VLOOKUP(A202,Questions!$B$3:$C$256,2,FALSE)</f>
        <v>Do you employ host-based intrusion prevention?</v>
      </c>
      <c r="C202" s="8" t="s">
        <v>2126</v>
      </c>
      <c r="D202" s="318"/>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65" x14ac:dyDescent="0.15">
      <c r="A203" s="11" t="s">
        <v>223</v>
      </c>
      <c r="B203" s="434" t="str">
        <f>VLOOKUP(A203,Questions!$B$3:$C$256,2,FALSE)</f>
        <v>Are you employing any next-generation persistent threat (NGPT) monitoring?</v>
      </c>
      <c r="C203" s="8" t="s">
        <v>2122</v>
      </c>
      <c r="D203" s="319" t="s">
        <v>3513</v>
      </c>
      <c r="E203" s="176" t="str">
        <f>IF((C203=""),VLOOKUP(A203,Questions!B:G,4,FALSE),IF(C203="Yes",VLOOKUP(A203,Questions!B:G,6,FALSE),IF(C203="No",VLOOKUP(A203,Questions!B:G,5,FALSE),"N/A")))</f>
        <v>Describe your NGPT monitoring strategy.</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434" t="str">
        <f>VLOOKUP(A204,Questions!$B$3:$C$256,2,FALSE)</f>
        <v>Do you monitor for intrusions on a 24 x 7 x 365 basis?</v>
      </c>
      <c r="C204" s="8" t="s">
        <v>2122</v>
      </c>
      <c r="D204" s="17" t="s">
        <v>3515</v>
      </c>
      <c r="E204" s="176" t="str">
        <f>IF((C204=""),VLOOKUP(A204,Questions!B:G,4,FALSE),IF(C204="Yes",VLOOKUP(A204,Questions!B:G,6,FALSE),IF(C204="No",VLOOKUP(A204,Questions!B:G,5,FALSE),"N/A")))</f>
        <v>Provide a brief summary of this activity.</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434" t="str">
        <f>VLOOKUP(A205,Questions!$B$3:$C$256,2,FALSE)</f>
        <v>Is intrusion monitoring performed internally or by a third-party service?</v>
      </c>
      <c r="C205" s="8" t="s">
        <v>2122</v>
      </c>
      <c r="D205" s="318" t="s">
        <v>3514</v>
      </c>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434" t="str">
        <f>VLOOKUP(A206,Questions!$B$3:$C$256,2,FALSE)</f>
        <v>Are audit logs available for all changes to the network, firewall, IDS, and IPS systems?</v>
      </c>
      <c r="C206" s="8" t="s">
        <v>2122</v>
      </c>
      <c r="D206" s="307" t="s">
        <v>3390</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3" t="s">
        <v>227</v>
      </c>
      <c r="B207" s="343"/>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434" t="str">
        <f>VLOOKUP(A208,Questions!$B$3:$C$256,2,FALSE)</f>
        <v>Can you share the organization chart, mission statement, and policies for your information security unit?</v>
      </c>
      <c r="C208" s="8" t="s">
        <v>2122</v>
      </c>
      <c r="D208" s="309" t="s">
        <v>3503</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09.6" x14ac:dyDescent="0.15">
      <c r="A209" s="11" t="s">
        <v>229</v>
      </c>
      <c r="B209" s="434" t="str">
        <f>VLOOKUP(A209,Questions!$B$3:$C$256,2,FALSE)</f>
        <v>Do you have a documented patch management process?</v>
      </c>
      <c r="C209" s="8" t="s">
        <v>2122</v>
      </c>
      <c r="D209" s="306" t="s">
        <v>3504</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434"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75" x14ac:dyDescent="0.15">
      <c r="A211" s="11" t="s">
        <v>231</v>
      </c>
      <c r="B211" s="434" t="str">
        <f>VLOOKUP(A211,Questions!$B$3:$C$256,2,FALSE)</f>
        <v>Are information security principles designed into the product lifecycle?</v>
      </c>
      <c r="C211" s="8" t="s">
        <v>2122</v>
      </c>
      <c r="D211" s="305" t="s">
        <v>3409</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60" x14ac:dyDescent="0.15">
      <c r="A212" s="11" t="s">
        <v>232</v>
      </c>
      <c r="B212" s="434" t="str">
        <f>VLOOKUP(A212,Questions!$B$3:$C$256,2,FALSE)</f>
        <v>Do you have a documented systems development life cycle (SDLC)?</v>
      </c>
      <c r="C212" s="8" t="s">
        <v>2122</v>
      </c>
      <c r="D212" s="9" t="s">
        <v>3391</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434" t="str">
        <f>VLOOKUP(A213,Questions!$B$3:$C$256,2,FALSE)</f>
        <v>Will you comply with applicable breach notification laws?</v>
      </c>
      <c r="C213" s="8" t="s">
        <v>2122</v>
      </c>
      <c r="D213" s="9" t="s">
        <v>3392</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120" x14ac:dyDescent="0.15">
      <c r="A214" s="11" t="s">
        <v>234</v>
      </c>
      <c r="B214" s="434" t="str">
        <f>VLOOKUP(A214,Questions!$B$3:$C$256,2,FALSE)</f>
        <v>Will you comply with the institution's IT policies with regards to user privacy and data protection?</v>
      </c>
      <c r="C214" s="8" t="s">
        <v>2122</v>
      </c>
      <c r="D214" s="9" t="s">
        <v>3505</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434"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434" t="str">
        <f>VLOOKUP(A216,Questions!$B$3:$C$256,2,FALSE)</f>
        <v>Do you perform background screenings or multi-state background checks on all employees prior to their first day of work?</v>
      </c>
      <c r="C216" s="8" t="s">
        <v>2122</v>
      </c>
      <c r="D216" s="9" t="s">
        <v>3393</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1" t="s">
        <v>237</v>
      </c>
      <c r="B217" s="434" t="str">
        <f>VLOOKUP(A217,Questions!$B$3:$C$256,2,FALSE)</f>
        <v>Do you require new employees to fill out agreements and review policies?</v>
      </c>
      <c r="C217" s="8" t="s">
        <v>2122</v>
      </c>
      <c r="D217" s="9" t="s">
        <v>3394</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105" x14ac:dyDescent="0.15">
      <c r="A218" s="11" t="s">
        <v>238</v>
      </c>
      <c r="B218" s="434" t="str">
        <f>VLOOKUP(A218,Questions!$B$3:$C$256,2,FALSE)</f>
        <v>Do you have a documented information security policy?</v>
      </c>
      <c r="C218" s="8" t="s">
        <v>2122</v>
      </c>
      <c r="D218" s="9" t="s">
        <v>3506</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255" x14ac:dyDescent="0.15">
      <c r="A219" s="11" t="s">
        <v>239</v>
      </c>
      <c r="B219" s="435" t="str">
        <f>VLOOKUP(A219,Questions!$B$3:$C$256,2,FALSE)</f>
        <v>Do you have an information security awareness program?</v>
      </c>
      <c r="C219" s="8" t="s">
        <v>2122</v>
      </c>
      <c r="D219" s="9" t="s">
        <v>3507</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165" x14ac:dyDescent="0.15">
      <c r="A220" s="11" t="s">
        <v>240</v>
      </c>
      <c r="B220" s="435" t="str">
        <f>VLOOKUP(A220,Questions!$B$3:$C$256,2,FALSE)</f>
        <v>Is security awareness training mandatory for all employees?</v>
      </c>
      <c r="C220" s="8" t="s">
        <v>2122</v>
      </c>
      <c r="D220" s="9" t="s">
        <v>3395</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55" x14ac:dyDescent="0.15">
      <c r="A221" s="11" t="s">
        <v>241</v>
      </c>
      <c r="B221" s="435" t="str">
        <f>VLOOKUP(A221,Questions!$B$3:$C$256,2,FALSE)</f>
        <v>Do you have process and procedure(s) documented, and currently followed, that require a review and update of the access list(s) for privileged accounts?</v>
      </c>
      <c r="C221" s="8" t="s">
        <v>2122</v>
      </c>
      <c r="D221" s="9" t="s">
        <v>3396</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5" x14ac:dyDescent="0.15">
      <c r="A222" s="11" t="s">
        <v>242</v>
      </c>
      <c r="B222" s="434" t="str">
        <f>VLOOKUP(A222,Questions!$B$3:$C$256,2,FALSE)</f>
        <v>Do you have documented, and currently implemented, internal audit processes and procedures?</v>
      </c>
      <c r="C222" s="8" t="s">
        <v>2122</v>
      </c>
      <c r="D222" s="9" t="s">
        <v>3508</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150" x14ac:dyDescent="0.15">
      <c r="A223" s="11" t="s">
        <v>243</v>
      </c>
      <c r="B223" s="434" t="str">
        <f>VLOOKUP(A223,Questions!$B$3:$C$256,2,FALSE)</f>
        <v>Does your organization have physical security controls and policies in place?</v>
      </c>
      <c r="C223" s="8" t="s">
        <v>2122</v>
      </c>
      <c r="D223" s="9" t="s">
        <v>3397</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3" t="s">
        <v>244</v>
      </c>
      <c r="B224" s="343"/>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434" t="str">
        <f>VLOOKUP(A225,Questions!$B$3:$C$256,2,FALSE)</f>
        <v>Do you have a formal incident response plan?</v>
      </c>
      <c r="C225" s="296" t="s">
        <v>2122</v>
      </c>
      <c r="D225" s="313" t="s">
        <v>3398</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135" x14ac:dyDescent="0.15">
      <c r="A226" s="11" t="s">
        <v>246</v>
      </c>
      <c r="B226" s="434" t="str">
        <f>VLOOKUP(A226,Questions!$B$3:$C$256,2,FALSE)</f>
        <v>Do you either have an internal incident response team or retain an external team?</v>
      </c>
      <c r="C226" s="298" t="s">
        <v>2122</v>
      </c>
      <c r="D226" s="316" t="s">
        <v>3410</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434" t="str">
        <f>VLOOKUP(A227,Questions!$B$3:$C$256,2,FALSE)</f>
        <v>Do you have the capability to respond to incidents on a 24 x 7 x 365 basis?</v>
      </c>
      <c r="C227" s="298" t="s">
        <v>2122</v>
      </c>
      <c r="D227" s="316" t="s">
        <v>3399</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434" t="str">
        <f>VLOOKUP(A228,Questions!$B$3:$C$256,2,FALSE)</f>
        <v>Do you carry cyber-risk insurance to protect against unforeseen service outages, data that is lost or stolen, and security incidents?</v>
      </c>
      <c r="C228" s="298" t="s">
        <v>2122</v>
      </c>
      <c r="D228" s="316" t="s">
        <v>3400</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3" t="s">
        <v>249</v>
      </c>
      <c r="B229" s="343"/>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434" t="str">
        <f>VLOOKUP(A230,Questions!$B$3:$C$256,2,FALSE)</f>
        <v>Do you have a documented and currently implemented Quality Assurance program?</v>
      </c>
      <c r="C230" s="8" t="s">
        <v>2122</v>
      </c>
      <c r="D230" s="305" t="s">
        <v>3401</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434" t="str">
        <f>VLOOKUP(A231,Questions!$B$3:$C$256,2,FALSE)</f>
        <v>Do you comply with ISO 9001?</v>
      </c>
      <c r="C231" s="8" t="s">
        <v>2126</v>
      </c>
      <c r="D231" s="305"/>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434" t="str">
        <f>VLOOKUP(A232,Questions!$B$3:$C$256,2,FALSE)</f>
        <v>Will your company provide quality and performance metrics in relation to the scope of services and performance expectations for the services you are offering?</v>
      </c>
      <c r="C232" s="8" t="s">
        <v>2122</v>
      </c>
      <c r="D232" s="305" t="s">
        <v>3456</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434" t="str">
        <f>VLOOKUP(A233,Questions!$B$3:$C$256,2,FALSE)</f>
        <v>Do you incorporate customer feedback into security feature requests?</v>
      </c>
      <c r="C233" s="8" t="s">
        <v>2122</v>
      </c>
      <c r="D233" s="305" t="s">
        <v>3502</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434" t="str">
        <f>VLOOKUP(A234,Questions!$B$3:$C$256,2,FALSE)</f>
        <v>Can you provide an evaluation site to the institution for testing?</v>
      </c>
      <c r="C234" s="8" t="s">
        <v>2122</v>
      </c>
      <c r="D234" s="9" t="s">
        <v>3411</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3" t="s">
        <v>255</v>
      </c>
      <c r="B235" s="343"/>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434" t="str">
        <f>VLOOKUP(A236,Questions!$B$3:$C$256,2,FALSE)</f>
        <v>Are your systems and applications regularly scanned externally for vulnerabilities?</v>
      </c>
      <c r="C236" s="8" t="s">
        <v>2122</v>
      </c>
      <c r="D236" s="219" t="s">
        <v>3412</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434" t="str">
        <f>VLOOKUP(A237,Questions!$B$3:$C$256,2,FALSE)</f>
        <v>Have your systems and applications had a third-party security assessment completed in the last year?</v>
      </c>
      <c r="C237" s="8" t="s">
        <v>2122</v>
      </c>
      <c r="D237" s="305" t="s">
        <v>3457</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90" x14ac:dyDescent="0.15">
      <c r="A238" s="11" t="s">
        <v>258</v>
      </c>
      <c r="B238" s="434" t="str">
        <f>VLOOKUP(A238,Questions!$B$3:$C$256,2,FALSE)</f>
        <v>Are your systems and applications scanned with an authenticated user account for vulnerabilities (that are remediated) prior to new releases?</v>
      </c>
      <c r="C238" s="8" t="s">
        <v>2122</v>
      </c>
      <c r="D238" s="305" t="s">
        <v>3509</v>
      </c>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434" t="str">
        <f>VLOOKUP(A239,Questions!$B$3:$C$256,2,FALSE)</f>
        <v>Will you provide results of application and system vulnerability scans to the institution?</v>
      </c>
      <c r="C239" s="8" t="s">
        <v>2122</v>
      </c>
      <c r="D239" s="305" t="s">
        <v>3402</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51" x14ac:dyDescent="0.15">
      <c r="A240" s="11" t="s">
        <v>260</v>
      </c>
      <c r="B240" s="434" t="str">
        <f>VLOOKUP(A240,Questions!$B$3:$C$256,2,FALSE)</f>
        <v>Describe or provide a reference to how you monitor for and protect against common web application security vulnerabilities (e.g., SQL injection, XSS, XSRF, etc.).</v>
      </c>
      <c r="C240" s="8" t="s">
        <v>2122</v>
      </c>
      <c r="D240" s="305" t="s">
        <v>3510</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434" t="str">
        <f>VLOOKUP(A241,Questions!$B$3:$C$256,2,FALSE)</f>
        <v>Will you allow the institution to perform its own vulnerability testing and/or scanning of your systems and/or application, provided that testing is performed at a mutually agreed upon time and date?</v>
      </c>
      <c r="C241" s="8" t="s">
        <v>2122</v>
      </c>
      <c r="D241" s="305" t="s">
        <v>3403</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3" t="str">
        <f>IF(OR($C$27="No",$C$27="Yes"),"HIPAA - Optional based on QUALIFIER response.","HIPAA")</f>
        <v>HIPAA - Optional based on QUALIFIER response.</v>
      </c>
      <c r="B242" s="343"/>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3" t="str">
        <f>IF(OR($C$31="No"),"PCI DSS - Optional based on QUALIFIER response.","PCI DSS")</f>
        <v>PCI DSS - Optional based on QUALIFIER response.</v>
      </c>
      <c r="B272" s="343"/>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44"/>
      <c r="D279" s="344"/>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44"/>
      <c r="D280" s="344"/>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44"/>
      <c r="D284" s="344"/>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 ref="C13:E13"/>
    <mergeCell ref="C14:E14"/>
    <mergeCell ref="A24:E24"/>
    <mergeCell ref="A25:B25"/>
    <mergeCell ref="C15:E15"/>
    <mergeCell ref="C19:E19"/>
    <mergeCell ref="C20:E20"/>
    <mergeCell ref="C21:E21"/>
    <mergeCell ref="A26:E26"/>
    <mergeCell ref="A34:B34"/>
    <mergeCell ref="A52:B52"/>
    <mergeCell ref="A62:B62"/>
    <mergeCell ref="A68:B68"/>
    <mergeCell ref="C35:D35"/>
    <mergeCell ref="C64:D64"/>
    <mergeCell ref="C65:D65"/>
    <mergeCell ref="A40:B40"/>
    <mergeCell ref="C39:D39"/>
    <mergeCell ref="C111:D111"/>
    <mergeCell ref="C279:D279"/>
    <mergeCell ref="C284:D284"/>
    <mergeCell ref="C280:D280"/>
    <mergeCell ref="C184:D184"/>
    <mergeCell ref="C192:D192"/>
    <mergeCell ref="C112:D112"/>
    <mergeCell ref="C177:D177"/>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3">
      <formula>$C$170="No"</formula>
    </cfRule>
    <cfRule type="expression" dxfId="102" priority="4">
      <formula>$C$169="No"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99CDF6FD-CCEC-8545-9FB8-75CF021F8739}"/>
    <hyperlink ref="C12:E12" r:id="rId2" display="inst.bid/a11y" xr:uid="{8F1993E8-09C1-4646-8F62-6FF3F7643C37}"/>
    <hyperlink ref="C11" r:id="rId3" xr:uid="{A8A8A0A6-A575-FB45-AB11-356C7EF50B7D}"/>
    <hyperlink ref="C12" r:id="rId4" xr:uid="{FF8F4052-A10C-3D44-B73E-BF82FBDBCD75}"/>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topLeftCell="A11"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68" t="s">
        <v>304</v>
      </c>
      <c r="B2" s="368"/>
      <c r="C2" s="368"/>
      <c r="D2" s="368"/>
      <c r="E2" s="368"/>
      <c r="F2" s="368"/>
      <c r="G2" s="368"/>
      <c r="H2" s="369"/>
      <c r="I2" s="91" t="str">
        <f>'HECVAT - Full | Vendor Response'!E2</f>
        <v>Version 3.06</v>
      </c>
    </row>
    <row r="3" spans="1:10" ht="36" customHeight="1" x14ac:dyDescent="0.2">
      <c r="A3" s="335" t="s">
        <v>305</v>
      </c>
      <c r="B3" s="335"/>
      <c r="C3" s="335"/>
      <c r="D3" s="335"/>
      <c r="E3" s="335"/>
      <c r="F3" s="335"/>
      <c r="G3" s="335"/>
      <c r="H3" s="335"/>
      <c r="I3" s="335"/>
    </row>
    <row r="4" spans="1:10" ht="36" customHeight="1" x14ac:dyDescent="0.2">
      <c r="A4" s="373" t="s">
        <v>46</v>
      </c>
      <c r="B4" s="374"/>
      <c r="C4" s="374"/>
      <c r="D4" s="374"/>
      <c r="E4" s="374"/>
      <c r="F4" s="374"/>
      <c r="G4" s="374"/>
      <c r="H4" s="374"/>
      <c r="I4" s="374"/>
    </row>
    <row r="5" spans="1:10" ht="48" customHeight="1" x14ac:dyDescent="0.2">
      <c r="A5" s="375" t="s">
        <v>3201</v>
      </c>
      <c r="B5" s="376"/>
      <c r="C5" s="376"/>
      <c r="D5" s="376"/>
      <c r="E5" s="376"/>
      <c r="F5" s="376"/>
      <c r="G5" s="376"/>
      <c r="H5" s="376"/>
      <c r="I5" s="376"/>
    </row>
    <row r="6" spans="1:10" s="13" customFormat="1" ht="48" customHeight="1" x14ac:dyDescent="0.2">
      <c r="A6" s="73" t="s">
        <v>27</v>
      </c>
      <c r="B6" s="370" t="str">
        <f>'HECVAT - Full | Vendor Response'!C8</f>
        <v>Instructure</v>
      </c>
      <c r="C6" s="370"/>
      <c r="D6" s="84"/>
      <c r="E6" s="84"/>
      <c r="F6" s="73" t="s">
        <v>306</v>
      </c>
      <c r="G6" s="377" t="str">
        <f>'HECVAT - Full | Vendor Response'!C9</f>
        <v>Impact by Instructure</v>
      </c>
      <c r="H6" s="377"/>
      <c r="I6" s="377"/>
    </row>
    <row r="7" spans="1:10" s="13" customFormat="1" ht="48" customHeight="1" x14ac:dyDescent="0.2">
      <c r="A7" s="73" t="s">
        <v>33</v>
      </c>
      <c r="B7" s="330" t="str">
        <f>'HECVAT - Full | Vendor Response'!C13</f>
        <v>See GNRL-08 for Instructure's contact information.</v>
      </c>
      <c r="C7" s="330"/>
      <c r="D7" s="85"/>
      <c r="E7" s="85"/>
      <c r="F7" s="73" t="s">
        <v>307</v>
      </c>
      <c r="G7" s="377" t="str">
        <f>'HECVAT - Full | Vendor Response'!C10</f>
        <v>Impact by Instructure helps institutions improve technology adoption and evaluate the impact of educational technology, while helping faculty and students seamlessly navigate new platforms.</v>
      </c>
      <c r="H7" s="377"/>
      <c r="I7" s="377"/>
    </row>
    <row r="8" spans="1:10" s="13" customFormat="1" ht="48" customHeight="1" x14ac:dyDescent="0.2">
      <c r="A8" s="73" t="s">
        <v>35</v>
      </c>
      <c r="B8" s="371" t="str">
        <f>'HECVAT - Full | Vendor Response'!C14</f>
        <v>See GNRL-08 for Instructure's contact information.</v>
      </c>
      <c r="C8" s="372"/>
      <c r="D8" s="86"/>
      <c r="E8" s="86"/>
      <c r="F8" s="73" t="s">
        <v>308</v>
      </c>
      <c r="G8" s="377" t="s">
        <v>309</v>
      </c>
      <c r="H8" s="377"/>
      <c r="I8" s="377"/>
    </row>
    <row r="9" spans="1:10" s="13" customFormat="1" ht="48" customHeight="1" x14ac:dyDescent="0.2">
      <c r="A9" s="73" t="s">
        <v>310</v>
      </c>
      <c r="B9" s="330" t="str">
        <f>'HECVAT - Full | Vendor Response'!C15</f>
        <v>Please reach out to your designated Customer Success Manager or Sales representative.
 For new clients, contact info@instructure.com</v>
      </c>
      <c r="C9" s="330"/>
      <c r="D9" s="87"/>
      <c r="E9" s="87"/>
      <c r="F9" s="73" t="s">
        <v>311</v>
      </c>
      <c r="G9" s="378">
        <f>'HECVAT - Full | Vendor Response'!C4</f>
        <v>45470</v>
      </c>
      <c r="H9" s="378"/>
      <c r="I9" s="378"/>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86" t="s">
        <v>312</v>
      </c>
      <c r="B11" s="388"/>
      <c r="C11" s="169" t="s">
        <v>2789</v>
      </c>
      <c r="D11" s="167"/>
      <c r="E11" s="167"/>
      <c r="F11" s="167"/>
      <c r="G11" s="167"/>
      <c r="H11" s="167"/>
      <c r="I11" s="167"/>
    </row>
    <row r="12" spans="1:10" s="72" customFormat="1" ht="24" customHeight="1" thickBot="1" x14ac:dyDescent="0.25">
      <c r="A12" s="385"/>
      <c r="B12" s="385"/>
      <c r="C12" s="385"/>
    </row>
    <row r="13" spans="1:10" ht="37.25" customHeight="1" thickBot="1" x14ac:dyDescent="0.25">
      <c r="C13" s="136" t="s">
        <v>313</v>
      </c>
      <c r="D13" s="137" t="s">
        <v>314</v>
      </c>
      <c r="E13" s="381" t="s">
        <v>315</v>
      </c>
      <c r="F13" s="382"/>
      <c r="G13" s="139" t="s">
        <v>316</v>
      </c>
    </row>
    <row r="14" spans="1:10" s="64" customFormat="1" ht="37.25" customHeight="1" x14ac:dyDescent="0.2">
      <c r="C14" s="140" t="str">
        <f>Values!C2</f>
        <v>Company</v>
      </c>
      <c r="D14" s="141">
        <f>Values!H2</f>
        <v>80</v>
      </c>
      <c r="E14" s="379">
        <f>Values!G2</f>
        <v>50</v>
      </c>
      <c r="F14" s="380"/>
      <c r="G14" s="142">
        <f>Values!I2</f>
        <v>0.625</v>
      </c>
    </row>
    <row r="15" spans="1:10" s="64" customFormat="1" ht="37.25" customHeight="1" x14ac:dyDescent="0.2">
      <c r="C15" s="143" t="str">
        <f>Values!C3</f>
        <v>Documentation</v>
      </c>
      <c r="D15" s="144">
        <f>Values!H3</f>
        <v>220</v>
      </c>
      <c r="E15" s="366">
        <f>Values!G3</f>
        <v>200</v>
      </c>
      <c r="F15" s="367"/>
      <c r="G15" s="145">
        <f>Values!I3</f>
        <v>0.90909090909090906</v>
      </c>
    </row>
    <row r="16" spans="1:10" s="64" customFormat="1" ht="37.25" customHeight="1" x14ac:dyDescent="0.2">
      <c r="C16" s="143" t="str">
        <f>Values!C4</f>
        <v>Accessibility</v>
      </c>
      <c r="D16" s="144">
        <f>Values!H4</f>
        <v>225</v>
      </c>
      <c r="E16" s="366">
        <f>Values!G4</f>
        <v>175</v>
      </c>
      <c r="F16" s="367"/>
      <c r="G16" s="145">
        <f>Values!I4</f>
        <v>0.77777777777777779</v>
      </c>
    </row>
    <row r="17" spans="3:7" s="64" customFormat="1" ht="37.25" customHeight="1" x14ac:dyDescent="0.2">
      <c r="C17" s="143" t="str">
        <f>Values!C5</f>
        <v>Third Parties</v>
      </c>
      <c r="D17" s="144">
        <f>Values!H5</f>
        <v>85</v>
      </c>
      <c r="E17" s="366">
        <f>Values!G5</f>
        <v>55</v>
      </c>
      <c r="F17" s="367"/>
      <c r="G17" s="145">
        <f>Values!I5</f>
        <v>0.6470588235294118</v>
      </c>
    </row>
    <row r="18" spans="3:7" s="64" customFormat="1" ht="37.25" customHeight="1" x14ac:dyDescent="0.2">
      <c r="C18" s="143" t="str">
        <f>Values!C6</f>
        <v>Consulting</v>
      </c>
      <c r="D18" s="144">
        <f>Values!H6</f>
        <v>135</v>
      </c>
      <c r="E18" s="366">
        <f>Values!G6</f>
        <v>105</v>
      </c>
      <c r="F18" s="367"/>
      <c r="G18" s="145">
        <f>Values!I6</f>
        <v>0.77777777777777779</v>
      </c>
    </row>
    <row r="19" spans="3:7" s="64" customFormat="1" ht="37.25" customHeight="1" x14ac:dyDescent="0.2">
      <c r="C19" s="143" t="str">
        <f>Values!C7</f>
        <v>Application Security</v>
      </c>
      <c r="D19" s="144">
        <f>Values!H7</f>
        <v>300</v>
      </c>
      <c r="E19" s="366">
        <f>Values!G7</f>
        <v>300</v>
      </c>
      <c r="F19" s="367"/>
      <c r="G19" s="145">
        <f>Values!I7</f>
        <v>1</v>
      </c>
    </row>
    <row r="20" spans="3:7" s="64" customFormat="1" ht="37.25" customHeight="1" x14ac:dyDescent="0.2">
      <c r="C20" s="146" t="str">
        <f>Values!C8</f>
        <v>Authentication, Authorization, and Accounting</v>
      </c>
      <c r="D20" s="144">
        <f>Values!H8</f>
        <v>385</v>
      </c>
      <c r="E20" s="366">
        <f>Values!G8</f>
        <v>170</v>
      </c>
      <c r="F20" s="367"/>
      <c r="G20" s="145">
        <f>Values!I8</f>
        <v>0.44155844155844154</v>
      </c>
    </row>
    <row r="21" spans="3:7" s="64" customFormat="1" ht="37.25" customHeight="1" x14ac:dyDescent="0.2">
      <c r="C21" s="143" t="str">
        <f>Values!C9</f>
        <v>Business Continuity Plan</v>
      </c>
      <c r="D21" s="144">
        <f>Values!H9</f>
        <v>210</v>
      </c>
      <c r="E21" s="366">
        <f>Values!G9</f>
        <v>210</v>
      </c>
      <c r="F21" s="367"/>
      <c r="G21" s="145">
        <f>Values!I9</f>
        <v>1</v>
      </c>
    </row>
    <row r="22" spans="3:7" s="64" customFormat="1" ht="37.25" customHeight="1" x14ac:dyDescent="0.2">
      <c r="C22" s="143" t="str">
        <f>Values!C10</f>
        <v>Change Management</v>
      </c>
      <c r="D22" s="144">
        <f>Values!H10</f>
        <v>270</v>
      </c>
      <c r="E22" s="366">
        <f>Values!G10</f>
        <v>260</v>
      </c>
      <c r="F22" s="367"/>
      <c r="G22" s="145">
        <f>Values!I10</f>
        <v>0.96296296296296291</v>
      </c>
    </row>
    <row r="23" spans="3:7" s="64" customFormat="1" ht="37.25" customHeight="1" x14ac:dyDescent="0.2">
      <c r="C23" s="143" t="str">
        <f>Values!C11</f>
        <v>Data</v>
      </c>
      <c r="D23" s="144">
        <f>Values!H11</f>
        <v>495</v>
      </c>
      <c r="E23" s="366">
        <f>Values!G11</f>
        <v>460</v>
      </c>
      <c r="F23" s="367"/>
      <c r="G23" s="145">
        <f>Values!I11</f>
        <v>0.92929292929292928</v>
      </c>
    </row>
    <row r="24" spans="3:7" s="64" customFormat="1" ht="37.25" customHeight="1" x14ac:dyDescent="0.2">
      <c r="C24" s="143" t="str">
        <f>Values!C12</f>
        <v>Datacenter</v>
      </c>
      <c r="D24" s="144">
        <f>Values!H12</f>
        <v>140</v>
      </c>
      <c r="E24" s="366">
        <f>Values!G12</f>
        <v>140</v>
      </c>
      <c r="F24" s="367"/>
      <c r="G24" s="145">
        <f>Values!I12</f>
        <v>1</v>
      </c>
    </row>
    <row r="25" spans="3:7" s="64" customFormat="1" ht="37.25" customHeight="1" x14ac:dyDescent="0.2">
      <c r="C25" s="143" t="str">
        <f>Values!C13</f>
        <v>Disaster Recovery Plan</v>
      </c>
      <c r="D25" s="144">
        <f>Values!H13</f>
        <v>230</v>
      </c>
      <c r="E25" s="366">
        <f>Values!G13</f>
        <v>190</v>
      </c>
      <c r="F25" s="367"/>
      <c r="G25" s="145">
        <f>Values!I13</f>
        <v>0.82608695652173914</v>
      </c>
    </row>
    <row r="26" spans="3:7" s="64" customFormat="1" ht="37.25" customHeight="1" x14ac:dyDescent="0.2">
      <c r="C26" s="146" t="str">
        <f>Values!C14</f>
        <v>Firewalls, IDS, IPS, and Networking</v>
      </c>
      <c r="D26" s="144">
        <f>Values!H14</f>
        <v>240</v>
      </c>
      <c r="E26" s="366">
        <f>Values!G14</f>
        <v>150</v>
      </c>
      <c r="F26" s="367"/>
      <c r="G26" s="145">
        <f>Values!I14</f>
        <v>0.625</v>
      </c>
    </row>
    <row r="27" spans="3:7" s="64" customFormat="1" ht="37.25" customHeight="1" x14ac:dyDescent="0.2">
      <c r="C27" s="146" t="str">
        <f>Values!C15</f>
        <v>Policies, Procedures, and Processes</v>
      </c>
      <c r="D27" s="144">
        <f>Values!H15</f>
        <v>300</v>
      </c>
      <c r="E27" s="366">
        <f>Values!G15</f>
        <v>300</v>
      </c>
      <c r="F27" s="367"/>
      <c r="G27" s="145">
        <f>Values!I15</f>
        <v>1</v>
      </c>
    </row>
    <row r="28" spans="3:7" s="64" customFormat="1" ht="37.25" customHeight="1" x14ac:dyDescent="0.2">
      <c r="C28" s="143" t="str">
        <f>Values!C16</f>
        <v>Incident Handling</v>
      </c>
      <c r="D28" s="144">
        <f>Values!H16</f>
        <v>60</v>
      </c>
      <c r="E28" s="366">
        <f>Values!G16</f>
        <v>45</v>
      </c>
      <c r="F28" s="367"/>
      <c r="G28" s="145">
        <f>Values!I16</f>
        <v>0.75</v>
      </c>
    </row>
    <row r="29" spans="3:7" s="64" customFormat="1" ht="37.25" customHeight="1" x14ac:dyDescent="0.2">
      <c r="C29" s="143" t="str">
        <f>Values!C17</f>
        <v>Quality Assurance</v>
      </c>
      <c r="D29" s="144">
        <f>Values!H17</f>
        <v>90</v>
      </c>
      <c r="E29" s="366">
        <f>Values!G17</f>
        <v>75</v>
      </c>
      <c r="F29" s="367"/>
      <c r="G29" s="145">
        <f>Values!I17</f>
        <v>0.83333333333333337</v>
      </c>
    </row>
    <row r="30" spans="3:7" s="64" customFormat="1" ht="37.25" customHeight="1" x14ac:dyDescent="0.2">
      <c r="C30" s="143" t="str">
        <f>Values!C18</f>
        <v>Vulnerability Scanning</v>
      </c>
      <c r="D30" s="144">
        <f>Values!H18</f>
        <v>130</v>
      </c>
      <c r="E30" s="366">
        <f>Values!G18</f>
        <v>130</v>
      </c>
      <c r="F30" s="367"/>
      <c r="G30" s="145">
        <f>Values!I18</f>
        <v>1</v>
      </c>
    </row>
    <row r="31" spans="3:7" s="64" customFormat="1" ht="37.25" customHeight="1" x14ac:dyDescent="0.2">
      <c r="C31" s="143" t="str">
        <f>Values!C19</f>
        <v>HIPAA</v>
      </c>
      <c r="D31" s="144">
        <f>Values!H19</f>
        <v>0</v>
      </c>
      <c r="E31" s="366">
        <f>Values!G19</f>
        <v>0</v>
      </c>
      <c r="F31" s="367"/>
      <c r="G31" s="145">
        <f>Values!I19</f>
        <v>0</v>
      </c>
    </row>
    <row r="32" spans="3:7" s="64" customFormat="1" ht="37.25" customHeight="1" x14ac:dyDescent="0.2">
      <c r="C32" s="143" t="str">
        <f>Values!C20</f>
        <v>PCI-DSS</v>
      </c>
      <c r="D32" s="144">
        <f>Values!H20</f>
        <v>0</v>
      </c>
      <c r="E32" s="366">
        <f>Values!G20</f>
        <v>0</v>
      </c>
      <c r="F32" s="367"/>
      <c r="G32" s="145">
        <f>Values!I20</f>
        <v>0</v>
      </c>
    </row>
    <row r="33" spans="1:10" s="64" customFormat="1" ht="37.25" customHeight="1" thickBot="1" x14ac:dyDescent="0.25">
      <c r="C33" s="147"/>
      <c r="D33" s="148"/>
      <c r="E33" s="389">
        <f>Values!G21</f>
        <v>3015</v>
      </c>
      <c r="F33" s="390"/>
      <c r="G33" s="149"/>
    </row>
    <row r="34" spans="1:10" s="14" customFormat="1" ht="37.25" customHeight="1" thickBot="1" x14ac:dyDescent="0.25">
      <c r="C34" s="136" t="s">
        <v>317</v>
      </c>
      <c r="D34" s="137">
        <f>Values!H21</f>
        <v>3595</v>
      </c>
      <c r="E34" s="391">
        <f>Values!G21</f>
        <v>3015</v>
      </c>
      <c r="F34" s="392"/>
      <c r="G34" s="138">
        <f>Values!I21</f>
        <v>0.83866481223922118</v>
      </c>
      <c r="H34" s="272" t="s">
        <v>3233</v>
      </c>
    </row>
    <row r="35" spans="1:10" ht="17" thickBot="1" x14ac:dyDescent="0.25"/>
    <row r="36" spans="1:10" ht="41.25" customHeight="1" thickBot="1" x14ac:dyDescent="0.25">
      <c r="A36" s="393"/>
      <c r="B36" s="394"/>
      <c r="C36" s="394"/>
      <c r="D36" s="395"/>
      <c r="E36" s="170" t="s">
        <v>50</v>
      </c>
      <c r="F36" s="386" t="s">
        <v>318</v>
      </c>
      <c r="G36" s="387"/>
      <c r="H36" s="387"/>
      <c r="I36" s="388"/>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396" t="str">
        <f>'HECVAT - Full | Vendor Response'!A34</f>
        <v>Company Overview</v>
      </c>
      <c r="B38" s="396"/>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83" t="str">
        <f>'HECVAT - Full | Vendor Response'!C35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9" s="384"/>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No major unplanned disruptions have occurred during the past 12 months.</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83"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D43" s="384">
        <f>'HECVAT - Full | Vendor Response'!D39</f>
        <v>0</v>
      </c>
      <c r="E43" s="172" t="s">
        <v>60</v>
      </c>
      <c r="F43" s="234" t="s">
        <v>326</v>
      </c>
      <c r="G43" s="241"/>
      <c r="H43" s="235">
        <f>VLOOKUP(A43,Questions!B$25:T$295,16,FALSE)</f>
        <v>15</v>
      </c>
      <c r="I43" s="239"/>
      <c r="J43" s="276"/>
    </row>
    <row r="44" spans="1:10" s="63" customFormat="1" ht="36" customHeight="1" x14ac:dyDescent="0.2">
      <c r="A44" s="397" t="s">
        <v>7</v>
      </c>
      <c r="B44" s="397"/>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A SOC 2 audited report for Impact by Instructure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Impact Compliance Package available at https://inst.bid/impact/dl. Our listing can be viewed on the CSA STAR Registry at: https://inst.bid/csa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Impact by Instructure has been included in the Impact Compliance Package made available by Instructure at https://inst.bid/impact/dl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Impact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No</v>
      </c>
      <c r="D54" s="162" t="str">
        <f>'HECVAT - Full | Vendor Response'!D50</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Yes</v>
      </c>
      <c r="D55" s="162" t="str">
        <f>'HECVAT - Full | Vendor Response'!D51</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5" s="173" t="s">
        <v>60</v>
      </c>
      <c r="F55" s="232" t="str">
        <f>VLOOKUP($A55,Questions!B$3:T$256,12,FALSE)</f>
        <v>Yes</v>
      </c>
      <c r="G55" s="241"/>
      <c r="H55" s="233">
        <f>VLOOKUP(A55,Questions!B$25:T$295,16,TRUE)</f>
        <v>20</v>
      </c>
      <c r="I55" s="239"/>
      <c r="J55" s="277"/>
    </row>
    <row r="56" spans="1:10" ht="48" customHeight="1" x14ac:dyDescent="0.2">
      <c r="A56" s="397" t="str">
        <f>'HECVAT - Full | Vendor Response'!A52:B52</f>
        <v xml:space="preserve">IT Accessibility </v>
      </c>
      <c r="B56" s="397"/>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No</v>
      </c>
      <c r="D57" s="162" t="str">
        <f>'HECVAT - Full | Vendor Response'!D53</f>
        <v>Impact is not certified for accessibility compliance by a third party. By the end of 2024, our aim is to achieve full WCAG 2.1 AA compliance. Once achieved, we will create a new Voluntary Product Accessibility Template (VPAT) document, reflecting our commitment to providing an accessible platform for all users.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Platform, Impact by Instructure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Impact is able to be used with only a keyboard, without requiring a mouse or touchpad.</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397" t="str">
        <f>'HECVAT - Full | Vendor Response'!A62</f>
        <v>Assessment of Third Parties</v>
      </c>
      <c r="B66" s="397"/>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83"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84"/>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83"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84"/>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majority of functionality that Impact offers integrates into the core of the Learning Management System, namely, Canvas LMS. The Canvas ecosystem provides integration points as modular plugins which leverage the APIs of the remote system.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Our processes and procedures cover regions in which we operate.</v>
      </c>
      <c r="E71" s="172" t="s">
        <v>60</v>
      </c>
      <c r="F71" s="232" t="str">
        <f>VLOOKUP($A71,Questions!B$3:T$256,12,FALSE)</f>
        <v>Yes</v>
      </c>
      <c r="G71" s="241"/>
      <c r="H71" s="233">
        <f>VLOOKUP(A69,Questions!B$25:T$295,16,TRUE)</f>
        <v>15</v>
      </c>
      <c r="I71" s="239"/>
      <c r="J71" s="276"/>
    </row>
    <row r="72" spans="1:10" ht="48" customHeight="1" x14ac:dyDescent="0.2">
      <c r="A72" s="397" t="str">
        <f>'HECVAT - Full | Vendor Response'!A68</f>
        <v>Consulting</v>
      </c>
      <c r="B72" s="397"/>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397" t="str">
        <f>'HECVAT - Full | Vendor Response'!A78</f>
        <v>Application/Service Security</v>
      </c>
      <c r="B82" s="397"/>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Impact supports role-based access control (RBAC) for both administrators and end-users. Within the Impact control panel, administrators can also organize and group user roles, institutional hierarchies or sub-accounts.</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We are continually improving our products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Yes, a WAF is provided by Cloudflare.</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Impact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High-level security administration is managed by Instructure. Separation of duties is provided for Standard users and System Administrators.</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2) No</v>
      </c>
      <c r="D98" s="160">
        <f>'HECVAT - Full | Vendor Response'!D94</f>
        <v>0</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f>'HECVAT - Full | Vendor Response'!D95</f>
        <v>0</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Local authentication enforces a minimum character count of 12 characters.</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No</v>
      </c>
      <c r="D105" s="160">
        <f>'HECVAT - Full | Vendor Response'!D101</f>
        <v>0</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f>'HECVAT - Full | Vendor Response'!C102</f>
        <v>0</v>
      </c>
      <c r="D106" s="160">
        <f>'HECVAT - Full | Vendor Response'!D102</f>
        <v>0</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recipient identifier (e.g. email address).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f>'HECVAT - Full | Vendor Response'!C104</f>
        <v>0</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t="str">
        <f>'HECVAT - Full | Vendor Response'!C105</f>
        <v>Yes</v>
      </c>
      <c r="D109" s="160" t="str">
        <f>'HECVAT - Full | Vendor Response'!D105</f>
        <v>Two-factor authentication can be enabled in account settings and utilizes an additional OTP code, configurable via an authenticator app such as Google Authenticator.</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No</v>
      </c>
      <c r="D113" s="160">
        <f>'HECVAT - Full | Vendor Response'!D109</f>
        <v>0</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83" t="str">
        <f>'HECVAT - Full | Vendor Response'!C111</f>
        <v>System logs are retained for 1 month. The audit information listed can be provided on request but is not currently available in-system as yet.
Logs are stored in various SIEM's/collectors based on the log type.</v>
      </c>
      <c r="D115" s="384"/>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83" t="str">
        <f>'HECVAT - Full | Vendor Response'!C112</f>
        <v xml:space="preserve">System and security logs are retained for a minimum of 1 month. All platform activity is logged in secure, immutable logs. Instructure manages logs on behalf of customers, but can provide them in case of a security incident.	</v>
      </c>
      <c r="D116" s="384"/>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397" t="str">
        <f>'HECVAT - Full | Vendor Response'!A124</f>
        <v>Change Management</v>
      </c>
      <c r="B128" s="397"/>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Impact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will email customers regarding any major changes which may impact an institution's security posture. The update/upgrade release notes are available to all Impact users at https://inst.bid/impact/releases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t="str">
        <f>'HECVAT - Full | Vendor Response'!D128</f>
        <v>As Impact is a Software as a Service, all customers are on the same version and get the latest features, fixes and updates.</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Impact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Impact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Yes</v>
      </c>
      <c r="D135" s="160" t="str">
        <f>'HECVAT - Full | Vendor Response'!D131</f>
        <v xml:space="preserve">Impact releases occur weekly with some exceptions (either an additional release or less depending on season).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typically deployed on a weekly basis.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v1.2 or higher.</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 xml:space="preserve">Customers have up to 90 days after the end of the contract. </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Yes</v>
      </c>
      <c r="D152" s="160" t="str">
        <f>'HECVAT - Full | Vendor Response'!D148</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 xml:space="preserve">Per Instructure's Terms and Conditions, all data is available for 90 days following expiration or termination of the contract. This remains the case in the event of bankruptcy, closing or business, or retirement of service.
</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Impact databases and media content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398" t="str">
        <f>'HECVAT - Full | Vendor Response'!A165</f>
        <v>Datacenter</v>
      </c>
      <c r="B169" s="398"/>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Impact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398" t="str">
        <f>'HECVAT - Full | Vendor Response'!A183</f>
        <v>DRP - Respond to as many questions below as possible.</v>
      </c>
      <c r="B187" s="398"/>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83" t="str">
        <f>'HECVAT - Full | Vendor Response'!C184</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D188" s="384"/>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Impact Compliance Package. https://inst.bid/impact/dl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No</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Impact Compliance Package. https://inst.bid/impact/dl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83"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84"/>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Yes</v>
      </c>
      <c r="D203" s="160" t="str">
        <f>'HECVAT - Full | Vendor Response'!D199</f>
        <v>AWS GuardDuty is deployed on all Impact environments to provide intrusion and anomaly detection.</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f>'HECVAT - Full | Vendor Response'!D200</f>
        <v>0</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We rely on AWS GuardDuty to monitor for malicious activity and anomalous behavior.</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f>'HECVAT - Full | Vendor Response'!D202</f>
        <v>0</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Yes</v>
      </c>
      <c r="D207" s="160" t="str">
        <f>'HECVAT - Full | Vendor Response'!D203</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Yes</v>
      </c>
      <c r="D208" s="160" t="str">
        <f>'HECVAT - Full | Vendor Response'!D204</f>
        <v>Yes, intrustion monitoring occurs on a 24 x 7 x 365 basis and an incident response plan is in place in the need of an immediate response.</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Yes</v>
      </c>
      <c r="D209" s="160" t="str">
        <f>'HECVAT - Full | Vendor Response'!D205</f>
        <v>Intrustion monitoring is performed internally by both the Instructure Security and Engineering teams.</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398" t="str">
        <f>'HECVAT - Full | Vendor Response'!A207</f>
        <v>Policies, Procedures, and Processes</v>
      </c>
      <c r="B211" s="398"/>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 conducts internal audits of the policies and procedures under which it operates including an annual assessment of key security controls.</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https://inst.bid/status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Impact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t="str">
        <f>'HECVAT - Full | Vendor Response'!D238</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83" t="str">
        <f>'HECVAT - Full | Vendor Response'!C240</f>
        <v>Yes</v>
      </c>
      <c r="D244" s="384"/>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83">
        <f>'HECVAT - Full | Vendor Response'!C278</f>
        <v>0</v>
      </c>
      <c r="D282" s="384"/>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83">
        <f>'HECVAT - Full | Vendor Response'!C279</f>
        <v>0</v>
      </c>
      <c r="D283" s="384"/>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83">
        <f>'HECVAT - Full | Vendor Response'!C280</f>
        <v>0</v>
      </c>
      <c r="D284" s="384"/>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83">
        <f>'HECVAT - Full | Vendor Response'!C284</f>
        <v>0</v>
      </c>
      <c r="D288" s="384"/>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 ref="B9:C9"/>
    <mergeCell ref="A36:D36"/>
    <mergeCell ref="C188:D188"/>
    <mergeCell ref="A38:B38"/>
    <mergeCell ref="A44:B44"/>
    <mergeCell ref="A11:B11"/>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G9:I9"/>
    <mergeCell ref="E14:F14"/>
    <mergeCell ref="E23:F23"/>
    <mergeCell ref="E24:F24"/>
    <mergeCell ref="E15:F15"/>
    <mergeCell ref="E17:F17"/>
    <mergeCell ref="E18:F18"/>
    <mergeCell ref="A3:I3"/>
    <mergeCell ref="A2:H2"/>
    <mergeCell ref="B7:C7"/>
    <mergeCell ref="B6:C6"/>
    <mergeCell ref="B8:C8"/>
    <mergeCell ref="A4:I4"/>
    <mergeCell ref="A5:I5"/>
    <mergeCell ref="G6:I6"/>
    <mergeCell ref="G7:I7"/>
    <mergeCell ref="G8:I8"/>
    <mergeCell ref="E29:F29"/>
    <mergeCell ref="E30:F30"/>
    <mergeCell ref="E16:F16"/>
    <mergeCell ref="E21:F21"/>
    <mergeCell ref="E22:F22"/>
    <mergeCell ref="E25:F25"/>
    <mergeCell ref="E26:F26"/>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68" t="s">
        <v>328</v>
      </c>
      <c r="B2" s="368"/>
      <c r="C2" s="368"/>
      <c r="D2" s="368"/>
    </row>
    <row r="3" spans="1:4" ht="36" customHeight="1" x14ac:dyDescent="0.2">
      <c r="A3" s="335" t="s">
        <v>329</v>
      </c>
      <c r="B3" s="335"/>
      <c r="C3" s="335"/>
      <c r="D3" s="335"/>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3" t="s">
        <v>46</v>
      </c>
      <c r="B21" s="343"/>
      <c r="C21" s="20"/>
      <c r="D21" s="21"/>
    </row>
    <row r="22" spans="1:5" ht="186" customHeight="1" x14ac:dyDescent="0.2">
      <c r="A22" s="361" t="s">
        <v>3184</v>
      </c>
      <c r="B22" s="361"/>
      <c r="C22" s="361"/>
      <c r="D22" s="361"/>
    </row>
    <row r="23" spans="1:5" ht="37.25" customHeight="1" x14ac:dyDescent="0.2">
      <c r="A23" s="343" t="s">
        <v>5</v>
      </c>
      <c r="B23" s="343"/>
      <c r="C23" s="20" t="s">
        <v>330</v>
      </c>
      <c r="D23" s="20" t="s">
        <v>331</v>
      </c>
    </row>
    <row r="24" spans="1:5" ht="56" customHeight="1" x14ac:dyDescent="0.2">
      <c r="A24" s="361" t="s">
        <v>332</v>
      </c>
      <c r="B24" s="361"/>
      <c r="C24" s="361"/>
      <c r="D24" s="361"/>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3" t="s">
        <v>8</v>
      </c>
      <c r="B32" s="343"/>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3" t="s">
        <v>7</v>
      </c>
      <c r="B38" s="343"/>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52" t="s">
        <v>76</v>
      </c>
      <c r="B50" s="353"/>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3" t="str">
        <f>IF($C$27="No","Assessment of Third Parties - Optional based on QUALIFIER response.","Assessment of Third Parties")</f>
        <v>Assessment of Third Parties</v>
      </c>
      <c r="B60" s="343"/>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3" t="str">
        <f>IF($C$31="","Consulting",IF($C$31="Yes","Consulting - All questions after this section are OPTIONAL.","Consulting - Optional based on QUALIFIER response."))</f>
        <v>Consulting - Optional based on QUALIFIER response.</v>
      </c>
      <c r="B66" s="343"/>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3" t="str">
        <f>IF($C$31="","Application/Service Security",IF($C$31="Yes","App/Service Security - Optional based on QUALIFIER response.","Application/Service Security"))</f>
        <v>Application/Service Security</v>
      </c>
      <c r="B76" s="343"/>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3" t="str">
        <f>IF($C$31="","Authentication, Authorization, and Accounting",IF($C$31="Yes","AAA - Optional based on QUALIFIER response.","Authentication, Authorization, and Accounting"))</f>
        <v>Authentication, Authorization, and Accounting</v>
      </c>
      <c r="B87" s="343"/>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3" t="str">
        <f>IF(OR($C$28="No",$C$31="Yes"),"BCP - Respond to as many questions below as possible.","Business Continuity Plan")</f>
        <v>Business Continuity Plan</v>
      </c>
      <c r="B105" s="343"/>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3" t="str">
        <f>IF($C$31="","Change Management",IF($C$31="Yes","Change Management - Optional based on QUALIFIER response.","Change Management"))</f>
        <v>Change Management</v>
      </c>
      <c r="B116" s="343"/>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3" t="str">
        <f>IF($C$31="","Data",IF($C$31="Yes","Data - Optional based on QUALIFIER response.","Data"))</f>
        <v>Data</v>
      </c>
      <c r="B132" s="343"/>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3" t="str">
        <f>IF($C$31="","Datacenter",IF($C$31="Yes","Datacenter - Optional based on QUALIFIER response.","Datacenter"))</f>
        <v>Datacenter</v>
      </c>
      <c r="B157" s="343"/>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3" t="str">
        <f>IF(OR($C$29="No",$C$31="Yes"),"DRP - Respond to as many questions below as possible.","Disaster Recovery Plan")</f>
        <v>Disaster Recovery Plan</v>
      </c>
      <c r="B175" s="343"/>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3" t="str">
        <f>IF($C$31="","Firewalls, IDS, IPS, and Networking",IF($C$31="Yes","FW/IDPS/Networks - Optional based on QUALIFIER response.","Firewalls, IDS, IPS, and Networking"))</f>
        <v>Firewalls, IDS, IPS, and Networking</v>
      </c>
      <c r="B187" s="343"/>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3" t="str">
        <f>IF($C$31="","Policies, Procedures, and Processes",IF($C$31="Yes","Pol/Pro/Proc - Optional based on QUALIFIER response.","Policies, Procedures, and Processes"))</f>
        <v>Policies, Procedures, and Processes</v>
      </c>
      <c r="B199" s="343"/>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3" t="s">
        <v>244</v>
      </c>
      <c r="B216" s="343"/>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3" t="str">
        <f>IF($C$31="","Quality Assurance",IF($C$31="Yes","Quality Assurance - Optional based on QUALIFIER response.","Quality Assurance"))</f>
        <v>Quality Assurance</v>
      </c>
      <c r="B221" s="343"/>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3" t="str">
        <f>IF($C$31="","Vulnerability Scanning",IF($C$31="Yes","Vulnerability Scanning - Optional based on QUALIFIER response.","Vulnerability Scanning"))</f>
        <v>Vulnerability Scanning</v>
      </c>
      <c r="B227" s="343"/>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3" t="str">
        <f>IF(OR($C$25="No",$C$25="Yes"),"HIPAA - Optional based on QUALIFIER response.","HIPAA")</f>
        <v>HIPAA</v>
      </c>
      <c r="B234" s="343"/>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3" t="str">
        <f>IF(OR($C$29="No",$C$29="Yes"),"PCI DSS - Optional based on QUALIFIER response.","PCI DSS")</f>
        <v>PCI DSS</v>
      </c>
      <c r="B264" s="343"/>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66:B66"/>
    <mergeCell ref="A76:B76"/>
    <mergeCell ref="A264:B264"/>
    <mergeCell ref="A187:B187"/>
    <mergeCell ref="A199:B199"/>
    <mergeCell ref="A216:B216"/>
    <mergeCell ref="A221:B221"/>
    <mergeCell ref="A227:B227"/>
    <mergeCell ref="A234:B234"/>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0" t="s">
        <v>333</v>
      </c>
      <c r="B2" s="410"/>
      <c r="C2" s="410"/>
      <c r="D2" s="411"/>
      <c r="E2" s="78" t="str">
        <f>'HECVAT - Full | Vendor Response'!E2</f>
        <v>Version 3.06</v>
      </c>
    </row>
    <row r="3" spans="1:5" s="64" customFormat="1" ht="26" customHeight="1" x14ac:dyDescent="0.2">
      <c r="A3" s="412"/>
      <c r="B3" s="412"/>
      <c r="C3" s="412"/>
      <c r="D3" s="412"/>
      <c r="E3" s="412"/>
    </row>
    <row r="4" spans="1:5" s="63" customFormat="1" ht="36" customHeight="1" x14ac:dyDescent="0.2">
      <c r="A4" s="16" t="s">
        <v>334</v>
      </c>
      <c r="B4" s="330" t="str">
        <f>'HECVAT - Full | Vendor Response'!C8</f>
        <v>Instructure</v>
      </c>
      <c r="C4" s="330"/>
      <c r="D4" s="330"/>
      <c r="E4" s="330"/>
    </row>
    <row r="5" spans="1:5" s="64" customFormat="1" ht="48" customHeight="1" x14ac:dyDescent="0.2">
      <c r="A5" s="73" t="s">
        <v>335</v>
      </c>
      <c r="B5" s="413" t="str">
        <f>'HECVAT - Full | Vendor Response'!C10</f>
        <v>Impact by Instructure helps institutions improve technology adoption and evaluate the impact of educational technology, while helping faculty and students seamlessly navigate new platforms.</v>
      </c>
      <c r="C5" s="413"/>
      <c r="D5" s="413"/>
      <c r="E5" s="413"/>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03" t="s">
        <v>3185</v>
      </c>
      <c r="B47" s="404"/>
      <c r="C47" s="404"/>
      <c r="D47" s="404"/>
      <c r="E47" s="405"/>
    </row>
    <row r="48" spans="1:5" s="64" customFormat="1" ht="36" customHeight="1" x14ac:dyDescent="0.2">
      <c r="A48" s="406"/>
      <c r="B48" s="407"/>
      <c r="C48" s="407"/>
      <c r="D48" s="408" t="s">
        <v>336</v>
      </c>
      <c r="E48" s="409"/>
    </row>
    <row r="49" spans="1:5" s="66" customFormat="1" ht="60" customHeight="1" x14ac:dyDescent="0.2">
      <c r="A49" s="67" t="str">
        <f>'High Risk Non-Compliant'!B4</f>
        <v>Question</v>
      </c>
      <c r="B49" s="414" t="str">
        <f>'High Risk Non-Compliant'!C4</f>
        <v>Additional Info</v>
      </c>
      <c r="C49" s="414"/>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399">
        <f>'High Risk Non-Compliant'!C5</f>
        <v>0</v>
      </c>
      <c r="C50" s="399"/>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399">
        <f>'High Risk Non-Compliant'!C6</f>
        <v>0</v>
      </c>
      <c r="C51" s="399"/>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399">
        <f>'High Risk Non-Compliant'!C7</f>
        <v>0</v>
      </c>
      <c r="C52" s="399"/>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399">
        <f>'High Risk Non-Compliant'!C8</f>
        <v>0</v>
      </c>
      <c r="C53" s="399"/>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399">
        <f>'High Risk Non-Compliant'!C9</f>
        <v>0</v>
      </c>
      <c r="C54" s="399"/>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00">
        <f>'High Risk Non-Compliant'!C10</f>
        <v>0</v>
      </c>
      <c r="C55" s="400"/>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399">
        <f>'High Risk Non-Compliant'!C11</f>
        <v>0</v>
      </c>
      <c r="C56" s="399"/>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399">
        <f>'High Risk Non-Compliant'!C12</f>
        <v>0</v>
      </c>
      <c r="C57" s="399"/>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399">
        <f>'High Risk Non-Compliant'!C13</f>
        <v>0</v>
      </c>
      <c r="C58" s="399"/>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399">
        <f>'High Risk Non-Compliant'!C14</f>
        <v>0</v>
      </c>
      <c r="C59" s="399"/>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399">
        <f>'High Risk Non-Compliant'!C15</f>
        <v>0</v>
      </c>
      <c r="C60" s="399"/>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399">
        <f>'High Risk Non-Compliant'!C16</f>
        <v>0</v>
      </c>
      <c r="C61" s="399"/>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399">
        <f>'High Risk Non-Compliant'!C17</f>
        <v>0</v>
      </c>
      <c r="C62" s="399"/>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399">
        <f>'High Risk Non-Compliant'!C18</f>
        <v>0</v>
      </c>
      <c r="C63" s="399"/>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399">
        <f>'High Risk Non-Compliant'!C19</f>
        <v>0</v>
      </c>
      <c r="C64" s="399"/>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399">
        <f>'High Risk Non-Compliant'!C20</f>
        <v>0</v>
      </c>
      <c r="C65" s="399"/>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399">
        <f>'High Risk Non-Compliant'!C21</f>
        <v>0</v>
      </c>
      <c r="C66" s="399"/>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399">
        <f>'High Risk Non-Compliant'!C22</f>
        <v>0</v>
      </c>
      <c r="C67" s="399"/>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399">
        <f>'High Risk Non-Compliant'!C23</f>
        <v>0</v>
      </c>
      <c r="C68" s="399"/>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399">
        <f>'High Risk Non-Compliant'!C24</f>
        <v>0</v>
      </c>
      <c r="C69" s="399"/>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399">
        <f>'High Risk Non-Compliant'!C25</f>
        <v>0</v>
      </c>
      <c r="C70" s="399"/>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399">
        <f>'High Risk Non-Compliant'!C26</f>
        <v>0</v>
      </c>
      <c r="C71" s="399"/>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399">
        <f>'High Risk Non-Compliant'!C27</f>
        <v>0</v>
      </c>
      <c r="C72" s="399"/>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399">
        <f>'High Risk Non-Compliant'!C28</f>
        <v>0</v>
      </c>
      <c r="C73" s="399"/>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399">
        <f>'High Risk Non-Compliant'!C29</f>
        <v>0</v>
      </c>
      <c r="C74" s="399"/>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399">
        <f>'High Risk Non-Compliant'!C30</f>
        <v>0</v>
      </c>
      <c r="C75" s="399"/>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399">
        <f>'High Risk Non-Compliant'!C31</f>
        <v>0</v>
      </c>
      <c r="C76" s="399"/>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399">
        <f>'High Risk Non-Compliant'!C32</f>
        <v>0</v>
      </c>
      <c r="C77" s="399"/>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399">
        <f>'High Risk Non-Compliant'!C33</f>
        <v>0</v>
      </c>
      <c r="C78" s="399"/>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399">
        <f>'High Risk Non-Compliant'!C34</f>
        <v>0</v>
      </c>
      <c r="C79" s="399"/>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399">
        <f>'High Risk Non-Compliant'!C35</f>
        <v>0</v>
      </c>
      <c r="C80" s="399"/>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399">
        <f>'High Risk Non-Compliant'!C36</f>
        <v>0</v>
      </c>
      <c r="C81" s="399"/>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399">
        <f>'High Risk Non-Compliant'!C37</f>
        <v>0</v>
      </c>
      <c r="C82" s="399"/>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399">
        <f>'High Risk Non-Compliant'!C38</f>
        <v>0</v>
      </c>
      <c r="C83" s="399"/>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399">
        <f>'High Risk Non-Compliant'!C39</f>
        <v>0</v>
      </c>
      <c r="C84" s="399"/>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399">
        <f>'High Risk Non-Compliant'!C40</f>
        <v>0</v>
      </c>
      <c r="C85" s="399"/>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399">
        <f>'High Risk Non-Compliant'!C41</f>
        <v>0</v>
      </c>
      <c r="C86" s="399"/>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399">
        <f>'High Risk Non-Compliant'!C42</f>
        <v>0</v>
      </c>
      <c r="C87" s="399"/>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399">
        <f>'High Risk Non-Compliant'!C43</f>
        <v>0</v>
      </c>
      <c r="C88" s="399"/>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399">
        <f>'High Risk Non-Compliant'!C44</f>
        <v>0</v>
      </c>
      <c r="C89" s="399"/>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399">
        <f>'High Risk Non-Compliant'!C45</f>
        <v>0</v>
      </c>
      <c r="C90" s="399"/>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399">
        <f>'High Risk Non-Compliant'!C46</f>
        <v>0</v>
      </c>
      <c r="C91" s="399"/>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399">
        <f>'High Risk Non-Compliant'!C47</f>
        <v>0</v>
      </c>
      <c r="C92" s="399"/>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399">
        <f>'High Risk Non-Compliant'!C48</f>
        <v>0</v>
      </c>
      <c r="C93" s="399"/>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399">
        <f>'High Risk Non-Compliant'!C49</f>
        <v>0</v>
      </c>
      <c r="C94" s="399"/>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399">
        <f>'High Risk Non-Compliant'!C50</f>
        <v>0</v>
      </c>
      <c r="C95" s="399"/>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399">
        <f>'High Risk Non-Compliant'!C51</f>
        <v>0</v>
      </c>
      <c r="C96" s="399"/>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399">
        <f>'High Risk Non-Compliant'!C52</f>
        <v>0</v>
      </c>
      <c r="C97" s="399"/>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399">
        <f>'High Risk Non-Compliant'!C53</f>
        <v>0</v>
      </c>
      <c r="C98" s="399"/>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399">
        <f>'High Risk Non-Compliant'!C54</f>
        <v>0</v>
      </c>
      <c r="C99" s="399"/>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399">
        <f>'High Risk Non-Compliant'!C55</f>
        <v>0</v>
      </c>
      <c r="C100" s="399"/>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399">
        <f>'High Risk Non-Compliant'!C56</f>
        <v>0</v>
      </c>
      <c r="C101" s="399"/>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399">
        <f>'High Risk Non-Compliant'!C57</f>
        <v>0</v>
      </c>
      <c r="C102" s="399"/>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399">
        <f>'High Risk Non-Compliant'!C58</f>
        <v>0</v>
      </c>
      <c r="C103" s="399"/>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399">
        <f>'High Risk Non-Compliant'!C59</f>
        <v>0</v>
      </c>
      <c r="C104" s="399"/>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399">
        <f>'High Risk Non-Compliant'!C60</f>
        <v>0</v>
      </c>
      <c r="C105" s="399"/>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399">
        <f>'High Risk Non-Compliant'!C61</f>
        <v>0</v>
      </c>
      <c r="C106" s="399"/>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399">
        <f>'High Risk Non-Compliant'!C62</f>
        <v>0</v>
      </c>
      <c r="C107" s="399"/>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399">
        <f>'High Risk Non-Compliant'!C63</f>
        <v>0</v>
      </c>
      <c r="C108" s="399"/>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399">
        <f>'High Risk Non-Compliant'!C64</f>
        <v>0</v>
      </c>
      <c r="C109" s="399"/>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399">
        <f>'High Risk Non-Compliant'!C65</f>
        <v>0</v>
      </c>
      <c r="C110" s="399"/>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399">
        <f>'High Risk Non-Compliant'!C66</f>
        <v>0</v>
      </c>
      <c r="C111" s="399"/>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399">
        <f>'High Risk Non-Compliant'!C67</f>
        <v>0</v>
      </c>
      <c r="C112" s="399"/>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399">
        <f>'High Risk Non-Compliant'!C68</f>
        <v>0</v>
      </c>
      <c r="C113" s="399"/>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399">
        <f>'High Risk Non-Compliant'!C69</f>
        <v>0</v>
      </c>
      <c r="C114" s="399"/>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399">
        <f>'High Risk Non-Compliant'!C70</f>
        <v>0</v>
      </c>
      <c r="C115" s="399"/>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399">
        <f>'High Risk Non-Compliant'!C71</f>
        <v>0</v>
      </c>
      <c r="C116" s="399"/>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399">
        <f>'High Risk Non-Compliant'!C72</f>
        <v>0</v>
      </c>
      <c r="C117" s="399"/>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399">
        <f>'High Risk Non-Compliant'!C73</f>
        <v>0</v>
      </c>
      <c r="C118" s="399"/>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399">
        <f>'High Risk Non-Compliant'!C74</f>
        <v>0</v>
      </c>
      <c r="C119" s="399"/>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399">
        <f>'High Risk Non-Compliant'!C75</f>
        <v>0</v>
      </c>
      <c r="C120" s="399"/>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399">
        <f>'High Risk Non-Compliant'!C76</f>
        <v>0</v>
      </c>
      <c r="C121" s="399"/>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399">
        <f>'High Risk Non-Compliant'!C77</f>
        <v>0</v>
      </c>
      <c r="C122" s="399"/>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399">
        <f>'High Risk Non-Compliant'!C78</f>
        <v>0</v>
      </c>
      <c r="C123" s="399"/>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399">
        <f>'High Risk Non-Compliant'!C79</f>
        <v>0</v>
      </c>
      <c r="C124" s="399"/>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399">
        <f>'High Risk Non-Compliant'!C80</f>
        <v>0</v>
      </c>
      <c r="C125" s="399"/>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399">
        <f>'High Risk Non-Compliant'!C81</f>
        <v>0</v>
      </c>
      <c r="C126" s="399"/>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399">
        <f>'High Risk Non-Compliant'!C82</f>
        <v>0</v>
      </c>
      <c r="C127" s="399"/>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399">
        <f>'High Risk Non-Compliant'!C83</f>
        <v>0</v>
      </c>
      <c r="C128" s="399"/>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399">
        <f>'High Risk Non-Compliant'!C84</f>
        <v>0</v>
      </c>
      <c r="C129" s="399"/>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399">
        <f>'High Risk Non-Compliant'!C85</f>
        <v>0</v>
      </c>
      <c r="C130" s="399"/>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399">
        <f>'High Risk Non-Compliant'!C86</f>
        <v>0</v>
      </c>
      <c r="C131" s="399"/>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399">
        <f>'High Risk Non-Compliant'!C87</f>
        <v>0</v>
      </c>
      <c r="C132" s="399"/>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399">
        <f>'High Risk Non-Compliant'!C88</f>
        <v>0</v>
      </c>
      <c r="C133" s="399"/>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399">
        <f>'High Risk Non-Compliant'!C89</f>
        <v>0</v>
      </c>
      <c r="C134" s="399"/>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399">
        <f>'High Risk Non-Compliant'!C90</f>
        <v>0</v>
      </c>
      <c r="C135" s="399"/>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399">
        <f>'High Risk Non-Compliant'!C91</f>
        <v>0</v>
      </c>
      <c r="C136" s="399"/>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399">
        <f>'High Risk Non-Compliant'!C92</f>
        <v>0</v>
      </c>
      <c r="C137" s="399"/>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399">
        <f>'High Risk Non-Compliant'!C93</f>
        <v>0</v>
      </c>
      <c r="C138" s="399"/>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399">
        <f>'High Risk Non-Compliant'!C94</f>
        <v>0</v>
      </c>
      <c r="C139" s="399"/>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399">
        <f>'High Risk Non-Compliant'!C95</f>
        <v>0</v>
      </c>
      <c r="C140" s="399"/>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399">
        <f>'High Risk Non-Compliant'!C96</f>
        <v>0</v>
      </c>
      <c r="C141" s="399"/>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399">
        <f>'High Risk Non-Compliant'!C97</f>
        <v>0</v>
      </c>
      <c r="C142" s="399"/>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399">
        <f>'High Risk Non-Compliant'!C98</f>
        <v>0</v>
      </c>
      <c r="C143" s="399"/>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399">
        <f>'High Risk Non-Compliant'!C99</f>
        <v>0</v>
      </c>
      <c r="C144" s="399"/>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399">
        <f>'High Risk Non-Compliant'!C100</f>
        <v>0</v>
      </c>
      <c r="C145" s="399"/>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399">
        <f>'High Risk Non-Compliant'!C101</f>
        <v>0</v>
      </c>
      <c r="C146" s="399"/>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399">
        <f>'High Risk Non-Compliant'!C102</f>
        <v>0</v>
      </c>
      <c r="C147" s="399"/>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399">
        <f>'High Risk Non-Compliant'!C103</f>
        <v>0</v>
      </c>
      <c r="C148" s="399"/>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399">
        <f>'High Risk Non-Compliant'!C104</f>
        <v>0</v>
      </c>
      <c r="C149" s="399"/>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399">
        <f>'High Risk Non-Compliant'!C105</f>
        <v>0</v>
      </c>
      <c r="C150" s="399"/>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399">
        <f>'High Risk Non-Compliant'!C106</f>
        <v>0</v>
      </c>
      <c r="C151" s="399"/>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399">
        <f>'High Risk Non-Compliant'!C107</f>
        <v>0</v>
      </c>
      <c r="C152" s="399"/>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399">
        <f>'High Risk Non-Compliant'!C108</f>
        <v>0</v>
      </c>
      <c r="C153" s="399"/>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399">
        <f>'High Risk Non-Compliant'!C109</f>
        <v>0</v>
      </c>
      <c r="C154" s="399"/>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399">
        <f>'High Risk Non-Compliant'!C110</f>
        <v>0</v>
      </c>
      <c r="C155" s="399"/>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399">
        <f>'High Risk Non-Compliant'!C111</f>
        <v>0</v>
      </c>
      <c r="C156" s="399"/>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399">
        <f>'High Risk Non-Compliant'!C112</f>
        <v>0</v>
      </c>
      <c r="C157" s="399"/>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399">
        <f>'High Risk Non-Compliant'!C113</f>
        <v>0</v>
      </c>
      <c r="C158" s="399"/>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399">
        <f>'High Risk Non-Compliant'!C114</f>
        <v>0</v>
      </c>
      <c r="C159" s="399"/>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399">
        <f>'High Risk Non-Compliant'!C115</f>
        <v>0</v>
      </c>
      <c r="C160" s="399"/>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399">
        <f>'High Risk Non-Compliant'!C116</f>
        <v>0</v>
      </c>
      <c r="C161" s="399"/>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399">
        <f>'High Risk Non-Compliant'!C117</f>
        <v>0</v>
      </c>
      <c r="C162" s="399"/>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399">
        <f>'High Risk Non-Compliant'!C118</f>
        <v>0</v>
      </c>
      <c r="C163" s="399"/>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399">
        <f>'High Risk Non-Compliant'!C119</f>
        <v>0</v>
      </c>
      <c r="C164" s="399"/>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399">
        <f>'High Risk Non-Compliant'!C120</f>
        <v>0</v>
      </c>
      <c r="C165" s="399"/>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399">
        <f>'High Risk Non-Compliant'!C121</f>
        <v>0</v>
      </c>
      <c r="C166" s="399"/>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399">
        <f>'High Risk Non-Compliant'!C122</f>
        <v>0</v>
      </c>
      <c r="C167" s="399"/>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399">
        <f>'High Risk Non-Compliant'!C123</f>
        <v>0</v>
      </c>
      <c r="C168" s="399"/>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399">
        <f>'High Risk Non-Compliant'!C124</f>
        <v>0</v>
      </c>
      <c r="C169" s="399"/>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399">
        <f>'High Risk Non-Compliant'!C125</f>
        <v>0</v>
      </c>
      <c r="C170" s="399"/>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399">
        <f>'High Risk Non-Compliant'!C126</f>
        <v>0</v>
      </c>
      <c r="C171" s="399"/>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399">
        <f>'High Risk Non-Compliant'!C127</f>
        <v>0</v>
      </c>
      <c r="C172" s="399"/>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399">
        <f>'High Risk Non-Compliant'!C128</f>
        <v>0</v>
      </c>
      <c r="C173" s="399"/>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399">
        <f>'High Risk Non-Compliant'!C129</f>
        <v>0</v>
      </c>
      <c r="C174" s="399"/>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399">
        <f>'High Risk Non-Compliant'!C130</f>
        <v>0</v>
      </c>
      <c r="C175" s="399"/>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399">
        <f>'High Risk Non-Compliant'!C131</f>
        <v>0</v>
      </c>
      <c r="C176" s="399"/>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399">
        <f>'High Risk Non-Compliant'!C132</f>
        <v>0</v>
      </c>
      <c r="C177" s="399"/>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399">
        <f>'High Risk Non-Compliant'!C133</f>
        <v>0</v>
      </c>
      <c r="C178" s="399"/>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399">
        <f>'High Risk Non-Compliant'!C134</f>
        <v>0</v>
      </c>
      <c r="C179" s="399"/>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399">
        <f>'High Risk Non-Compliant'!C135</f>
        <v>0</v>
      </c>
      <c r="C180" s="399"/>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399">
        <f>'High Risk Non-Compliant'!C136</f>
        <v>0</v>
      </c>
      <c r="C181" s="399"/>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399">
        <f>'High Risk Non-Compliant'!C137</f>
        <v>0</v>
      </c>
      <c r="C182" s="399"/>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399">
        <f>'High Risk Non-Compliant'!C138</f>
        <v>0</v>
      </c>
      <c r="C183" s="399"/>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399">
        <f>'High Risk Non-Compliant'!C139</f>
        <v>0</v>
      </c>
      <c r="C184" s="399"/>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399">
        <f>'High Risk Non-Compliant'!C140</f>
        <v>0</v>
      </c>
      <c r="C185" s="399"/>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399">
        <f>'High Risk Non-Compliant'!C141</f>
        <v>0</v>
      </c>
      <c r="C186" s="399"/>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399">
        <f>'High Risk Non-Compliant'!C142</f>
        <v>0</v>
      </c>
      <c r="C187" s="399"/>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399">
        <f>'High Risk Non-Compliant'!C143</f>
        <v>0</v>
      </c>
      <c r="C188" s="399"/>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399">
        <f>'High Risk Non-Compliant'!C144</f>
        <v>0</v>
      </c>
      <c r="C189" s="399"/>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399">
        <f>'High Risk Non-Compliant'!C145</f>
        <v>0</v>
      </c>
      <c r="C190" s="399"/>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399">
        <f>'High Risk Non-Compliant'!C146</f>
        <v>0</v>
      </c>
      <c r="C191" s="399"/>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399">
        <f>'High Risk Non-Compliant'!C147</f>
        <v>0</v>
      </c>
      <c r="C192" s="399"/>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399">
        <f>'High Risk Non-Compliant'!C148</f>
        <v>0</v>
      </c>
      <c r="C193" s="399"/>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399">
        <f>'High Risk Non-Compliant'!C149</f>
        <v>0</v>
      </c>
      <c r="C194" s="399"/>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399">
        <f>'High Risk Non-Compliant'!C150</f>
        <v>0</v>
      </c>
      <c r="C195" s="399"/>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399">
        <f>'High Risk Non-Compliant'!C151</f>
        <v>0</v>
      </c>
      <c r="C196" s="399"/>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399">
        <f>'High Risk Non-Compliant'!C152</f>
        <v>0</v>
      </c>
      <c r="C197" s="399"/>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399">
        <f>'High Risk Non-Compliant'!C153</f>
        <v>0</v>
      </c>
      <c r="C198" s="399"/>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399">
        <f>'High Risk Non-Compliant'!C154</f>
        <v>0</v>
      </c>
      <c r="C199" s="399"/>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399">
        <f>'High Risk Non-Compliant'!C155</f>
        <v>0</v>
      </c>
      <c r="C200" s="399"/>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399">
        <f>'High Risk Non-Compliant'!C156</f>
        <v>0</v>
      </c>
      <c r="C201" s="399"/>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399">
        <f>'High Risk Non-Compliant'!C157</f>
        <v>0</v>
      </c>
      <c r="C202" s="399"/>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399">
        <f>'High Risk Non-Compliant'!C158</f>
        <v>0</v>
      </c>
      <c r="C203" s="399"/>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399">
        <f>'High Risk Non-Compliant'!C159</f>
        <v>0</v>
      </c>
      <c r="C204" s="399"/>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399">
        <f>'High Risk Non-Compliant'!C160</f>
        <v>0</v>
      </c>
      <c r="C205" s="399"/>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399">
        <f>'High Risk Non-Compliant'!C161</f>
        <v>0</v>
      </c>
      <c r="C206" s="399"/>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399">
        <f>'High Risk Non-Compliant'!C162</f>
        <v>0</v>
      </c>
      <c r="C207" s="399"/>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399">
        <f>'High Risk Non-Compliant'!C163</f>
        <v>0</v>
      </c>
      <c r="C208" s="399"/>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399">
        <f>'High Risk Non-Compliant'!C164</f>
        <v>0</v>
      </c>
      <c r="C209" s="399"/>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399">
        <f>'High Risk Non-Compliant'!C165</f>
        <v>0</v>
      </c>
      <c r="C210" s="399"/>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399">
        <f>'High Risk Non-Compliant'!C166</f>
        <v>0</v>
      </c>
      <c r="C211" s="399"/>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399">
        <f>'High Risk Non-Compliant'!C167</f>
        <v>0</v>
      </c>
      <c r="C212" s="399"/>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399">
        <f>'High Risk Non-Compliant'!C168</f>
        <v>0</v>
      </c>
      <c r="C213" s="399"/>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399">
        <f>'High Risk Non-Compliant'!C169</f>
        <v>0</v>
      </c>
      <c r="C214" s="399"/>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399">
        <f>'High Risk Non-Compliant'!C170</f>
        <v>0</v>
      </c>
      <c r="C215" s="399"/>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399">
        <f>'High Risk Non-Compliant'!C171</f>
        <v>0</v>
      </c>
      <c r="C216" s="399"/>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399">
        <f>'High Risk Non-Compliant'!C172</f>
        <v>0</v>
      </c>
      <c r="C217" s="399"/>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01">
        <f>'High Risk Non-Compliant'!C173</f>
        <v>0</v>
      </c>
      <c r="C218" s="401"/>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01">
        <f>'High Risk Non-Compliant'!C174</f>
        <v>0</v>
      </c>
      <c r="C219" s="401"/>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01">
        <f>'High Risk Non-Compliant'!C175</f>
        <v>0</v>
      </c>
      <c r="C220" s="401"/>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01">
        <f>'High Risk Non-Compliant'!C176</f>
        <v>0</v>
      </c>
      <c r="C221" s="401"/>
      <c r="D221" s="68">
        <f>VLOOKUP(A221,'High Risk Non-Compliant'!B:K,$E$49,FALSE)</f>
        <v>0</v>
      </c>
      <c r="E221" s="68" t="e">
        <f>VLOOKUP(D221,'Crosswalk Detail'!A:B,2,FALSE)</f>
        <v>#N/A</v>
      </c>
    </row>
    <row r="222" spans="1:5" ht="144" customHeight="1" x14ac:dyDescent="0.2">
      <c r="A222" s="70">
        <f>'High Risk Non-Compliant'!B177</f>
        <v>0</v>
      </c>
      <c r="B222" s="401">
        <f>'High Risk Non-Compliant'!C177</f>
        <v>0</v>
      </c>
      <c r="C222" s="401"/>
      <c r="D222" s="68">
        <f>VLOOKUP(A222,'High Risk Non-Compliant'!B:K,$E$49,FALSE)</f>
        <v>0</v>
      </c>
      <c r="E222" s="68" t="e">
        <f>VLOOKUP(D222,'Crosswalk Detail'!A:B,2,FALSE)</f>
        <v>#N/A</v>
      </c>
    </row>
    <row r="223" spans="1:5" ht="144" customHeight="1" x14ac:dyDescent="0.2">
      <c r="A223" s="70">
        <f>'High Risk Non-Compliant'!B178</f>
        <v>0</v>
      </c>
      <c r="B223" s="401">
        <f>'High Risk Non-Compliant'!C178</f>
        <v>0</v>
      </c>
      <c r="C223" s="401"/>
      <c r="D223" s="68">
        <f>VLOOKUP(A223,'High Risk Non-Compliant'!B:K,$E$49,FALSE)</f>
        <v>0</v>
      </c>
      <c r="E223" s="68" t="e">
        <f>VLOOKUP(D223,'Crosswalk Detail'!A:B,2,FALSE)</f>
        <v>#N/A</v>
      </c>
    </row>
    <row r="224" spans="1:5" ht="144" customHeight="1" x14ac:dyDescent="0.2">
      <c r="A224" s="70">
        <f>'High Risk Non-Compliant'!B179</f>
        <v>0</v>
      </c>
      <c r="B224" s="401">
        <f>'High Risk Non-Compliant'!C179</f>
        <v>0</v>
      </c>
      <c r="C224" s="401"/>
      <c r="D224" s="68">
        <f>VLOOKUP(A224,'High Risk Non-Compliant'!B:K,$E$49,FALSE)</f>
        <v>0</v>
      </c>
      <c r="E224" s="68" t="e">
        <f>VLOOKUP(D224,'Crosswalk Detail'!A:B,2,FALSE)</f>
        <v>#N/A</v>
      </c>
    </row>
    <row r="225" spans="1:5" ht="144" customHeight="1" x14ac:dyDescent="0.2">
      <c r="A225" s="70">
        <f>'High Risk Non-Compliant'!B180</f>
        <v>0</v>
      </c>
      <c r="B225" s="401">
        <f>'High Risk Non-Compliant'!C180</f>
        <v>0</v>
      </c>
      <c r="C225" s="401"/>
      <c r="D225" s="68">
        <f>VLOOKUP(A225,'High Risk Non-Compliant'!B:K,$E$49,FALSE)</f>
        <v>0</v>
      </c>
      <c r="E225" s="68" t="e">
        <f>VLOOKUP(D225,'Crosswalk Detail'!A:B,2,FALSE)</f>
        <v>#N/A</v>
      </c>
    </row>
    <row r="226" spans="1:5" ht="144" customHeight="1" x14ac:dyDescent="0.2">
      <c r="A226" s="70">
        <f>'High Risk Non-Compliant'!B181</f>
        <v>0</v>
      </c>
      <c r="B226" s="401">
        <f>'High Risk Non-Compliant'!C181</f>
        <v>0</v>
      </c>
      <c r="C226" s="401"/>
      <c r="D226" s="68">
        <f>VLOOKUP(A226,'High Risk Non-Compliant'!B:K,$E$49,FALSE)</f>
        <v>0</v>
      </c>
      <c r="E226" s="68" t="e">
        <f>VLOOKUP(D226,'Crosswalk Detail'!A:B,2,FALSE)</f>
        <v>#N/A</v>
      </c>
    </row>
    <row r="227" spans="1:5" x14ac:dyDescent="0.2">
      <c r="A227" s="71">
        <f>'High Risk Non-Compliant'!B182</f>
        <v>0</v>
      </c>
      <c r="B227" s="402">
        <f>'High Risk Non-Compliant'!C182</f>
        <v>0</v>
      </c>
      <c r="C227" s="402"/>
      <c r="D227" s="68"/>
      <c r="E227" s="68"/>
    </row>
    <row r="228" spans="1:5" ht="29.25" customHeight="1" x14ac:dyDescent="0.2">
      <c r="A228" s="71">
        <f>'High Risk Non-Compliant'!B183</f>
        <v>0</v>
      </c>
      <c r="B228" s="402">
        <f>'High Risk Non-Compliant'!C183</f>
        <v>0</v>
      </c>
      <c r="C228" s="402"/>
      <c r="D228" s="68"/>
      <c r="E228" s="68"/>
    </row>
    <row r="229" spans="1:5" ht="29.25" customHeight="1" x14ac:dyDescent="0.2">
      <c r="A229" s="71">
        <f>'High Risk Non-Compliant'!B184</f>
        <v>0</v>
      </c>
      <c r="B229" s="402">
        <f>'High Risk Non-Compliant'!C184</f>
        <v>0</v>
      </c>
      <c r="C229" s="402"/>
      <c r="D229" s="68"/>
      <c r="E229" s="68"/>
    </row>
    <row r="230" spans="1:5" x14ac:dyDescent="0.2">
      <c r="A230" s="71">
        <f>'High Risk Non-Compliant'!B185</f>
        <v>0</v>
      </c>
      <c r="B230" s="402">
        <f>'High Risk Non-Compliant'!C185</f>
        <v>0</v>
      </c>
      <c r="C230" s="402"/>
      <c r="D230" s="68"/>
      <c r="E230" s="68"/>
    </row>
    <row r="231" spans="1:5" ht="29.25" customHeight="1" x14ac:dyDescent="0.2">
      <c r="A231" s="71">
        <f>'High Risk Non-Compliant'!B186</f>
        <v>0</v>
      </c>
      <c r="B231" s="402">
        <f>'High Risk Non-Compliant'!C186</f>
        <v>0</v>
      </c>
      <c r="C231" s="402"/>
      <c r="D231" s="68"/>
      <c r="E231" s="68"/>
    </row>
    <row r="232" spans="1:5" ht="29.25" customHeight="1" x14ac:dyDescent="0.2">
      <c r="A232" s="71">
        <f>'High Risk Non-Compliant'!B187</f>
        <v>0</v>
      </c>
      <c r="B232" s="402">
        <f>'High Risk Non-Compliant'!C187</f>
        <v>0</v>
      </c>
      <c r="C232" s="402"/>
      <c r="D232" s="68"/>
      <c r="E232" s="68"/>
    </row>
    <row r="233" spans="1:5" ht="44" customHeight="1" x14ac:dyDescent="0.2">
      <c r="A233" s="71">
        <f>'High Risk Non-Compliant'!B188</f>
        <v>0</v>
      </c>
      <c r="B233" s="402">
        <f>'High Risk Non-Compliant'!C188</f>
        <v>0</v>
      </c>
      <c r="C233" s="402"/>
      <c r="D233" s="68"/>
      <c r="E233" s="68"/>
    </row>
    <row r="234" spans="1:5" x14ac:dyDescent="0.2">
      <c r="A234" s="71">
        <f>'High Risk Non-Compliant'!B189</f>
        <v>0</v>
      </c>
      <c r="B234" s="402">
        <f>'High Risk Non-Compliant'!C189</f>
        <v>0</v>
      </c>
      <c r="C234" s="402"/>
      <c r="D234" s="68"/>
      <c r="E234" s="68"/>
    </row>
    <row r="235" spans="1:5" x14ac:dyDescent="0.2">
      <c r="A235" s="71">
        <f>'High Risk Non-Compliant'!B190</f>
        <v>0</v>
      </c>
      <c r="B235" s="402">
        <f>'High Risk Non-Compliant'!C190</f>
        <v>0</v>
      </c>
      <c r="C235" s="402"/>
      <c r="D235" s="68"/>
      <c r="E235" s="68"/>
    </row>
    <row r="236" spans="1:5" x14ac:dyDescent="0.2">
      <c r="A236" s="71">
        <f>'High Risk Non-Compliant'!B191</f>
        <v>0</v>
      </c>
      <c r="B236" s="402">
        <f>'High Risk Non-Compliant'!C191</f>
        <v>0</v>
      </c>
      <c r="C236" s="402"/>
      <c r="D236" s="68"/>
      <c r="E236" s="68"/>
    </row>
    <row r="237" spans="1:5" x14ac:dyDescent="0.2">
      <c r="A237" s="71">
        <f>'High Risk Non-Compliant'!B192</f>
        <v>0</v>
      </c>
      <c r="B237" s="402">
        <f>'High Risk Non-Compliant'!C192</f>
        <v>0</v>
      </c>
      <c r="C237" s="402"/>
      <c r="D237" s="68"/>
      <c r="E237" s="68"/>
    </row>
    <row r="238" spans="1:5" x14ac:dyDescent="0.2">
      <c r="A238" s="71">
        <f>'High Risk Non-Compliant'!B193</f>
        <v>0</v>
      </c>
      <c r="B238" s="402">
        <f>'High Risk Non-Compliant'!C193</f>
        <v>0</v>
      </c>
      <c r="C238" s="402"/>
      <c r="D238" s="68"/>
      <c r="E238" s="68"/>
    </row>
    <row r="239" spans="1:5" x14ac:dyDescent="0.2">
      <c r="A239" s="71">
        <f>'High Risk Non-Compliant'!B194</f>
        <v>0</v>
      </c>
      <c r="B239" s="402">
        <f>'High Risk Non-Compliant'!C194</f>
        <v>0</v>
      </c>
      <c r="C239" s="402"/>
      <c r="D239" s="68"/>
      <c r="E239" s="68"/>
    </row>
    <row r="240" spans="1:5" x14ac:dyDescent="0.2">
      <c r="A240" s="71">
        <f>'High Risk Non-Compliant'!B195</f>
        <v>0</v>
      </c>
      <c r="B240" s="402">
        <f>'High Risk Non-Compliant'!C195</f>
        <v>0</v>
      </c>
      <c r="C240" s="402"/>
      <c r="D240" s="68"/>
      <c r="E240" s="68"/>
    </row>
    <row r="241" spans="1:5" x14ac:dyDescent="0.2">
      <c r="A241" s="71">
        <f>'High Risk Non-Compliant'!B196</f>
        <v>0</v>
      </c>
      <c r="B241" s="402">
        <f>'High Risk Non-Compliant'!C196</f>
        <v>0</v>
      </c>
      <c r="C241" s="402"/>
      <c r="D241" s="68"/>
      <c r="E241" s="68"/>
    </row>
    <row r="242" spans="1:5" x14ac:dyDescent="0.2">
      <c r="A242" s="71">
        <f>'High Risk Non-Compliant'!B197</f>
        <v>0</v>
      </c>
      <c r="B242" s="402">
        <f>'High Risk Non-Compliant'!C197</f>
        <v>0</v>
      </c>
      <c r="C242" s="402"/>
      <c r="D242" s="68"/>
      <c r="E242" s="68"/>
    </row>
    <row r="243" spans="1:5" x14ac:dyDescent="0.2">
      <c r="A243" s="71">
        <f>'High Risk Non-Compliant'!B198</f>
        <v>0</v>
      </c>
      <c r="B243" s="402">
        <f>'High Risk Non-Compliant'!C198</f>
        <v>0</v>
      </c>
      <c r="C243" s="402"/>
      <c r="D243" s="68"/>
      <c r="E243" s="68"/>
    </row>
    <row r="244" spans="1:5" ht="29.25" customHeight="1" x14ac:dyDescent="0.2">
      <c r="A244" s="71">
        <f>'High Risk Non-Compliant'!B199</f>
        <v>0</v>
      </c>
      <c r="B244" s="402">
        <f>'High Risk Non-Compliant'!C199</f>
        <v>0</v>
      </c>
      <c r="C244" s="402"/>
      <c r="D244" s="68"/>
      <c r="E244" s="68"/>
    </row>
    <row r="245" spans="1:5" ht="29.25" customHeight="1" x14ac:dyDescent="0.2">
      <c r="A245" s="71">
        <f>'High Risk Non-Compliant'!B200</f>
        <v>0</v>
      </c>
      <c r="B245" s="402">
        <f>'High Risk Non-Compliant'!C200</f>
        <v>0</v>
      </c>
      <c r="C245" s="402"/>
      <c r="D245" s="68"/>
      <c r="E245" s="68"/>
    </row>
    <row r="246" spans="1:5" ht="58.5" customHeight="1" x14ac:dyDescent="0.2">
      <c r="A246" s="71">
        <f>'High Risk Non-Compliant'!B201</f>
        <v>0</v>
      </c>
      <c r="B246" s="402">
        <f>'High Risk Non-Compliant'!C201</f>
        <v>0</v>
      </c>
      <c r="C246" s="402"/>
      <c r="D246" s="68"/>
      <c r="E246" s="68"/>
    </row>
    <row r="247" spans="1:5" ht="44" customHeight="1" x14ac:dyDescent="0.2">
      <c r="A247" s="71">
        <f>'High Risk Non-Compliant'!B202</f>
        <v>0</v>
      </c>
      <c r="B247" s="402">
        <f>'High Risk Non-Compliant'!C202</f>
        <v>0</v>
      </c>
      <c r="C247" s="402"/>
      <c r="D247" s="68"/>
      <c r="E247" s="68"/>
    </row>
    <row r="248" spans="1:5" ht="29.25" customHeight="1" x14ac:dyDescent="0.2">
      <c r="A248" s="71">
        <f>'High Risk Non-Compliant'!B203</f>
        <v>0</v>
      </c>
      <c r="B248" s="402">
        <f>'High Risk Non-Compliant'!C203</f>
        <v>0</v>
      </c>
      <c r="C248" s="402"/>
      <c r="D248" s="68"/>
      <c r="E248" s="68"/>
    </row>
    <row r="249" spans="1:5" ht="44" customHeight="1" x14ac:dyDescent="0.2">
      <c r="A249" s="71">
        <f>'High Risk Non-Compliant'!B204</f>
        <v>0</v>
      </c>
      <c r="B249" s="402">
        <f>'High Risk Non-Compliant'!C204</f>
        <v>0</v>
      </c>
      <c r="C249" s="402"/>
      <c r="D249" s="68"/>
      <c r="E249" s="68"/>
    </row>
    <row r="250" spans="1:5" ht="29.25" customHeight="1" x14ac:dyDescent="0.2">
      <c r="A250" s="71">
        <f>'High Risk Non-Compliant'!B205</f>
        <v>0</v>
      </c>
      <c r="B250" s="402">
        <f>'High Risk Non-Compliant'!C205</f>
        <v>0</v>
      </c>
      <c r="C250" s="402"/>
      <c r="D250" s="68"/>
      <c r="E250" s="68"/>
    </row>
    <row r="251" spans="1:5" ht="175.5" customHeight="1" x14ac:dyDescent="0.2">
      <c r="A251" s="71">
        <f>'High Risk Non-Compliant'!B206</f>
        <v>0</v>
      </c>
      <c r="B251" s="402">
        <f>'High Risk Non-Compliant'!C206</f>
        <v>0</v>
      </c>
      <c r="C251" s="402"/>
      <c r="D251" s="68"/>
      <c r="E251" s="68"/>
    </row>
    <row r="252" spans="1:5" ht="73.25" customHeight="1" x14ac:dyDescent="0.2">
      <c r="A252" s="71">
        <f>'High Risk Non-Compliant'!B207</f>
        <v>0</v>
      </c>
      <c r="B252" s="402">
        <f>'High Risk Non-Compliant'!C207</f>
        <v>0</v>
      </c>
      <c r="C252" s="402"/>
      <c r="D252" s="68"/>
      <c r="E252" s="68"/>
    </row>
    <row r="253" spans="1:5" ht="87.75" customHeight="1" x14ac:dyDescent="0.2">
      <c r="A253" s="71">
        <f>'High Risk Non-Compliant'!B208</f>
        <v>0</v>
      </c>
      <c r="B253" s="402">
        <f>'High Risk Non-Compliant'!C208</f>
        <v>0</v>
      </c>
      <c r="C253" s="402"/>
      <c r="D253" s="68"/>
      <c r="E253" s="68"/>
    </row>
    <row r="254" spans="1:5" x14ac:dyDescent="0.2">
      <c r="A254" s="71">
        <f>'High Risk Non-Compliant'!B209</f>
        <v>0</v>
      </c>
      <c r="B254" s="402">
        <f>'High Risk Non-Compliant'!C209</f>
        <v>0</v>
      </c>
      <c r="C254" s="402"/>
      <c r="D254" s="68"/>
      <c r="E254" s="68"/>
    </row>
    <row r="255" spans="1:5" ht="29.25" customHeight="1" x14ac:dyDescent="0.2">
      <c r="A255" s="71">
        <f>'High Risk Non-Compliant'!B210</f>
        <v>0</v>
      </c>
      <c r="B255" s="402">
        <f>'High Risk Non-Compliant'!C210</f>
        <v>0</v>
      </c>
      <c r="C255" s="402"/>
      <c r="D255" s="68"/>
      <c r="E255" s="68"/>
    </row>
    <row r="256" spans="1:5" x14ac:dyDescent="0.2">
      <c r="A256" s="71">
        <f>'High Risk Non-Compliant'!B211</f>
        <v>0</v>
      </c>
      <c r="B256" s="402">
        <f>'High Risk Non-Compliant'!C211</f>
        <v>0</v>
      </c>
      <c r="C256" s="402"/>
      <c r="D256" s="68"/>
      <c r="E256" s="68"/>
    </row>
    <row r="257" spans="1:5" x14ac:dyDescent="0.2">
      <c r="A257" s="71">
        <f>'High Risk Non-Compliant'!B212</f>
        <v>0</v>
      </c>
      <c r="B257" s="402">
        <f>'High Risk Non-Compliant'!C212</f>
        <v>0</v>
      </c>
      <c r="C257" s="402"/>
      <c r="D257" s="68"/>
      <c r="E257" s="68"/>
    </row>
    <row r="258" spans="1:5" x14ac:dyDescent="0.2">
      <c r="A258" s="71">
        <f>'High Risk Non-Compliant'!B213</f>
        <v>0</v>
      </c>
      <c r="B258" s="402">
        <f>'High Risk Non-Compliant'!C213</f>
        <v>0</v>
      </c>
      <c r="C258" s="402"/>
      <c r="D258" s="68"/>
      <c r="E258" s="68"/>
    </row>
    <row r="259" spans="1:5" x14ac:dyDescent="0.2">
      <c r="A259" s="71">
        <f>'High Risk Non-Compliant'!B214</f>
        <v>0</v>
      </c>
      <c r="B259" s="402">
        <f>'High Risk Non-Compliant'!C214</f>
        <v>0</v>
      </c>
      <c r="C259" s="402"/>
      <c r="D259" s="68"/>
      <c r="E259" s="68"/>
    </row>
    <row r="260" spans="1:5" x14ac:dyDescent="0.2">
      <c r="A260" s="71">
        <f>'High Risk Non-Compliant'!B215</f>
        <v>0</v>
      </c>
      <c r="B260" s="402">
        <f>'High Risk Non-Compliant'!C215</f>
        <v>0</v>
      </c>
      <c r="C260" s="402"/>
      <c r="D260" s="68"/>
      <c r="E260" s="68"/>
    </row>
    <row r="261" spans="1:5" x14ac:dyDescent="0.2">
      <c r="A261" s="71">
        <f>'High Risk Non-Compliant'!B216</f>
        <v>0</v>
      </c>
      <c r="B261" s="402">
        <f>'High Risk Non-Compliant'!C216</f>
        <v>0</v>
      </c>
      <c r="C261" s="402"/>
      <c r="D261" s="68"/>
      <c r="E261" s="68"/>
    </row>
    <row r="262" spans="1:5" x14ac:dyDescent="0.2">
      <c r="A262" s="71">
        <f>'High Risk Non-Compliant'!B217</f>
        <v>0</v>
      </c>
      <c r="B262" s="402">
        <f>'High Risk Non-Compliant'!C217</f>
        <v>0</v>
      </c>
      <c r="C262" s="402"/>
      <c r="D262" s="68"/>
      <c r="E262" s="68"/>
    </row>
    <row r="263" spans="1:5" x14ac:dyDescent="0.2">
      <c r="A263" s="71">
        <f>'High Risk Non-Compliant'!B218</f>
        <v>0</v>
      </c>
      <c r="B263" s="402">
        <f>'High Risk Non-Compliant'!C218</f>
        <v>0</v>
      </c>
      <c r="C263" s="402"/>
      <c r="D263" s="68"/>
      <c r="E263" s="68"/>
    </row>
    <row r="264" spans="1:5" x14ac:dyDescent="0.2">
      <c r="A264" s="71">
        <f>'High Risk Non-Compliant'!B219</f>
        <v>0</v>
      </c>
      <c r="B264" s="402">
        <f>'High Risk Non-Compliant'!C219</f>
        <v>0</v>
      </c>
      <c r="C264" s="402"/>
      <c r="D264" s="68"/>
      <c r="E264" s="68"/>
    </row>
    <row r="265" spans="1:5" x14ac:dyDescent="0.2">
      <c r="A265" s="71">
        <f>'High Risk Non-Compliant'!B220</f>
        <v>0</v>
      </c>
      <c r="B265" s="402">
        <f>'High Risk Non-Compliant'!C220</f>
        <v>0</v>
      </c>
      <c r="C265" s="402"/>
      <c r="D265" s="68"/>
      <c r="E265" s="68"/>
    </row>
    <row r="266" spans="1:5" ht="58.5" customHeight="1" x14ac:dyDescent="0.2">
      <c r="A266" s="71">
        <f>'High Risk Non-Compliant'!B221</f>
        <v>0</v>
      </c>
      <c r="B266" s="402">
        <f>'High Risk Non-Compliant'!C221</f>
        <v>0</v>
      </c>
      <c r="C266" s="402"/>
      <c r="D266" s="68"/>
      <c r="E266" s="68"/>
    </row>
    <row r="267" spans="1:5" ht="58.5" customHeight="1" x14ac:dyDescent="0.2">
      <c r="A267" s="71">
        <f>'High Risk Non-Compliant'!B222</f>
        <v>0</v>
      </c>
      <c r="B267" s="402">
        <f>'High Risk Non-Compliant'!C222</f>
        <v>0</v>
      </c>
      <c r="C267" s="402"/>
      <c r="D267" s="68"/>
      <c r="E267" s="68"/>
    </row>
    <row r="268" spans="1:5" ht="58.5" customHeight="1" x14ac:dyDescent="0.2">
      <c r="A268" s="71">
        <f>'High Risk Non-Compliant'!B223</f>
        <v>0</v>
      </c>
      <c r="B268" s="402">
        <f>'High Risk Non-Compliant'!C223</f>
        <v>0</v>
      </c>
      <c r="C268" s="402"/>
      <c r="D268" s="68"/>
      <c r="E268" s="68"/>
    </row>
    <row r="269" spans="1:5" ht="58.5" customHeight="1" x14ac:dyDescent="0.2">
      <c r="A269" s="71">
        <f>'High Risk Non-Compliant'!B224</f>
        <v>0</v>
      </c>
      <c r="B269" s="402">
        <f>'High Risk Non-Compliant'!C224</f>
        <v>0</v>
      </c>
      <c r="C269" s="402"/>
      <c r="D269" s="68"/>
      <c r="E269" s="68"/>
    </row>
    <row r="270" spans="1:5" ht="58.5" customHeight="1" x14ac:dyDescent="0.2">
      <c r="A270" s="71">
        <f>'High Risk Non-Compliant'!B225</f>
        <v>0</v>
      </c>
      <c r="B270" s="402">
        <f>'High Risk Non-Compliant'!C225</f>
        <v>0</v>
      </c>
      <c r="C270" s="402"/>
      <c r="D270" s="68"/>
      <c r="E270" s="68"/>
    </row>
    <row r="271" spans="1:5" ht="58.5" customHeight="1" x14ac:dyDescent="0.2">
      <c r="A271" s="71">
        <f>'High Risk Non-Compliant'!B226</f>
        <v>0</v>
      </c>
      <c r="B271" s="402">
        <f>'High Risk Non-Compliant'!C226</f>
        <v>0</v>
      </c>
      <c r="C271" s="402"/>
      <c r="D271" s="68"/>
      <c r="E271" s="68"/>
    </row>
    <row r="272" spans="1:5" ht="58.5" customHeight="1" x14ac:dyDescent="0.2">
      <c r="A272" s="71">
        <f>'High Risk Non-Compliant'!B227</f>
        <v>0</v>
      </c>
      <c r="B272" s="402">
        <f>'High Risk Non-Compliant'!C227</f>
        <v>0</v>
      </c>
      <c r="C272" s="402"/>
      <c r="D272" s="68"/>
      <c r="E272" s="68"/>
    </row>
    <row r="273" spans="1:5" x14ac:dyDescent="0.2">
      <c r="A273" s="71">
        <f>'High Risk Non-Compliant'!B228</f>
        <v>0</v>
      </c>
      <c r="B273" s="402">
        <f>'High Risk Non-Compliant'!C228</f>
        <v>0</v>
      </c>
      <c r="C273" s="402"/>
      <c r="D273" s="68"/>
      <c r="E273" s="68"/>
    </row>
    <row r="274" spans="1:5" x14ac:dyDescent="0.2">
      <c r="A274" s="71">
        <f>'High Risk Non-Compliant'!B229</f>
        <v>0</v>
      </c>
      <c r="B274" s="402">
        <f>'High Risk Non-Compliant'!C229</f>
        <v>0</v>
      </c>
      <c r="C274" s="402"/>
      <c r="D274" s="68"/>
      <c r="E274" s="68"/>
    </row>
    <row r="275" spans="1:5" x14ac:dyDescent="0.2">
      <c r="A275" s="71">
        <f>'High Risk Non-Compliant'!B230</f>
        <v>0</v>
      </c>
      <c r="B275" s="402">
        <f>'High Risk Non-Compliant'!C230</f>
        <v>0</v>
      </c>
      <c r="C275" s="402"/>
      <c r="D275" s="68"/>
      <c r="E275" s="68"/>
    </row>
    <row r="276" spans="1:5" ht="44" customHeight="1" x14ac:dyDescent="0.2">
      <c r="A276" s="71">
        <f>'High Risk Non-Compliant'!B231</f>
        <v>0</v>
      </c>
      <c r="B276" s="402">
        <f>'High Risk Non-Compliant'!C231</f>
        <v>0</v>
      </c>
      <c r="C276" s="402"/>
      <c r="D276" s="68"/>
      <c r="E276" s="68"/>
    </row>
    <row r="277" spans="1:5" ht="44" customHeight="1" x14ac:dyDescent="0.2">
      <c r="A277" s="71">
        <f>'High Risk Non-Compliant'!B232</f>
        <v>0</v>
      </c>
      <c r="B277" s="402">
        <f>'High Risk Non-Compliant'!C232</f>
        <v>0</v>
      </c>
      <c r="C277" s="402"/>
      <c r="D277" s="68"/>
      <c r="E277" s="68"/>
    </row>
    <row r="278" spans="1:5" ht="44" customHeight="1" x14ac:dyDescent="0.2">
      <c r="A278" s="71">
        <f>'High Risk Non-Compliant'!B233</f>
        <v>0</v>
      </c>
      <c r="B278" s="402">
        <f>'High Risk Non-Compliant'!C233</f>
        <v>0</v>
      </c>
      <c r="C278" s="402"/>
      <c r="D278" s="68"/>
      <c r="E278" s="68"/>
    </row>
    <row r="279" spans="1:5" ht="44" customHeight="1" x14ac:dyDescent="0.2">
      <c r="A279" s="71">
        <f>'High Risk Non-Compliant'!B234</f>
        <v>0</v>
      </c>
      <c r="B279" s="402">
        <f>'High Risk Non-Compliant'!C234</f>
        <v>0</v>
      </c>
      <c r="C279" s="402"/>
      <c r="D279" s="68"/>
      <c r="E279" s="68"/>
    </row>
    <row r="280" spans="1:5" ht="44" customHeight="1" x14ac:dyDescent="0.2">
      <c r="A280" s="71">
        <f>'High Risk Non-Compliant'!B235</f>
        <v>0</v>
      </c>
      <c r="B280" s="402">
        <f>'High Risk Non-Compliant'!C235</f>
        <v>0</v>
      </c>
      <c r="C280" s="402"/>
      <c r="D280" s="68"/>
      <c r="E280" s="68"/>
    </row>
    <row r="281" spans="1:5" ht="44" customHeight="1" x14ac:dyDescent="0.2">
      <c r="A281" s="71">
        <f>'High Risk Non-Compliant'!B236</f>
        <v>0</v>
      </c>
      <c r="B281" s="402">
        <f>'High Risk Non-Compliant'!C236</f>
        <v>0</v>
      </c>
      <c r="C281" s="402"/>
      <c r="D281" s="68"/>
      <c r="E281" s="68"/>
    </row>
    <row r="282" spans="1:5" ht="44" customHeight="1" x14ac:dyDescent="0.2">
      <c r="A282" s="71">
        <f>'High Risk Non-Compliant'!B237</f>
        <v>0</v>
      </c>
      <c r="B282" s="402">
        <f>'High Risk Non-Compliant'!C237</f>
        <v>0</v>
      </c>
      <c r="C282" s="402"/>
      <c r="D282" s="68"/>
      <c r="E282" s="68"/>
    </row>
    <row r="283" spans="1:5" ht="29.25" customHeight="1" x14ac:dyDescent="0.2">
      <c r="A283" s="71">
        <f>'High Risk Non-Compliant'!B238</f>
        <v>0</v>
      </c>
      <c r="B283" s="402">
        <f>'High Risk Non-Compliant'!C238</f>
        <v>0</v>
      </c>
      <c r="C283" s="402"/>
      <c r="D283" s="68"/>
      <c r="E283" s="68"/>
    </row>
    <row r="284" spans="1:5" ht="29.25" customHeight="1" x14ac:dyDescent="0.2">
      <c r="A284" s="71">
        <f>'High Risk Non-Compliant'!B239</f>
        <v>0</v>
      </c>
      <c r="B284" s="402">
        <f>'High Risk Non-Compliant'!C239</f>
        <v>0</v>
      </c>
      <c r="C284" s="402"/>
      <c r="D284" s="68"/>
      <c r="E284" s="68"/>
    </row>
    <row r="285" spans="1:5" ht="29.25" customHeight="1" x14ac:dyDescent="0.2">
      <c r="A285" s="71">
        <f>'High Risk Non-Compliant'!B240</f>
        <v>0</v>
      </c>
      <c r="B285" s="402">
        <f>'High Risk Non-Compliant'!C240</f>
        <v>0</v>
      </c>
      <c r="C285" s="402"/>
      <c r="D285" s="68"/>
      <c r="E285" s="68"/>
    </row>
    <row r="286" spans="1:5" x14ac:dyDescent="0.2">
      <c r="A286" s="71">
        <f>'High Risk Non-Compliant'!B241</f>
        <v>0</v>
      </c>
      <c r="B286" s="402">
        <f>'High Risk Non-Compliant'!C241</f>
        <v>0</v>
      </c>
      <c r="C286" s="402"/>
      <c r="D286" s="68"/>
      <c r="E286" s="68"/>
    </row>
    <row r="287" spans="1:5" x14ac:dyDescent="0.2">
      <c r="A287" s="71">
        <f>'High Risk Non-Compliant'!B242</f>
        <v>0</v>
      </c>
      <c r="B287" s="402">
        <f>'High Risk Non-Compliant'!C242</f>
        <v>0</v>
      </c>
      <c r="C287" s="402"/>
      <c r="D287" s="68"/>
      <c r="E287" s="68"/>
    </row>
    <row r="288" spans="1:5" ht="44" customHeight="1" x14ac:dyDescent="0.2">
      <c r="A288" s="71">
        <f>'High Risk Non-Compliant'!B243</f>
        <v>0</v>
      </c>
      <c r="B288" s="402">
        <f>'High Risk Non-Compliant'!C243</f>
        <v>0</v>
      </c>
      <c r="C288" s="402"/>
      <c r="D288" s="68"/>
      <c r="E288" s="68"/>
    </row>
    <row r="289" spans="1:5" ht="44" customHeight="1" x14ac:dyDescent="0.2">
      <c r="A289" s="71">
        <f>'High Risk Non-Compliant'!B244</f>
        <v>0</v>
      </c>
      <c r="B289" s="402">
        <f>'High Risk Non-Compliant'!C244</f>
        <v>0</v>
      </c>
      <c r="C289" s="402"/>
      <c r="D289" s="68"/>
      <c r="E289" s="68"/>
    </row>
    <row r="290" spans="1:5" ht="87.75" customHeight="1" x14ac:dyDescent="0.2">
      <c r="A290" s="71">
        <f>'High Risk Non-Compliant'!B245</f>
        <v>0</v>
      </c>
      <c r="B290" s="402">
        <f>'High Risk Non-Compliant'!C245</f>
        <v>0</v>
      </c>
      <c r="C290" s="402"/>
      <c r="D290" s="68"/>
      <c r="E290" s="68"/>
    </row>
    <row r="291" spans="1:5" ht="73.25" customHeight="1" x14ac:dyDescent="0.2">
      <c r="A291" s="71">
        <f>'High Risk Non-Compliant'!B246</f>
        <v>0</v>
      </c>
      <c r="B291" s="402">
        <f>'High Risk Non-Compliant'!C246</f>
        <v>0</v>
      </c>
      <c r="C291" s="402"/>
      <c r="D291" s="68"/>
      <c r="E291" s="68"/>
    </row>
    <row r="292" spans="1:5" ht="73.25" customHeight="1" x14ac:dyDescent="0.2">
      <c r="A292" s="71">
        <f>'High Risk Non-Compliant'!B247</f>
        <v>0</v>
      </c>
      <c r="B292" s="402">
        <f>'High Risk Non-Compliant'!C247</f>
        <v>0</v>
      </c>
      <c r="C292" s="402"/>
      <c r="D292" s="68"/>
      <c r="E292" s="68"/>
    </row>
    <row r="293" spans="1:5" ht="44" customHeight="1" x14ac:dyDescent="0.2">
      <c r="A293" s="71">
        <f>'High Risk Non-Compliant'!B248</f>
        <v>0</v>
      </c>
      <c r="B293" s="402">
        <f>'High Risk Non-Compliant'!C248</f>
        <v>0</v>
      </c>
      <c r="C293" s="402"/>
      <c r="D293" s="68"/>
      <c r="E293" s="68"/>
    </row>
    <row r="294" spans="1:5" ht="29.25" customHeight="1" x14ac:dyDescent="0.2">
      <c r="A294" s="71">
        <f>'High Risk Non-Compliant'!B249</f>
        <v>0</v>
      </c>
      <c r="B294" s="402">
        <f>'High Risk Non-Compliant'!C249</f>
        <v>0</v>
      </c>
      <c r="C294" s="402"/>
      <c r="D294" s="68"/>
      <c r="E294" s="68"/>
    </row>
    <row r="295" spans="1:5" ht="29.25" customHeight="1" x14ac:dyDescent="0.2">
      <c r="A295" s="71">
        <f>'High Risk Non-Compliant'!B250</f>
        <v>0</v>
      </c>
      <c r="B295" s="402">
        <f>'High Risk Non-Compliant'!C250</f>
        <v>0</v>
      </c>
      <c r="C295" s="402"/>
      <c r="D295" s="68"/>
      <c r="E295" s="68"/>
    </row>
    <row r="296" spans="1:5" ht="29.25" customHeight="1" x14ac:dyDescent="0.2">
      <c r="A296" s="71">
        <f>'High Risk Non-Compliant'!B251</f>
        <v>0</v>
      </c>
      <c r="B296" s="402">
        <f>'High Risk Non-Compliant'!C251</f>
        <v>0</v>
      </c>
      <c r="C296" s="402"/>
      <c r="D296" s="68"/>
      <c r="E296" s="68"/>
    </row>
    <row r="297" spans="1:5" ht="44" customHeight="1" x14ac:dyDescent="0.2">
      <c r="A297" s="71">
        <f>'High Risk Non-Compliant'!B252</f>
        <v>0</v>
      </c>
      <c r="B297" s="402">
        <f>'High Risk Non-Compliant'!C252</f>
        <v>0</v>
      </c>
      <c r="C297" s="402"/>
      <c r="D297" s="68"/>
      <c r="E297" s="68"/>
    </row>
    <row r="298" spans="1:5" ht="29.25" customHeight="1" x14ac:dyDescent="0.2">
      <c r="A298" s="71">
        <f>'High Risk Non-Compliant'!B253</f>
        <v>0</v>
      </c>
      <c r="B298" s="402">
        <f>'High Risk Non-Compliant'!C253</f>
        <v>0</v>
      </c>
      <c r="C298" s="402"/>
      <c r="D298" s="68"/>
      <c r="E298" s="68"/>
    </row>
    <row r="299" spans="1:5" ht="73.25" customHeight="1" x14ac:dyDescent="0.2">
      <c r="A299" s="71">
        <f>'High Risk Non-Compliant'!B254</f>
        <v>0</v>
      </c>
      <c r="B299" s="402">
        <f>'High Risk Non-Compliant'!C254</f>
        <v>0</v>
      </c>
      <c r="C299" s="402"/>
      <c r="D299" s="68"/>
      <c r="E299" s="68"/>
    </row>
    <row r="300" spans="1:5" ht="58.5" customHeight="1" x14ac:dyDescent="0.2">
      <c r="A300" s="71">
        <f>'High Risk Non-Compliant'!B255</f>
        <v>0</v>
      </c>
      <c r="B300" s="402">
        <f>'High Risk Non-Compliant'!C255</f>
        <v>0</v>
      </c>
      <c r="C300" s="402"/>
      <c r="D300" s="68"/>
      <c r="E300" s="68"/>
    </row>
    <row r="301" spans="1:5" ht="73.25" customHeight="1" x14ac:dyDescent="0.2">
      <c r="A301" s="71">
        <f>'High Risk Non-Compliant'!B256</f>
        <v>0</v>
      </c>
      <c r="B301" s="402">
        <f>'High Risk Non-Compliant'!C256</f>
        <v>0</v>
      </c>
      <c r="C301" s="402"/>
      <c r="D301" s="68"/>
      <c r="E301" s="68"/>
    </row>
    <row r="302" spans="1:5" ht="87.75" customHeight="1" x14ac:dyDescent="0.2">
      <c r="A302" s="71">
        <f>'High Risk Non-Compliant'!B257</f>
        <v>0</v>
      </c>
      <c r="B302" s="402">
        <f>'High Risk Non-Compliant'!C257</f>
        <v>0</v>
      </c>
      <c r="C302" s="402"/>
      <c r="D302" s="68"/>
      <c r="E302" s="68"/>
    </row>
    <row r="303" spans="1:5" ht="29.25" customHeight="1" x14ac:dyDescent="0.2">
      <c r="A303" s="71">
        <f>'High Risk Non-Compliant'!B258</f>
        <v>0</v>
      </c>
      <c r="B303" s="402">
        <f>'High Risk Non-Compliant'!C258</f>
        <v>0</v>
      </c>
      <c r="C303" s="402"/>
      <c r="D303" s="68"/>
      <c r="E303" s="68"/>
    </row>
    <row r="304" spans="1:5" ht="29.25" customHeight="1" x14ac:dyDescent="0.2">
      <c r="A304" s="71">
        <f>'High Risk Non-Compliant'!B259</f>
        <v>0</v>
      </c>
      <c r="B304" s="402">
        <f>'High Risk Non-Compliant'!C259</f>
        <v>0</v>
      </c>
      <c r="C304" s="402"/>
      <c r="D304" s="68"/>
      <c r="E304" s="68"/>
    </row>
    <row r="305" spans="1:6" ht="29.25" customHeight="1" x14ac:dyDescent="0.2">
      <c r="A305" s="71">
        <f>'High Risk Non-Compliant'!B260</f>
        <v>0</v>
      </c>
      <c r="B305" s="402">
        <f>'High Risk Non-Compliant'!C260</f>
        <v>0</v>
      </c>
      <c r="C305" s="402"/>
      <c r="D305" s="68"/>
      <c r="E305" s="68"/>
    </row>
    <row r="306" spans="1:6" ht="29.25" customHeight="1" x14ac:dyDescent="0.2">
      <c r="A306" s="71">
        <f>'High Risk Non-Compliant'!B261</f>
        <v>0</v>
      </c>
      <c r="B306" s="402">
        <f>'High Risk Non-Compliant'!C261</f>
        <v>0</v>
      </c>
      <c r="C306" s="402"/>
      <c r="D306" s="68"/>
      <c r="E306" s="68"/>
    </row>
    <row r="307" spans="1:6" ht="29.25" customHeight="1" x14ac:dyDescent="0.2">
      <c r="A307" s="71">
        <f>'High Risk Non-Compliant'!B262</f>
        <v>0</v>
      </c>
      <c r="B307" s="402">
        <f>'High Risk Non-Compliant'!C262</f>
        <v>0</v>
      </c>
      <c r="C307" s="402"/>
      <c r="D307" s="68"/>
      <c r="E307" s="68"/>
    </row>
    <row r="308" spans="1:6" ht="44" customHeight="1" x14ac:dyDescent="0.2">
      <c r="A308" s="71">
        <f>'High Risk Non-Compliant'!B263</f>
        <v>0</v>
      </c>
      <c r="B308" s="402">
        <f>'High Risk Non-Compliant'!C263</f>
        <v>0</v>
      </c>
      <c r="C308" s="402"/>
      <c r="D308" s="68"/>
      <c r="E308" s="68"/>
    </row>
    <row r="309" spans="1:6" ht="29.25" customHeight="1" x14ac:dyDescent="0.2">
      <c r="A309" s="71">
        <f>'High Risk Non-Compliant'!B264</f>
        <v>0</v>
      </c>
      <c r="B309" s="402">
        <f>'High Risk Non-Compliant'!C264</f>
        <v>0</v>
      </c>
      <c r="C309" s="402"/>
      <c r="D309" s="68"/>
      <c r="E309" s="68"/>
    </row>
    <row r="310" spans="1:6" x14ac:dyDescent="0.2">
      <c r="A310" s="71">
        <f>'High Risk Non-Compliant'!B265</f>
        <v>0</v>
      </c>
      <c r="B310" s="402">
        <f>'High Risk Non-Compliant'!C265</f>
        <v>0</v>
      </c>
      <c r="C310" s="402"/>
      <c r="D310" s="68"/>
      <c r="E310" s="68"/>
    </row>
    <row r="311" spans="1:6" x14ac:dyDescent="0.2">
      <c r="A311" s="71">
        <f>'High Risk Non-Compliant'!B266</f>
        <v>0</v>
      </c>
      <c r="B311" s="402">
        <f>'High Risk Non-Compliant'!C266</f>
        <v>0</v>
      </c>
      <c r="C311" s="402"/>
      <c r="D311" s="68"/>
      <c r="E311" s="68"/>
    </row>
    <row r="312" spans="1:6" ht="44" customHeight="1" x14ac:dyDescent="0.2">
      <c r="A312" s="71">
        <f>'High Risk Non-Compliant'!B267</f>
        <v>0</v>
      </c>
      <c r="B312" s="402">
        <f>'High Risk Non-Compliant'!C267</f>
        <v>0</v>
      </c>
      <c r="C312" s="402"/>
      <c r="D312" s="68"/>
      <c r="E312" s="68"/>
    </row>
    <row r="313" spans="1:6" ht="44" customHeight="1" x14ac:dyDescent="0.2">
      <c r="A313" s="71">
        <f>'High Risk Non-Compliant'!B268</f>
        <v>0</v>
      </c>
      <c r="B313" s="402">
        <f>'High Risk Non-Compliant'!C268</f>
        <v>0</v>
      </c>
      <c r="C313" s="402"/>
      <c r="D313" s="68"/>
      <c r="E313" s="68"/>
    </row>
    <row r="314" spans="1:6" ht="44" customHeight="1" x14ac:dyDescent="0.2">
      <c r="A314" s="71">
        <f>'High Risk Non-Compliant'!B269</f>
        <v>0</v>
      </c>
      <c r="B314" s="402">
        <f>'High Risk Non-Compliant'!C269</f>
        <v>0</v>
      </c>
      <c r="C314" s="402"/>
      <c r="D314" s="68"/>
      <c r="E314" s="68"/>
    </row>
    <row r="315" spans="1:6" ht="44" customHeight="1" x14ac:dyDescent="0.2">
      <c r="A315" s="71">
        <f>'High Risk Non-Compliant'!B270</f>
        <v>0</v>
      </c>
      <c r="B315" s="402">
        <f>'High Risk Non-Compliant'!C270</f>
        <v>0</v>
      </c>
      <c r="C315" s="402"/>
      <c r="D315" s="68"/>
      <c r="E315" s="68"/>
    </row>
    <row r="316" spans="1:6" ht="29.25" customHeight="1" x14ac:dyDescent="0.2">
      <c r="A316" s="71">
        <f>'High Risk Non-Compliant'!B271</f>
        <v>0</v>
      </c>
      <c r="B316" s="402">
        <f>'High Risk Non-Compliant'!C271</f>
        <v>0</v>
      </c>
      <c r="C316" s="402"/>
      <c r="D316" s="68"/>
      <c r="E316" s="68"/>
    </row>
    <row r="317" spans="1:6" ht="29.25" customHeight="1" x14ac:dyDescent="0.2">
      <c r="A317" s="71">
        <f>'High Risk Non-Compliant'!B272</f>
        <v>0</v>
      </c>
      <c r="B317" s="402">
        <f>'High Risk Non-Compliant'!C272</f>
        <v>0</v>
      </c>
      <c r="C317" s="402"/>
      <c r="D317" s="68"/>
      <c r="E317" s="68"/>
      <c r="F317" s="274" t="s">
        <v>3233</v>
      </c>
    </row>
    <row r="318" spans="1:6" x14ac:dyDescent="0.2">
      <c r="A318" s="274" t="s">
        <v>3238</v>
      </c>
    </row>
  </sheetData>
  <mergeCells count="277">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 ref="B304:C304"/>
    <mergeCell ref="B299:C299"/>
    <mergeCell ref="B300:C300"/>
    <mergeCell ref="B301:C301"/>
    <mergeCell ref="B296:C296"/>
    <mergeCell ref="B297:C297"/>
    <mergeCell ref="B298:C298"/>
    <mergeCell ref="B293:C293"/>
    <mergeCell ref="B294:C294"/>
    <mergeCell ref="B295:C295"/>
    <mergeCell ref="B290:C290"/>
    <mergeCell ref="B291:C291"/>
    <mergeCell ref="B292:C292"/>
    <mergeCell ref="B287:C287"/>
    <mergeCell ref="B288:C288"/>
    <mergeCell ref="B289:C289"/>
    <mergeCell ref="B284:C284"/>
    <mergeCell ref="B285:C285"/>
    <mergeCell ref="B286:C286"/>
    <mergeCell ref="B281:C281"/>
    <mergeCell ref="B282:C282"/>
    <mergeCell ref="B283:C283"/>
    <mergeCell ref="B278:C278"/>
    <mergeCell ref="B279:C279"/>
    <mergeCell ref="B280:C280"/>
    <mergeCell ref="B275:C275"/>
    <mergeCell ref="B276:C276"/>
    <mergeCell ref="B277:C277"/>
    <mergeCell ref="B272:C272"/>
    <mergeCell ref="B273:C273"/>
    <mergeCell ref="B274:C274"/>
    <mergeCell ref="B269:C269"/>
    <mergeCell ref="B270:C270"/>
    <mergeCell ref="B271:C271"/>
    <mergeCell ref="B266:C266"/>
    <mergeCell ref="B267:C267"/>
    <mergeCell ref="B268:C268"/>
    <mergeCell ref="B263:C263"/>
    <mergeCell ref="B264:C264"/>
    <mergeCell ref="B265:C265"/>
    <mergeCell ref="B260:C260"/>
    <mergeCell ref="B261:C261"/>
    <mergeCell ref="B262:C262"/>
    <mergeCell ref="B257:C257"/>
    <mergeCell ref="B258:C258"/>
    <mergeCell ref="B259:C259"/>
    <mergeCell ref="B254:C254"/>
    <mergeCell ref="B255:C255"/>
    <mergeCell ref="B256:C256"/>
    <mergeCell ref="B251:C251"/>
    <mergeCell ref="B252:C252"/>
    <mergeCell ref="B253:C253"/>
    <mergeCell ref="B248:C248"/>
    <mergeCell ref="B249:C249"/>
    <mergeCell ref="B250:C250"/>
    <mergeCell ref="B245:C245"/>
    <mergeCell ref="B246:C246"/>
    <mergeCell ref="B247:C247"/>
    <mergeCell ref="B242:C242"/>
    <mergeCell ref="B243:C243"/>
    <mergeCell ref="B244:C244"/>
    <mergeCell ref="B239:C239"/>
    <mergeCell ref="B240:C240"/>
    <mergeCell ref="B241:C241"/>
    <mergeCell ref="B236:C236"/>
    <mergeCell ref="B237:C237"/>
    <mergeCell ref="B238:C238"/>
    <mergeCell ref="B233:C233"/>
    <mergeCell ref="B234:C234"/>
    <mergeCell ref="B235:C235"/>
    <mergeCell ref="B230:C230"/>
    <mergeCell ref="B231:C231"/>
    <mergeCell ref="B232:C232"/>
    <mergeCell ref="B227:C227"/>
    <mergeCell ref="B228:C228"/>
    <mergeCell ref="B229:C229"/>
    <mergeCell ref="B224:C224"/>
    <mergeCell ref="B225:C225"/>
    <mergeCell ref="B226:C226"/>
    <mergeCell ref="B221:C221"/>
    <mergeCell ref="B222:C222"/>
    <mergeCell ref="B223:C223"/>
    <mergeCell ref="B218:C218"/>
    <mergeCell ref="B219:C219"/>
    <mergeCell ref="B220:C220"/>
    <mergeCell ref="B215:C215"/>
    <mergeCell ref="B216:C216"/>
    <mergeCell ref="B217:C217"/>
    <mergeCell ref="B212:C212"/>
    <mergeCell ref="B213:C213"/>
    <mergeCell ref="B214:C214"/>
    <mergeCell ref="B209:C209"/>
    <mergeCell ref="B210:C210"/>
    <mergeCell ref="B211:C211"/>
    <mergeCell ref="B206:C206"/>
    <mergeCell ref="B207:C207"/>
    <mergeCell ref="B208:C208"/>
    <mergeCell ref="B203:C203"/>
    <mergeCell ref="B204:C204"/>
    <mergeCell ref="B205:C205"/>
    <mergeCell ref="B200:C200"/>
    <mergeCell ref="B201:C201"/>
    <mergeCell ref="B202:C202"/>
    <mergeCell ref="B197:C197"/>
    <mergeCell ref="B198:C198"/>
    <mergeCell ref="B199:C199"/>
    <mergeCell ref="B194:C194"/>
    <mergeCell ref="B195:C195"/>
    <mergeCell ref="B196:C196"/>
    <mergeCell ref="B191:C191"/>
    <mergeCell ref="B192:C192"/>
    <mergeCell ref="B193:C193"/>
    <mergeCell ref="B188:C188"/>
    <mergeCell ref="B189:C189"/>
    <mergeCell ref="B190:C190"/>
    <mergeCell ref="B185:C185"/>
    <mergeCell ref="B186:C186"/>
    <mergeCell ref="B187:C187"/>
    <mergeCell ref="B182:C182"/>
    <mergeCell ref="B183:C183"/>
    <mergeCell ref="B184:C184"/>
    <mergeCell ref="B179:C179"/>
    <mergeCell ref="B180:C180"/>
    <mergeCell ref="B181:C181"/>
    <mergeCell ref="B176:C176"/>
    <mergeCell ref="B177:C177"/>
    <mergeCell ref="B178:C178"/>
    <mergeCell ref="B173:C173"/>
    <mergeCell ref="B174:C174"/>
    <mergeCell ref="B175:C175"/>
    <mergeCell ref="B170:C170"/>
    <mergeCell ref="B171:C171"/>
    <mergeCell ref="B172:C172"/>
    <mergeCell ref="B167:C167"/>
    <mergeCell ref="B168:C168"/>
    <mergeCell ref="B169:C169"/>
    <mergeCell ref="B164:C164"/>
    <mergeCell ref="B165:C165"/>
    <mergeCell ref="B166:C166"/>
    <mergeCell ref="B161:C161"/>
    <mergeCell ref="B162:C162"/>
    <mergeCell ref="B163:C163"/>
    <mergeCell ref="B158:C158"/>
    <mergeCell ref="B159:C159"/>
    <mergeCell ref="B160:C160"/>
    <mergeCell ref="B155:C155"/>
    <mergeCell ref="B156:C156"/>
    <mergeCell ref="B157:C157"/>
    <mergeCell ref="B152:C152"/>
    <mergeCell ref="B153:C153"/>
    <mergeCell ref="B154:C154"/>
    <mergeCell ref="B149:C149"/>
    <mergeCell ref="B150:C150"/>
    <mergeCell ref="B151:C151"/>
    <mergeCell ref="B146:C146"/>
    <mergeCell ref="B147:C147"/>
    <mergeCell ref="B148:C148"/>
    <mergeCell ref="B143:C143"/>
    <mergeCell ref="B144:C144"/>
    <mergeCell ref="B145:C145"/>
    <mergeCell ref="B140:C140"/>
    <mergeCell ref="B141:C141"/>
    <mergeCell ref="B142:C142"/>
    <mergeCell ref="B137:C137"/>
    <mergeCell ref="B138:C138"/>
    <mergeCell ref="B139:C139"/>
    <mergeCell ref="B134:C134"/>
    <mergeCell ref="B135:C135"/>
    <mergeCell ref="B136:C136"/>
    <mergeCell ref="B131:C131"/>
    <mergeCell ref="B132:C132"/>
    <mergeCell ref="B133:C133"/>
    <mergeCell ref="B128:C128"/>
    <mergeCell ref="B129:C129"/>
    <mergeCell ref="B130:C130"/>
    <mergeCell ref="B125:C125"/>
    <mergeCell ref="B126:C126"/>
    <mergeCell ref="B127:C127"/>
    <mergeCell ref="B122:C122"/>
    <mergeCell ref="B123:C123"/>
    <mergeCell ref="B124:C124"/>
    <mergeCell ref="B119:C119"/>
    <mergeCell ref="B120:C120"/>
    <mergeCell ref="B121:C121"/>
    <mergeCell ref="B116:C116"/>
    <mergeCell ref="B117:C117"/>
    <mergeCell ref="B118:C118"/>
    <mergeCell ref="B113:C113"/>
    <mergeCell ref="B114:C114"/>
    <mergeCell ref="B115:C115"/>
    <mergeCell ref="B110:C110"/>
    <mergeCell ref="B111:C111"/>
    <mergeCell ref="B112:C112"/>
    <mergeCell ref="B107:C107"/>
    <mergeCell ref="B108:C108"/>
    <mergeCell ref="B109:C109"/>
    <mergeCell ref="B104:C104"/>
    <mergeCell ref="B105:C105"/>
    <mergeCell ref="B106:C106"/>
    <mergeCell ref="B101:C101"/>
    <mergeCell ref="B102:C102"/>
    <mergeCell ref="B103:C103"/>
    <mergeCell ref="B98:C98"/>
    <mergeCell ref="B99:C99"/>
    <mergeCell ref="B100:C100"/>
    <mergeCell ref="B95:C95"/>
    <mergeCell ref="B96:C96"/>
    <mergeCell ref="B97:C97"/>
    <mergeCell ref="B92:C92"/>
    <mergeCell ref="B93:C93"/>
    <mergeCell ref="B94:C94"/>
    <mergeCell ref="B89:C89"/>
    <mergeCell ref="B90:C90"/>
    <mergeCell ref="B91:C91"/>
    <mergeCell ref="B86:C86"/>
    <mergeCell ref="B87:C87"/>
    <mergeCell ref="B88:C88"/>
    <mergeCell ref="B83:C83"/>
    <mergeCell ref="B84:C84"/>
    <mergeCell ref="B85:C85"/>
    <mergeCell ref="B80:C80"/>
    <mergeCell ref="B81:C81"/>
    <mergeCell ref="B82:C82"/>
    <mergeCell ref="B77:C77"/>
    <mergeCell ref="B78:C78"/>
    <mergeCell ref="B79:C79"/>
    <mergeCell ref="B74:C74"/>
    <mergeCell ref="B75:C75"/>
    <mergeCell ref="B76:C76"/>
    <mergeCell ref="B71:C71"/>
    <mergeCell ref="B72:C72"/>
    <mergeCell ref="B73:C73"/>
    <mergeCell ref="B68:C68"/>
    <mergeCell ref="B69:C69"/>
    <mergeCell ref="B70:C70"/>
    <mergeCell ref="B65:C65"/>
    <mergeCell ref="B66:C66"/>
    <mergeCell ref="B67:C67"/>
    <mergeCell ref="B62:C62"/>
    <mergeCell ref="B63:C63"/>
    <mergeCell ref="B64:C64"/>
    <mergeCell ref="B59:C59"/>
    <mergeCell ref="B60:C60"/>
    <mergeCell ref="B61:C61"/>
    <mergeCell ref="B56:C56"/>
    <mergeCell ref="B57:C57"/>
    <mergeCell ref="B58:C58"/>
    <mergeCell ref="B53:C53"/>
    <mergeCell ref="B54:C54"/>
    <mergeCell ref="B55:C55"/>
    <mergeCell ref="B50:C50"/>
    <mergeCell ref="B51:C51"/>
    <mergeCell ref="B52:C5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15" t="s">
        <v>2083</v>
      </c>
      <c r="F1" s="399"/>
      <c r="G1" s="399"/>
      <c r="H1" s="419" t="s">
        <v>2084</v>
      </c>
      <c r="I1" s="420"/>
      <c r="J1" s="416" t="s">
        <v>2085</v>
      </c>
      <c r="K1" s="399"/>
      <c r="L1" s="399"/>
      <c r="M1" s="417" t="s">
        <v>2086</v>
      </c>
      <c r="N1" s="399"/>
      <c r="O1" s="399"/>
      <c r="P1" s="399"/>
      <c r="Q1" s="399"/>
      <c r="R1" s="399"/>
      <c r="S1" s="399"/>
      <c r="T1" s="399"/>
      <c r="U1" s="418" t="s">
        <v>2087</v>
      </c>
      <c r="V1" s="418"/>
      <c r="W1" s="418"/>
      <c r="X1" s="418"/>
      <c r="Y1" s="418"/>
      <c r="Z1" s="418"/>
      <c r="AA1" s="418"/>
      <c r="AB1" s="418"/>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No</v>
      </c>
      <c r="O39" s="194" t="str">
        <f>IF(LEN(VLOOKUP(B39,'Analyst Report'!$A:$I,7,FALSE))= 0,"",VLOOKUP(B39,'Analyst Report'!$A:$I,7,FALSE))</f>
        <v/>
      </c>
      <c r="P39" s="194">
        <f t="shared" si="0"/>
        <v>0</v>
      </c>
      <c r="Q39" s="194">
        <v>20</v>
      </c>
      <c r="R39" s="194">
        <f>IF(LEN(VLOOKUP(B39,'Analyst Report'!$A$31:$I$288,9,FALSE))=0,VLOOKUP(B39,'Analyst Report'!$A$31:$I$288,8,FALSE),VLOOKUP(B39,'Analyst Report'!$A$31:$I$288,9,FALSE))</f>
        <v>20</v>
      </c>
      <c r="S39" s="194">
        <f t="shared" si="1"/>
        <v>20</v>
      </c>
      <c r="T39" s="194">
        <f t="shared" si="2"/>
        <v>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Yes</v>
      </c>
      <c r="O40" s="194" t="str">
        <f>IF(LEN(VLOOKUP(B40,'Analyst Report'!$A:$I,7,FALSE))= 0,"",VLOOKUP(B40,'Analyst Report'!$A:$I,7,FALSE))</f>
        <v/>
      </c>
      <c r="P40" s="194">
        <f t="shared" si="0"/>
        <v>1</v>
      </c>
      <c r="Q40" s="194">
        <v>20</v>
      </c>
      <c r="R40" s="194">
        <f>IF(LEN(VLOOKUP(B40,'Analyst Report'!$A$31:$I$288,9,FALSE))=0,VLOOKUP(B40,'Analyst Report'!$A$31:$I$288,8,FALSE),VLOOKUP(B40,'Analyst Report'!$A$31:$I$288,9,FALSE))</f>
        <v>20</v>
      </c>
      <c r="S40" s="194">
        <f t="shared" si="1"/>
        <v>20</v>
      </c>
      <c r="T40" s="194">
        <f t="shared" si="2"/>
        <v>20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No</v>
      </c>
      <c r="O41" s="194" t="str">
        <f>IF(LEN(VLOOKUP(B41,'Analyst Report'!$A:$I,7,FALSE))= 0,"",VLOOKUP(B41,'Analyst Report'!$A:$I,7,FALSE))</f>
        <v/>
      </c>
      <c r="P41" s="194">
        <f t="shared" si="0"/>
        <v>0</v>
      </c>
      <c r="Q41" s="194">
        <v>20</v>
      </c>
      <c r="R41" s="194">
        <f>IF(LEN(VLOOKUP(B41,'Analyst Report'!$A$31:$I$288,9,FALSE))=0,VLOOKUP(B41,'Analyst Report'!$A$31:$I$288,8,FALSE),VLOOKUP(B41,'Analyst Report'!$A$31:$I$288,9,FALSE))</f>
        <v>25</v>
      </c>
      <c r="S41" s="194">
        <f t="shared" si="1"/>
        <v>25</v>
      </c>
      <c r="T41" s="194">
        <f t="shared" si="2"/>
        <v>0</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210" x14ac:dyDescent="0.2">
      <c r="A64" s="201">
        <f t="shared" si="3"/>
        <v>47</v>
      </c>
      <c r="B64" s="208" t="s">
        <v>101</v>
      </c>
      <c r="C64" s="208" t="s">
        <v>2958</v>
      </c>
      <c r="D64" s="202" t="str">
        <f>VLOOKUP(B64,'HECVAT - Full | Vendor Response'!A$4:D$320,4,FALSE)</f>
        <v>Impact supports role-based access control (RBAC) for both administrators and end-users. Within the Impact control panel, administrators can also organize and group user roles, institutional hierarchies or sub-accounts.</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We are continually improving our products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Yes, a WAF is provided by Cloudflare.</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f>VLOOKUP(B78,'HECVAT - Full | Vendor Response'!A$4:D$320,4,FALSE)</f>
        <v>0</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2</v>
      </c>
      <c r="O78" s="194" t="str">
        <f>IF(LEN(VLOOKUP(B78,'Analyst Report'!$A:$I,7,FALSE))= 0,"",VLOOKUP(B78,'Analyst Report'!$A:$I,7,FALSE))</f>
        <v/>
      </c>
      <c r="P78" s="194">
        <f t="shared" ref="P78:P140" si="7">IF((O78=""),(IF(ISNUMBER(FIND(M78,N78)), 1, 0)),(IF(ISNUMBER(FIND(M78,O78)), 1, 0)))</f>
        <v>0</v>
      </c>
      <c r="Q78" s="194">
        <v>25</v>
      </c>
      <c r="R78" s="194">
        <f>IF(LEN(VLOOKUP(B78,'Analyst Report'!$A$31:$I$288,9,FALSE))=0,VLOOKUP(B78,'Analyst Report'!$A$31:$I$288,8,FALSE),VLOOKUP(B78,'Analyst Report'!$A$31:$I$288,9,FALSE))</f>
        <v>25</v>
      </c>
      <c r="S78" s="194">
        <f t="shared" si="1"/>
        <v>25</v>
      </c>
      <c r="T78" s="194">
        <f t="shared" ref="T78:T140" si="8">P78*S78</f>
        <v>0</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f>VLOOKUP(B79,'HECVAT - Full | Vendor Response'!A$4:D$320,4,FALSE)</f>
        <v>0</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Local authentication enforces a minimum character count of 12 characters.</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FALSE</v>
      </c>
      <c r="K84" s="205">
        <f>IF(OR(N$78="1",N$78="3"),1,0)</f>
        <v>0</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0</v>
      </c>
      <c r="T84" s="194">
        <f t="shared" si="8"/>
        <v>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f>VLOOKUP(B85,'HECVAT - Full | Vendor Response'!A$4:D$320,4,FALSE)</f>
        <v>0</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No</v>
      </c>
      <c r="O85" s="194" t="str">
        <f>IF(LEN(VLOOKUP(B85,'Analyst Report'!$A:$I,7,FALSE))= 0,"",VLOOKUP(B85,'Analyst Report'!$A:$I,7,FALSE))</f>
        <v/>
      </c>
      <c r="P85" s="194">
        <f t="shared" si="7"/>
        <v>0</v>
      </c>
      <c r="Q85" s="194">
        <v>20</v>
      </c>
      <c r="R85" s="194">
        <f>IF(LEN(VLOOKUP(B85,'Analyst Report'!$A$31:$I$288,9,FALSE))=0,VLOOKUP(B85,'Analyst Report'!$A$31:$I$288,8,FALSE),VLOOKUP(B85,'Analyst Report'!$A$31:$I$288,9,FALSE))</f>
        <v>20</v>
      </c>
      <c r="S85" s="194">
        <f t="shared" si="1"/>
        <v>20</v>
      </c>
      <c r="T85" s="194">
        <f t="shared" si="8"/>
        <v>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f>VLOOKUP(B86,'HECVAT - Full | Vendor Response'!A$4:D$320,4,FALSE)</f>
        <v>0</v>
      </c>
      <c r="E86" s="195" t="s">
        <v>2995</v>
      </c>
      <c r="F86" s="195" t="s">
        <v>2996</v>
      </c>
      <c r="G86" s="195" t="s">
        <v>2998</v>
      </c>
      <c r="H86" s="207" t="s">
        <v>2982</v>
      </c>
      <c r="I86" s="207" t="s">
        <v>2292</v>
      </c>
      <c r="J86" s="196" t="str">
        <f t="shared" si="9"/>
        <v>FALSE</v>
      </c>
      <c r="K86" s="205">
        <f>IF(OR(N$78="1",N$78="3"),1,0)</f>
        <v>0</v>
      </c>
      <c r="L86" s="196" t="s">
        <v>115</v>
      </c>
      <c r="M86" s="194" t="s">
        <v>2122</v>
      </c>
      <c r="N86" s="194">
        <f>VLOOKUP(B86,'HECVAT - Full | Vendor Response'!A:E,3,FALSE)</f>
        <v>0</v>
      </c>
      <c r="O86" s="194" t="str">
        <f>IF(LEN(VLOOKUP(B86,'Analyst Report'!$A:$I,7,FALSE))= 0,"",VLOOKUP(B86,'Analyst Report'!$A:$I,7,FALSE))</f>
        <v/>
      </c>
      <c r="P86" s="194">
        <f t="shared" si="7"/>
        <v>0</v>
      </c>
      <c r="Q86" s="194">
        <v>15</v>
      </c>
      <c r="R86" s="194">
        <f>IF(LEN(VLOOKUP(B86,'Analyst Report'!$A$31:$I$288,9,FALSE))=0,VLOOKUP(B86,'Analyst Report'!$A$31:$I$288,8,FALSE),VLOOKUP(B86,'Analyst Report'!$A$31:$I$288,9,FALSE))</f>
        <v>15</v>
      </c>
      <c r="S86" s="194">
        <f t="shared" ref="S86:S150" si="10">(IF((ISNUMBER(R86)),R86,Q86))*K86</f>
        <v>0</v>
      </c>
      <c r="T86" s="194">
        <f t="shared" si="8"/>
        <v>0</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recipient identifier (e.g. email address).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0</v>
      </c>
      <c r="L88" s="196" t="s">
        <v>115</v>
      </c>
      <c r="M88" s="194" t="s">
        <v>2122</v>
      </c>
      <c r="N88" s="194">
        <f>VLOOKUP(B88,'HECVAT - Full | Vendor Response'!A:E,3,FALSE)</f>
        <v>0</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t="str">
        <f>VLOOKUP(B89,'HECVAT - Full | Vendor Response'!A$4:D$320,4,FALSE)</f>
        <v>Two-factor authentication can be enabled in account settings and utilizes an additional OTP code, configurable via an authenticator app such as Google Authenticator.</v>
      </c>
      <c r="E89" s="195" t="s">
        <v>60</v>
      </c>
      <c r="F89" s="195" t="s">
        <v>2319</v>
      </c>
      <c r="G89" s="195" t="s">
        <v>2320</v>
      </c>
      <c r="H89" s="207" t="s">
        <v>3001</v>
      </c>
      <c r="I89" s="207" t="s">
        <v>2321</v>
      </c>
      <c r="J89" s="196" t="str">
        <f t="shared" si="9"/>
        <v>FALSE</v>
      </c>
      <c r="K89" s="205">
        <f>IF(N$78="2",1,0)</f>
        <v>1</v>
      </c>
      <c r="L89" s="196" t="s">
        <v>115</v>
      </c>
      <c r="M89" s="194" t="s">
        <v>2122</v>
      </c>
      <c r="N89" s="194" t="str">
        <f>VLOOKUP(B89,'HECVAT - Full | Vendor Response'!A:E,3,FALSE)</f>
        <v>Yes</v>
      </c>
      <c r="O89" s="194" t="str">
        <f>IF(LEN(VLOOKUP(B89,'Analyst Report'!$A:$I,7,FALSE))= 0,"",VLOOKUP(B89,'Analyst Report'!$A:$I,7,FALSE))</f>
        <v/>
      </c>
      <c r="P89" s="194">
        <f t="shared" si="7"/>
        <v>1</v>
      </c>
      <c r="Q89" s="194">
        <v>15</v>
      </c>
      <c r="R89" s="194">
        <f>IF(LEN(VLOOKUP(B89,'Analyst Report'!$A$31:$I$288,9,FALSE))=0,VLOOKUP(B89,'Analyst Report'!$A$31:$I$288,8,FALSE),VLOOKUP(B89,'Analyst Report'!$A$31:$I$288,9,FALSE))</f>
        <v>15</v>
      </c>
      <c r="S89" s="194">
        <f t="shared" si="10"/>
        <v>15</v>
      </c>
      <c r="T89" s="194">
        <f t="shared" si="8"/>
        <v>15</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f>VLOOKUP(B93,'HECVAT - Full | Vendor Response'!A$4:D$320,4,FALSE)</f>
        <v>0</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No</v>
      </c>
      <c r="O93" s="194" t="str">
        <f>IF(LEN(VLOOKUP(B93,'Analyst Report'!$A:$I,7,FALSE))= 0,"",VLOOKUP(B93,'Analyst Report'!$A:$I,7,FALSE))</f>
        <v/>
      </c>
      <c r="P93" s="194">
        <f t="shared" si="7"/>
        <v>0</v>
      </c>
      <c r="Q93" s="194">
        <v>20</v>
      </c>
      <c r="R93" s="194">
        <f>IF(LEN(VLOOKUP(B93,'Analyst Report'!$A$31:$I$288,9,FALSE))=0,VLOOKUP(B93,'Analyst Report'!$A$31:$I$288,8,FALSE),VLOOKUP(B93,'Analyst Report'!$A$31:$I$288,9,FALSE))</f>
        <v>20</v>
      </c>
      <c r="S93" s="194">
        <f t="shared" si="10"/>
        <v>20</v>
      </c>
      <c r="T93" s="194">
        <f t="shared" si="8"/>
        <v>0</v>
      </c>
      <c r="U93" s="193" t="s">
        <v>60</v>
      </c>
      <c r="V93" s="193" t="s">
        <v>60</v>
      </c>
      <c r="W93" s="193" t="s">
        <v>60</v>
      </c>
      <c r="X93" s="193" t="s">
        <v>60</v>
      </c>
      <c r="Y93" s="193" t="s">
        <v>60</v>
      </c>
      <c r="Z93" s="193" t="s">
        <v>60</v>
      </c>
      <c r="AA93" s="193" t="s">
        <v>60</v>
      </c>
      <c r="AB93" s="193" t="s">
        <v>60</v>
      </c>
    </row>
    <row r="94" spans="1:28" ht="195" x14ac:dyDescent="0.2">
      <c r="A94" s="201">
        <f t="shared" si="11"/>
        <v>77</v>
      </c>
      <c r="B94" s="208" t="s">
        <v>132</v>
      </c>
      <c r="C94" s="202" t="s">
        <v>3009</v>
      </c>
      <c r="D94" s="202" t="str">
        <f>VLOOKUP(B94,'HECVAT - Full | Vendor Response'!A$4:D$320,4,FALSE)</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95" x14ac:dyDescent="0.2">
      <c r="A105" s="201">
        <f t="shared" si="11"/>
        <v>88</v>
      </c>
      <c r="B105" s="208" t="s">
        <v>143</v>
      </c>
      <c r="C105" s="202" t="s">
        <v>3022</v>
      </c>
      <c r="D105" s="202" t="str">
        <f>VLOOKUP(B105,'HECVAT - Full | Vendor Response'!A$4:D$320,4,TRUE)</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398" x14ac:dyDescent="0.2">
      <c r="A106" s="201">
        <f t="shared" si="11"/>
        <v>89</v>
      </c>
      <c r="B106" s="208" t="s">
        <v>144</v>
      </c>
      <c r="C106" s="202" t="s">
        <v>2371</v>
      </c>
      <c r="D106" s="202" t="str">
        <f>VLOOKUP(B106,'HECVAT - Full | Vendor Response'!A$4:D$320,4,TRUE)</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Impact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165" x14ac:dyDescent="0.2">
      <c r="A109" s="201">
        <f t="shared" si="11"/>
        <v>92</v>
      </c>
      <c r="B109" s="208" t="s">
        <v>148</v>
      </c>
      <c r="C109" s="202" t="s">
        <v>2380</v>
      </c>
      <c r="D109" s="202" t="str">
        <f>VLOOKUP(B109,'HECVAT - Full | Vendor Response'!A$4:D$320,4,TRUE)</f>
        <v>Instructure will email customers regarding any major changes which may impact an institution's security posture. The update/upgrade release notes are available to all Impact users at https://inst.bid/impact/releases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t="str">
        <f>VLOOKUP(B110,'HECVAT - Full | Vendor Response'!A$4:D$320,4,TRUE)</f>
        <v>As Impact is a Software as a Service, all customers are on the same version and get the latest features, fixes and updates.</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Impact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Impact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Impact releases occur weekly with some exceptions (either an additional release or less depending on season).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Yes</v>
      </c>
      <c r="O113" s="194" t="str">
        <f>IF(LEN(VLOOKUP(B113,'Analyst Report'!$A:$I,7,FALSE))= 0,"",VLOOKUP(B113,'Analyst Report'!$A:$I,7,FALSE))</f>
        <v/>
      </c>
      <c r="P113" s="194">
        <f t="shared" si="7"/>
        <v>1</v>
      </c>
      <c r="Q113" s="194">
        <v>15</v>
      </c>
      <c r="R113" s="194">
        <f>IF(LEN(VLOOKUP(B113,'Analyst Report'!$A$31:$I$288,9,FALSE))=0,VLOOKUP(B113,'Analyst Report'!$A$31:$I$288,8,FALSE),VLOOKUP(B113,'Analyst Report'!$A$31:$I$288,9,FALSE))</f>
        <v>15</v>
      </c>
      <c r="S113" s="194">
        <f t="shared" si="10"/>
        <v>15</v>
      </c>
      <c r="T113" s="194">
        <f t="shared" si="8"/>
        <v>15</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14" x14ac:dyDescent="0.2">
      <c r="A115" s="201">
        <f t="shared" si="11"/>
        <v>98</v>
      </c>
      <c r="B115" s="208" t="s">
        <v>154</v>
      </c>
      <c r="C115" s="202" t="s">
        <v>3040</v>
      </c>
      <c r="D115" s="202" t="str">
        <f>VLOOKUP(B115,'HECVAT - Full | Vendor Response'!A$4:D$320,4,TRUE)</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typically deployed on a weekly basis.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80"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v1.2 or higher.</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150" x14ac:dyDescent="0.2">
      <c r="A127" s="201">
        <f t="shared" si="11"/>
        <v>110</v>
      </c>
      <c r="B127" s="202" t="s">
        <v>167</v>
      </c>
      <c r="C127" s="202" t="s">
        <v>2433</v>
      </c>
      <c r="D127" s="202" t="str">
        <f>VLOOKUP(B127,'HECVAT - Full | Vendor Response'!A$4:D$320,4,TRUE)</f>
        <v>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135" x14ac:dyDescent="0.2">
      <c r="A128" s="201">
        <f t="shared" si="11"/>
        <v>111</v>
      </c>
      <c r="B128" s="202" t="s">
        <v>168</v>
      </c>
      <c r="C128" s="202" t="s">
        <v>2437</v>
      </c>
      <c r="D128" s="202" t="str">
        <f>VLOOKUP(B128,'HECVAT - Full | Vendor Response'!A$4:D$320,4,TRUE)</f>
        <v xml:space="preserve">Customers have up to 90 days after the end of the contract. </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210" x14ac:dyDescent="0.2">
      <c r="A129" s="201">
        <f t="shared" si="11"/>
        <v>112</v>
      </c>
      <c r="B129" s="202" t="s">
        <v>169</v>
      </c>
      <c r="C129" s="202" t="s">
        <v>3064</v>
      </c>
      <c r="D129" s="202" t="str">
        <f>VLOOKUP(B129,'HECVAT - Full | Vendor Response'!A$4:D$320,4,TRUE)</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Yes</v>
      </c>
      <c r="O129" s="194" t="str">
        <f>IF(LEN(VLOOKUP(B129,'Analyst Report'!$A:$I,7,FALSE))= 0,"",VLOOKUP(B129,'Analyst Report'!$A:$I,7,FALSE))</f>
        <v/>
      </c>
      <c r="P129" s="194">
        <f t="shared" si="7"/>
        <v>1</v>
      </c>
      <c r="Q129" s="194">
        <v>20</v>
      </c>
      <c r="R129" s="194">
        <f>IF(LEN(VLOOKUP(B129,'Analyst Report'!$A$31:$I$288,9,FALSE))=0,VLOOKUP(B129,'Analyst Report'!$A$31:$I$288,8,FALSE),VLOOKUP(B129,'Analyst Report'!$A$31:$I$288,9,FALSE))</f>
        <v>20</v>
      </c>
      <c r="S129" s="194">
        <f t="shared" si="10"/>
        <v>20</v>
      </c>
      <c r="T129" s="194">
        <f t="shared" si="8"/>
        <v>20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165" x14ac:dyDescent="0.2">
      <c r="A132" s="201">
        <f t="shared" si="11"/>
        <v>115</v>
      </c>
      <c r="B132" s="202" t="s">
        <v>172</v>
      </c>
      <c r="C132" s="202" t="s">
        <v>2448</v>
      </c>
      <c r="D132" s="202" t="str">
        <f>VLOOKUP(B132,'HECVAT - Full | Vendor Response'!A$4:D$320,4,TRUE)</f>
        <v xml:space="preserve">Per Instructure's Terms and Conditions, all data is available for 90 days following expiration or termination of the contract. This remains the case in the event of bankruptcy, closing or business, or retirement of service.
</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Impact databases and media content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240"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25" x14ac:dyDescent="0.2">
      <c r="A154" s="201">
        <f t="shared" si="16"/>
        <v>137</v>
      </c>
      <c r="B154" s="202" t="s">
        <v>195</v>
      </c>
      <c r="C154" s="202" t="s">
        <v>3093</v>
      </c>
      <c r="D154" s="202" t="str">
        <f>VLOOKUP(B154,'HECVAT - Full | Vendor Response'!A$4:D$320,4,TRUE)</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35" x14ac:dyDescent="0.2">
      <c r="A160" s="201">
        <f t="shared" si="16"/>
        <v>143</v>
      </c>
      <c r="B160" s="202" t="s">
        <v>201</v>
      </c>
      <c r="C160" s="202" t="s">
        <v>2523</v>
      </c>
      <c r="D160" s="202" t="str">
        <f>VLOOKUP(B160,'HECVAT - Full | Vendor Response'!A$4:D$320,4,TRUE)</f>
        <v>Access to the Impact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20" x14ac:dyDescent="0.2">
      <c r="A165" s="201">
        <f t="shared" si="16"/>
        <v>148</v>
      </c>
      <c r="B165" s="208" t="s">
        <v>206</v>
      </c>
      <c r="C165" s="202" t="s">
        <v>3106</v>
      </c>
      <c r="D165" s="202" t="str">
        <f>VLOOKUP(B165,'HECVAT - Full | Vendor Response'!A$4:D$320,4,TRUE)</f>
        <v>Please see our Instructure Business Continuity and Disaster Recovery Paper which is part of the Impact Compliance Package. https://inst.bid/impact/dl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240"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No</v>
      </c>
      <c r="O166" s="194" t="str">
        <f>IF(LEN(VLOOKUP(B166,'Analyst Report'!$A:$I,7,FALSE))= 0,"",VLOOKUP(B166,'Analyst Report'!$A:$I,7,FALSE))</f>
        <v/>
      </c>
      <c r="P166" s="194">
        <f t="shared" si="13"/>
        <v>1</v>
      </c>
      <c r="Q166" s="194">
        <v>20</v>
      </c>
      <c r="R166" s="194">
        <f>IF(LEN(VLOOKUP(B166,'Analyst Report'!$A$31:$I$288,9,FALSE))=0,VLOOKUP(B166,'Analyst Report'!$A$31:$I$288,8,FALSE),VLOOKUP(B166,'Analyst Report'!$A$31:$I$288,9,FALSE))</f>
        <v>20</v>
      </c>
      <c r="S166" s="194">
        <f t="shared" si="17"/>
        <v>20</v>
      </c>
      <c r="T166" s="194">
        <f t="shared" si="14"/>
        <v>20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Impact Compliance Package. https://inst.bid/impact/dl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AWS GuardDuty is deployed on all Impact environments to provide intrusion and anomaly detection.</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Yes</v>
      </c>
      <c r="O177" s="194" t="str">
        <f>IF(LEN(VLOOKUP(B177,'Analyst Report'!$A:$I,7,FALSE))= 0,"",VLOOKUP(B177,'Analyst Report'!$A:$I,7,FALSE))</f>
        <v/>
      </c>
      <c r="P177" s="194">
        <f t="shared" si="13"/>
        <v>1</v>
      </c>
      <c r="Q177" s="222">
        <v>25</v>
      </c>
      <c r="R177" s="194">
        <f>IF(LEN(VLOOKUP(B177,'Analyst Report'!$A$31:$I$288,9,FALSE))=0,VLOOKUP(B177,'Analyst Report'!$A$31:$I$288,8,FALSE),VLOOKUP(B177,'Analyst Report'!$A$31:$I$288,9,FALSE))</f>
        <v>25</v>
      </c>
      <c r="S177" s="194">
        <f t="shared" si="17"/>
        <v>25</v>
      </c>
      <c r="T177" s="194">
        <f t="shared" si="14"/>
        <v>25</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f>VLOOKUP(B178,'HECVAT - Full | Vendor Response'!A$4:D$320,4,TRUE)</f>
        <v>0</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We rely on AWS GuardDuty to monitor for malicious activity and anomalous behavior.</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f>VLOOKUP(B180,'HECVAT - Full | Vendor Response'!A$4:D$320,4,TRUE)</f>
        <v>0</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150" x14ac:dyDescent="0.2">
      <c r="A181" s="201">
        <f t="shared" si="16"/>
        <v>164</v>
      </c>
      <c r="B181" s="208" t="s">
        <v>223</v>
      </c>
      <c r="C181" s="208" t="s">
        <v>2591</v>
      </c>
      <c r="D181" s="202" t="str">
        <f>VLOOKUP(B181,'HECVAT - Full | Vendor Response'!A$4:D$320,4,TRUE)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Yes</v>
      </c>
      <c r="O181" s="194" t="str">
        <f>IF(LEN(VLOOKUP(B181,'Analyst Report'!$A:$I,7,FALSE))= 0,"",VLOOKUP(B181,'Analyst Report'!$A:$I,7,FALSE))</f>
        <v/>
      </c>
      <c r="P181" s="194">
        <f t="shared" si="13"/>
        <v>1</v>
      </c>
      <c r="Q181" s="222">
        <v>20</v>
      </c>
      <c r="R181" s="194">
        <f>IF(LEN(VLOOKUP(B181,'Analyst Report'!$A$31:$I$288,9,FALSE))=0,VLOOKUP(B181,'Analyst Report'!$A$31:$I$288,8,FALSE),VLOOKUP(B181,'Analyst Report'!$A$31:$I$288,9,FALSE))</f>
        <v>20</v>
      </c>
      <c r="S181" s="194">
        <f t="shared" si="17"/>
        <v>20</v>
      </c>
      <c r="T181" s="194">
        <f t="shared" si="14"/>
        <v>20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Yes, intrustion monitoring occurs on a 24 x 7 x 365 basis and an incident response plan is in place in the need of an immediate response.</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Yes</v>
      </c>
      <c r="O182" s="194" t="str">
        <f>IF(LEN(VLOOKUP(B182,'Analyst Report'!$A:$I,7,FALSE))= 0,"",VLOOKUP(B182,'Analyst Report'!$A:$I,7,FALSE))</f>
        <v/>
      </c>
      <c r="P182" s="194">
        <f t="shared" si="13"/>
        <v>1</v>
      </c>
      <c r="Q182" s="222">
        <v>15</v>
      </c>
      <c r="R182" s="194">
        <f>IF(LEN(VLOOKUP(B182,'Analyst Report'!$A$31:$I$288,9,FALSE))=0,VLOOKUP(B182,'Analyst Report'!$A$31:$I$288,8,FALSE),VLOOKUP(B182,'Analyst Report'!$A$31:$I$288,9,FALSE))</f>
        <v>15</v>
      </c>
      <c r="S182" s="194">
        <f t="shared" si="17"/>
        <v>15</v>
      </c>
      <c r="T182" s="194">
        <f t="shared" si="14"/>
        <v>15</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t="str">
        <f>VLOOKUP(B183,'HECVAT - Full | Vendor Response'!A$4:D$320,4,TRUE)</f>
        <v>Intrustion monitoring is performed internally by both the Instructure Security and Engineering teams.</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Yes</v>
      </c>
      <c r="O183" s="194" t="str">
        <f>IF(LEN(VLOOKUP(B183,'Analyst Report'!$A:$I,7,FALSE))= 0,"",VLOOKUP(B183,'Analyst Report'!$A:$I,7,FALSE))</f>
        <v/>
      </c>
      <c r="P183" s="194">
        <f t="shared" si="13"/>
        <v>1</v>
      </c>
      <c r="Q183" s="222">
        <v>20</v>
      </c>
      <c r="R183" s="194">
        <f>IF(LEN(VLOOKUP(B183,'Analyst Report'!$A$31:$I$288,9,FALSE))=0,VLOOKUP(B183,'Analyst Report'!$A$31:$I$288,8,FALSE),VLOOKUP(B183,'Analyst Report'!$A$31:$I$288,9,FALSE))</f>
        <v>20</v>
      </c>
      <c r="S183" s="194">
        <f t="shared" si="17"/>
        <v>20</v>
      </c>
      <c r="T183" s="194">
        <f t="shared" si="14"/>
        <v>20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285"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https://inst.bid/status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285" x14ac:dyDescent="0.2">
      <c r="A208" s="201">
        <f t="shared" si="16"/>
        <v>191</v>
      </c>
      <c r="B208" s="208" t="s">
        <v>253</v>
      </c>
      <c r="C208" s="202" t="s">
        <v>2672</v>
      </c>
      <c r="D208" s="202" t="str">
        <f>VLOOKUP(B208,'HECVAT - Full | Vendor Response'!A$4:D$320,4,TRUE)</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Impact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180" x14ac:dyDescent="0.2">
      <c r="A212" s="201">
        <f t="shared" si="16"/>
        <v>195</v>
      </c>
      <c r="B212" s="202" t="s">
        <v>258</v>
      </c>
      <c r="C212" s="202" t="s">
        <v>3196</v>
      </c>
      <c r="D212" s="202" t="str">
        <f>VLOOKUP(B212,'HECVAT - Full | Vendor Response'!A$4:D$320,4,TRUE)</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98" x14ac:dyDescent="0.2">
      <c r="A214" s="201">
        <f t="shared" si="16"/>
        <v>197</v>
      </c>
      <c r="B214" s="202" t="s">
        <v>260</v>
      </c>
      <c r="C214" s="202" t="s">
        <v>3171</v>
      </c>
      <c r="D214" s="202" t="str">
        <f>VLOOKUP(B214,'HECVAT - Full | Vendor Response'!A$4:D$320,4,TRUE)</f>
        <v>Impact has Cloudflare WAF and CDN deployed to protect against common web application attacks as well as DDoS mitigation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200</v>
      </c>
      <c r="H3" s="249">
        <f>SUMIFS(Questions!S:S,Questions!B:B,D3)</f>
        <v>220</v>
      </c>
      <c r="I3" s="250">
        <f t="shared" ref="I3:I17" si="0">G3/H3</f>
        <v>0.90909090909090906</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175</v>
      </c>
      <c r="H4" s="249">
        <f>SUMIFS(Questions!S:S,Questions!B:B,D4)</f>
        <v>225</v>
      </c>
      <c r="I4" s="250">
        <f t="shared" si="0"/>
        <v>0.77777777777777779</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170</v>
      </c>
      <c r="H8" s="249">
        <f>SUMIFS(Questions!S:S,Questions!B:B,D8)</f>
        <v>385</v>
      </c>
      <c r="I8" s="250">
        <f t="shared" si="0"/>
        <v>0.44155844155844154</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260</v>
      </c>
      <c r="H10" s="249">
        <f>SUMIFS(Questions!S:S,Questions!B:B,D10)</f>
        <v>270</v>
      </c>
      <c r="I10" s="250">
        <f t="shared" si="0"/>
        <v>0.96296296296296291</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460</v>
      </c>
      <c r="H11" s="249">
        <f>SUMIFS(Questions!S:S,Questions!B:B,D11)</f>
        <v>495</v>
      </c>
      <c r="I11" s="250">
        <f t="shared" si="0"/>
        <v>0.92929292929292928</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190</v>
      </c>
      <c r="H13" s="249">
        <f>IF(Questions!N21="Yes",SUMIFS(Questions!S:S,Questions!B:B,D13),0)</f>
        <v>230</v>
      </c>
      <c r="I13" s="250">
        <f>IF(Questions!N21="Yes",G13/H13,0)</f>
        <v>0.82608695652173914</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150</v>
      </c>
      <c r="H14" s="249">
        <f>SUMIFS(Questions!S:S,Questions!B:B,D14)</f>
        <v>240</v>
      </c>
      <c r="I14" s="250">
        <f t="shared" si="0"/>
        <v>0.625</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3015</v>
      </c>
      <c r="H21" s="51">
        <f>SUM(H2:H20)</f>
        <v>3595</v>
      </c>
      <c r="I21" s="250">
        <f>G21/H21</f>
        <v>0.83866481223922118</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4.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5.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6.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Impact by Instructure</dc:subject>
  <dc:creator>Gary Denne</dc:creator>
  <cp:keywords/>
  <dc:description/>
  <cp:lastModifiedBy>Gary Denne</cp:lastModifiedBy>
  <cp:revision/>
  <dcterms:created xsi:type="dcterms:W3CDTF">2015-03-06T14:56:12Z</dcterms:created>
  <dcterms:modified xsi:type="dcterms:W3CDTF">2024-06-26T23:38:31Z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