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ladimir\Documents\GitHub\integracion1\SISTEMA\"/>
    </mc:Choice>
  </mc:AlternateContent>
  <bookViews>
    <workbookView xWindow="0" yWindow="0" windowWidth="11490" windowHeight="4575" activeTab="1"/>
  </bookViews>
  <sheets>
    <sheet name="Trabajadores" sheetId="1" r:id="rId1"/>
    <sheet name="Lib de Remuneraciones" sheetId="2" r:id="rId2"/>
    <sheet name="Liq de Sueldo" sheetId="3" r:id="rId3"/>
  </sheets>
  <externalReferences>
    <externalReference r:id="rId4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8" i="3" l="1"/>
  <c r="H66" i="3"/>
  <c r="D65" i="3"/>
  <c r="H63" i="3"/>
  <c r="H61" i="3"/>
  <c r="E59" i="3"/>
  <c r="E58" i="3"/>
  <c r="H56" i="3"/>
  <c r="C55" i="3"/>
  <c r="H54" i="3"/>
  <c r="H52" i="3"/>
  <c r="H50" i="3"/>
  <c r="H48" i="3"/>
  <c r="H46" i="3"/>
  <c r="H44" i="3"/>
  <c r="D42" i="3"/>
  <c r="A42" i="3"/>
  <c r="H69" i="3" s="1"/>
  <c r="B39" i="3"/>
  <c r="B38" i="3"/>
  <c r="B37" i="3"/>
  <c r="H33" i="3"/>
  <c r="H32" i="3"/>
  <c r="H31" i="3"/>
  <c r="H30" i="3"/>
  <c r="H29" i="3"/>
  <c r="D29" i="3"/>
  <c r="H28" i="3"/>
  <c r="H27" i="3"/>
  <c r="H26" i="3"/>
  <c r="H25" i="3"/>
  <c r="E24" i="3"/>
  <c r="E23" i="3"/>
  <c r="C23" i="3"/>
  <c r="E22" i="3"/>
  <c r="H21" i="3"/>
  <c r="H20" i="3"/>
  <c r="H19" i="3"/>
  <c r="C19" i="3"/>
  <c r="B19" i="3"/>
  <c r="H18" i="3"/>
  <c r="H17" i="3"/>
  <c r="H16" i="3"/>
  <c r="H15" i="3"/>
  <c r="H14" i="3"/>
  <c r="H13" i="3"/>
  <c r="H12" i="3"/>
  <c r="H11" i="3"/>
  <c r="H10" i="3"/>
  <c r="H9" i="3"/>
  <c r="H8" i="3"/>
  <c r="H6" i="3"/>
  <c r="D6" i="3"/>
  <c r="G5" i="3"/>
  <c r="G41" i="3" s="1"/>
  <c r="B3" i="3"/>
  <c r="B2" i="3"/>
  <c r="B1" i="3"/>
  <c r="K25" i="2"/>
  <c r="AC22" i="2"/>
  <c r="Q22" i="2"/>
  <c r="L22" i="2"/>
  <c r="M22" i="2" s="1"/>
  <c r="I22" i="2"/>
  <c r="J22" i="2" s="1"/>
  <c r="N22" i="2" s="1"/>
  <c r="AC21" i="2"/>
  <c r="Q21" i="2"/>
  <c r="J21" i="2"/>
  <c r="I21" i="2"/>
  <c r="AC20" i="2"/>
  <c r="Q20" i="2"/>
  <c r="L20" i="2"/>
  <c r="M20" i="2" s="1"/>
  <c r="I20" i="2"/>
  <c r="J20" i="2" s="1"/>
  <c r="N20" i="2" s="1"/>
  <c r="AC19" i="2"/>
  <c r="Q19" i="2"/>
  <c r="J19" i="2"/>
  <c r="I19" i="2"/>
  <c r="AC18" i="2"/>
  <c r="Q18" i="2"/>
  <c r="L18" i="2"/>
  <c r="M18" i="2" s="1"/>
  <c r="I18" i="2"/>
  <c r="J18" i="2" s="1"/>
  <c r="N18" i="2" s="1"/>
  <c r="AC17" i="2"/>
  <c r="Q17" i="2"/>
  <c r="J17" i="2"/>
  <c r="I17" i="2"/>
  <c r="AC16" i="2"/>
  <c r="Q16" i="2"/>
  <c r="L16" i="2"/>
  <c r="M16" i="2" s="1"/>
  <c r="I16" i="2"/>
  <c r="J16" i="2" s="1"/>
  <c r="N16" i="2" s="1"/>
  <c r="AC15" i="2"/>
  <c r="Q15" i="2"/>
  <c r="J15" i="2"/>
  <c r="I15" i="2"/>
  <c r="AC14" i="2"/>
  <c r="Q14" i="2"/>
  <c r="F14" i="2"/>
  <c r="G14" i="2" s="1"/>
  <c r="C14" i="2"/>
  <c r="B14" i="2"/>
  <c r="AC13" i="2"/>
  <c r="Q13" i="2"/>
  <c r="F13" i="2"/>
  <c r="G13" i="2" s="1"/>
  <c r="C13" i="2"/>
  <c r="B13" i="2"/>
  <c r="AC12" i="2"/>
  <c r="Q12" i="2"/>
  <c r="F12" i="2"/>
  <c r="G12" i="2" s="1"/>
  <c r="C12" i="2"/>
  <c r="B12" i="2"/>
  <c r="AN11" i="2"/>
  <c r="AG11" i="2"/>
  <c r="AC11" i="2"/>
  <c r="AF11" i="2" s="1"/>
  <c r="Q11" i="2"/>
  <c r="Q25" i="2" s="1"/>
  <c r="G11" i="2"/>
  <c r="F11" i="2"/>
  <c r="E11" i="2"/>
  <c r="C11" i="2"/>
  <c r="B11" i="2"/>
  <c r="AN10" i="2"/>
  <c r="AC10" i="2"/>
  <c r="AG10" i="2" s="1"/>
  <c r="Q10" i="2"/>
  <c r="F10" i="2"/>
  <c r="G10" i="2" s="1"/>
  <c r="C10" i="2"/>
  <c r="B10" i="2"/>
  <c r="AN9" i="2"/>
  <c r="AC9" i="2"/>
  <c r="AF9" i="2" s="1"/>
  <c r="Q9" i="2"/>
  <c r="F9" i="2"/>
  <c r="G9" i="2" s="1"/>
  <c r="C9" i="2"/>
  <c r="B9" i="2"/>
  <c r="AN8" i="2"/>
  <c r="AC8" i="2"/>
  <c r="Q8" i="2"/>
  <c r="I8" i="2"/>
  <c r="J8" i="2" s="1"/>
  <c r="F8" i="2"/>
  <c r="C8" i="2"/>
  <c r="B8" i="2"/>
  <c r="AG9" i="2" l="1"/>
  <c r="H42" i="3"/>
  <c r="H45" i="3"/>
  <c r="H47" i="3"/>
  <c r="H49" i="3"/>
  <c r="H51" i="3"/>
  <c r="H53" i="3"/>
  <c r="B55" i="3"/>
  <c r="H55" i="3"/>
  <c r="H57" i="3"/>
  <c r="C59" i="3"/>
  <c r="E60" i="3"/>
  <c r="H62" i="3"/>
  <c r="H64" i="3"/>
  <c r="H65" i="3"/>
  <c r="H67" i="3"/>
  <c r="F25" i="2"/>
  <c r="G8" i="2"/>
  <c r="E8" i="2"/>
  <c r="L8" i="2"/>
  <c r="AE16" i="2"/>
  <c r="X16" i="2"/>
  <c r="U16" i="2"/>
  <c r="AD16" i="2"/>
  <c r="Y16" i="2"/>
  <c r="AE18" i="2"/>
  <c r="X18" i="2"/>
  <c r="U18" i="2"/>
  <c r="AD18" i="2"/>
  <c r="Y18" i="2"/>
  <c r="AE20" i="2"/>
  <c r="X20" i="2"/>
  <c r="U20" i="2"/>
  <c r="AD20" i="2"/>
  <c r="Y20" i="2"/>
  <c r="AE22" i="2"/>
  <c r="X22" i="2"/>
  <c r="U22" i="2"/>
  <c r="AD22" i="2"/>
  <c r="Y22" i="2"/>
  <c r="I9" i="2"/>
  <c r="J9" i="2" s="1"/>
  <c r="J25" i="2" s="1"/>
  <c r="L9" i="2"/>
  <c r="M9" i="2" s="1"/>
  <c r="N9" i="2" s="1"/>
  <c r="I10" i="2"/>
  <c r="J10" i="2" s="1"/>
  <c r="L10" i="2" s="1"/>
  <c r="M10" i="2" s="1"/>
  <c r="N10" i="2" s="1"/>
  <c r="AF10" i="2"/>
  <c r="I12" i="2"/>
  <c r="J12" i="2" s="1"/>
  <c r="L12" i="2" s="1"/>
  <c r="M12" i="2" s="1"/>
  <c r="N12" i="2" s="1"/>
  <c r="I13" i="2"/>
  <c r="J13" i="2" s="1"/>
  <c r="L13" i="2"/>
  <c r="M13" i="2" s="1"/>
  <c r="N13" i="2" s="1"/>
  <c r="L14" i="2"/>
  <c r="M14" i="2" s="1"/>
  <c r="L15" i="2"/>
  <c r="M15" i="2" s="1"/>
  <c r="N15" i="2" s="1"/>
  <c r="N17" i="2"/>
  <c r="L17" i="2"/>
  <c r="M17" i="2" s="1"/>
  <c r="L19" i="2"/>
  <c r="M19" i="2" s="1"/>
  <c r="N19" i="2" s="1"/>
  <c r="N21" i="2"/>
  <c r="L21" i="2"/>
  <c r="M21" i="2" s="1"/>
  <c r="E9" i="2"/>
  <c r="E10" i="2"/>
  <c r="I11" i="2"/>
  <c r="J11" i="2" s="1"/>
  <c r="N11" i="2" s="1"/>
  <c r="L11" i="2"/>
  <c r="M11" i="2" s="1"/>
  <c r="E12" i="2"/>
  <c r="I14" i="2"/>
  <c r="J14" i="2" s="1"/>
  <c r="N14" i="2"/>
  <c r="AD19" i="2" l="1"/>
  <c r="Y19" i="2"/>
  <c r="U19" i="2"/>
  <c r="AE19" i="2"/>
  <c r="X19" i="2"/>
  <c r="X9" i="2"/>
  <c r="AD9" i="2"/>
  <c r="Y9" i="2"/>
  <c r="U9" i="2"/>
  <c r="U11" i="2"/>
  <c r="AD11" i="2"/>
  <c r="X11" i="2"/>
  <c r="AD15" i="2"/>
  <c r="Y15" i="2"/>
  <c r="U15" i="2"/>
  <c r="AE15" i="2"/>
  <c r="X15" i="2"/>
  <c r="AD13" i="2"/>
  <c r="X13" i="2"/>
  <c r="AE13" i="2"/>
  <c r="Y13" i="2"/>
  <c r="U13" i="2"/>
  <c r="X12" i="2"/>
  <c r="AE12" i="2"/>
  <c r="Y12" i="2"/>
  <c r="U12" i="2"/>
  <c r="AD10" i="2"/>
  <c r="X10" i="2"/>
  <c r="U10" i="2"/>
  <c r="AE14" i="2"/>
  <c r="X14" i="2"/>
  <c r="U14" i="2"/>
  <c r="AD14" i="2"/>
  <c r="Y14" i="2"/>
  <c r="AD21" i="2"/>
  <c r="Y21" i="2"/>
  <c r="U21" i="2"/>
  <c r="AE21" i="2"/>
  <c r="X21" i="2"/>
  <c r="AD17" i="2"/>
  <c r="Y17" i="2"/>
  <c r="U17" i="2"/>
  <c r="AE17" i="2"/>
  <c r="X17" i="2"/>
  <c r="AG22" i="2"/>
  <c r="AJ22" i="2" s="1"/>
  <c r="AF22" i="2"/>
  <c r="AG20" i="2"/>
  <c r="AF20" i="2"/>
  <c r="AG18" i="2"/>
  <c r="AJ18" i="2" s="1"/>
  <c r="AF18" i="2"/>
  <c r="AG16" i="2"/>
  <c r="AF16" i="2"/>
  <c r="L25" i="2"/>
  <c r="M8" i="2"/>
  <c r="M25" i="2" s="1"/>
  <c r="G25" i="2"/>
  <c r="N8" i="2"/>
  <c r="AJ20" i="2"/>
  <c r="AJ16" i="2"/>
  <c r="AQ18" i="2" l="1"/>
  <c r="AR18" i="2" s="1"/>
  <c r="AT18" i="2" s="1"/>
  <c r="AK18" i="2"/>
  <c r="AQ22" i="2"/>
  <c r="AR22" i="2" s="1"/>
  <c r="AT22" i="2" s="1"/>
  <c r="AK22" i="2"/>
  <c r="AQ16" i="2"/>
  <c r="AR16" i="2" s="1"/>
  <c r="AT16" i="2" s="1"/>
  <c r="AK16" i="2"/>
  <c r="AQ20" i="2"/>
  <c r="AR20" i="2" s="1"/>
  <c r="AT20" i="2" s="1"/>
  <c r="AK20" i="2"/>
  <c r="N25" i="2"/>
  <c r="X8" i="2"/>
  <c r="AE8" i="2"/>
  <c r="Y8" i="2"/>
  <c r="U8" i="2"/>
  <c r="AJ21" i="2"/>
  <c r="AG14" i="2"/>
  <c r="AF14" i="2"/>
  <c r="AG12" i="2"/>
  <c r="AF12" i="2"/>
  <c r="AJ12" i="2"/>
  <c r="AG15" i="2"/>
  <c r="AF15" i="2"/>
  <c r="AG17" i="2"/>
  <c r="AJ17" i="2" s="1"/>
  <c r="AF17" i="2"/>
  <c r="AG21" i="2"/>
  <c r="AF21" i="2"/>
  <c r="AJ14" i="2"/>
  <c r="AJ10" i="2"/>
  <c r="AG13" i="2"/>
  <c r="AF13" i="2"/>
  <c r="AJ13" i="2"/>
  <c r="AJ15" i="2"/>
  <c r="AJ11" i="2"/>
  <c r="AD25" i="2"/>
  <c r="AJ9" i="2"/>
  <c r="AG19" i="2"/>
  <c r="AJ19" i="2" s="1"/>
  <c r="AF19" i="2"/>
  <c r="AQ17" i="2" l="1"/>
  <c r="AR17" i="2" s="1"/>
  <c r="AT17" i="2" s="1"/>
  <c r="AK17" i="2"/>
  <c r="AQ19" i="2"/>
  <c r="AR19" i="2" s="1"/>
  <c r="AT19" i="2" s="1"/>
  <c r="AK19" i="2"/>
  <c r="AQ9" i="2"/>
  <c r="AR9" i="2" s="1"/>
  <c r="AT9" i="2" s="1"/>
  <c r="AK9" i="2"/>
  <c r="AQ15" i="2"/>
  <c r="AR15" i="2" s="1"/>
  <c r="AT15" i="2" s="1"/>
  <c r="AK15" i="2"/>
  <c r="AQ14" i="2"/>
  <c r="AR14" i="2" s="1"/>
  <c r="AT14" i="2" s="1"/>
  <c r="AK14" i="2"/>
  <c r="AK12" i="2"/>
  <c r="AL12" i="2" s="1"/>
  <c r="AN12" i="2" s="1"/>
  <c r="AQ12" i="2" s="1"/>
  <c r="AR12" i="2" s="1"/>
  <c r="AT12" i="2" s="1"/>
  <c r="AQ21" i="2"/>
  <c r="AR21" i="2" s="1"/>
  <c r="AT21" i="2" s="1"/>
  <c r="AK21" i="2"/>
  <c r="U25" i="2"/>
  <c r="AE25" i="2"/>
  <c r="AG8" i="2"/>
  <c r="AJ8" i="2" s="1"/>
  <c r="AF8" i="2"/>
  <c r="X25" i="2"/>
  <c r="AQ11" i="2"/>
  <c r="AR11" i="2" s="1"/>
  <c r="AT11" i="2" s="1"/>
  <c r="AK11" i="2"/>
  <c r="AQ13" i="2"/>
  <c r="AR13" i="2" s="1"/>
  <c r="AT13" i="2" s="1"/>
  <c r="AK13" i="2"/>
  <c r="AQ10" i="2"/>
  <c r="AR10" i="2" s="1"/>
  <c r="AT10" i="2" s="1"/>
  <c r="AK10" i="2"/>
  <c r="AQ8" i="2" l="1"/>
  <c r="AK8" i="2"/>
  <c r="AQ25" i="2" l="1"/>
  <c r="AR8" i="2"/>
  <c r="AR25" i="2" l="1"/>
  <c r="AT8" i="2"/>
  <c r="AT25" i="2" s="1"/>
</calcChain>
</file>

<file path=xl/sharedStrings.xml><?xml version="1.0" encoding="utf-8"?>
<sst xmlns="http://schemas.openxmlformats.org/spreadsheetml/2006/main" count="198" uniqueCount="120">
  <si>
    <t>N°</t>
  </si>
  <si>
    <t>R.U.N.</t>
  </si>
  <si>
    <t>NOMBRES</t>
  </si>
  <si>
    <t>FECHA DE NACIMIENTO</t>
  </si>
  <si>
    <t>ESTADO CIVIL</t>
  </si>
  <si>
    <t>CARGO</t>
  </si>
  <si>
    <t>FECHA DE INGRESO</t>
  </si>
  <si>
    <t>FECHA DE TERMINO</t>
  </si>
  <si>
    <t>A.F.P.</t>
  </si>
  <si>
    <t>PREVISIÓN SOCIAL</t>
  </si>
  <si>
    <t>CARGAS FAMILIARES</t>
  </si>
  <si>
    <t>SUELDO DEL MES</t>
  </si>
  <si>
    <t>15.853.225-0</t>
  </si>
  <si>
    <t>JUAN CARLOS TRIBIÑO BODOQUE</t>
  </si>
  <si>
    <t>CASADO</t>
  </si>
  <si>
    <t>INDEFINIDO</t>
  </si>
  <si>
    <t>CUPRUM</t>
  </si>
  <si>
    <t>ISAPRE</t>
  </si>
  <si>
    <t>18.432.222-k</t>
  </si>
  <si>
    <t>JUAN ANTONIO PEREZ GONZALEZ</t>
  </si>
  <si>
    <t>SOLTERO</t>
  </si>
  <si>
    <t>AUXILIAR DE ASEO</t>
  </si>
  <si>
    <t>HABITAT</t>
  </si>
  <si>
    <t>FONASA</t>
  </si>
  <si>
    <t>15.221.595-1</t>
  </si>
  <si>
    <t>ROSA JAVIERA ESPINOZA MORALES</t>
  </si>
  <si>
    <t>MODELO</t>
  </si>
  <si>
    <t>12.451.284-0</t>
  </si>
  <si>
    <t>ALEXIS ARTURO VIDAL SANCHEZ</t>
  </si>
  <si>
    <t>14.924.315-k</t>
  </si>
  <si>
    <t>MARISOL DEL CARMEN MÜLLER NEÜER</t>
  </si>
  <si>
    <t>PROVIDA</t>
  </si>
  <si>
    <t xml:space="preserve">DIRECCIÓN </t>
  </si>
  <si>
    <t>LIBRO DE REMUNERACIONES</t>
  </si>
  <si>
    <t>DICIEMBRE DE 2018</t>
  </si>
  <si>
    <t>EMPRESA:</t>
  </si>
  <si>
    <t>Empresa de Prueba SPA</t>
  </si>
  <si>
    <t>RUT:</t>
  </si>
  <si>
    <t>78.878.251-5</t>
  </si>
  <si>
    <t>DIRECCIÓN:</t>
  </si>
  <si>
    <t>MANUEL BULNES #1815</t>
  </si>
  <si>
    <t xml:space="preserve">TEMUCO </t>
  </si>
  <si>
    <t>NOMBRE TRABAJADOR</t>
  </si>
  <si>
    <t>R.U.T</t>
  </si>
  <si>
    <t>DIAS</t>
  </si>
  <si>
    <t>VALOR</t>
  </si>
  <si>
    <t>SUELDO BASE</t>
  </si>
  <si>
    <t xml:space="preserve">ASIGNACIÓN DE ZONA </t>
  </si>
  <si>
    <t>HORAS EXTRAS</t>
  </si>
  <si>
    <t>BONOS</t>
  </si>
  <si>
    <t>SUMA ANTES</t>
  </si>
  <si>
    <t>GRATIFICACIÓN</t>
  </si>
  <si>
    <t>TOTAL</t>
  </si>
  <si>
    <t>ASIGNACIÓN FAMILIAR</t>
  </si>
  <si>
    <t>BONO</t>
  </si>
  <si>
    <t>OTROS</t>
  </si>
  <si>
    <t xml:space="preserve">PREVISIÓN </t>
  </si>
  <si>
    <t>SALUD</t>
  </si>
  <si>
    <t>COTIZACIÓN</t>
  </si>
  <si>
    <t xml:space="preserve">CUENTA </t>
  </si>
  <si>
    <t>DESCUENTO</t>
  </si>
  <si>
    <t xml:space="preserve">REMUNERACIÓN </t>
  </si>
  <si>
    <t>REBAJAS AL</t>
  </si>
  <si>
    <t>IMPTO. ÚNICO</t>
  </si>
  <si>
    <t>PRESTAMOS</t>
  </si>
  <si>
    <t>CUOTA</t>
  </si>
  <si>
    <t>ALCANCE</t>
  </si>
  <si>
    <t>VALES O</t>
  </si>
  <si>
    <t>SALDO</t>
  </si>
  <si>
    <t>DIA</t>
  </si>
  <si>
    <t>DE GRATIFICACIÓN</t>
  </si>
  <si>
    <t>IMPONIBLE</t>
  </si>
  <si>
    <t>C.F.</t>
  </si>
  <si>
    <t>COLACIÓN</t>
  </si>
  <si>
    <t xml:space="preserve">MOVILIZACIÒN </t>
  </si>
  <si>
    <t>HABERES</t>
  </si>
  <si>
    <t>TASA%</t>
  </si>
  <si>
    <t>SEG. DESEMPLEO</t>
  </si>
  <si>
    <t>% DE COT.</t>
  </si>
  <si>
    <t>PACT. U.F.</t>
  </si>
  <si>
    <t>VALOR U.F.</t>
  </si>
  <si>
    <t>COTIZ. PACT</t>
  </si>
  <si>
    <t>DIFER. ISAPRE</t>
  </si>
  <si>
    <t>TOTAL ISAPRE</t>
  </si>
  <si>
    <t>VOLUNTARIA</t>
  </si>
  <si>
    <t>AHORRO</t>
  </si>
  <si>
    <t>PREVISIONAL</t>
  </si>
  <si>
    <t>NETA IMPONIBLE</t>
  </si>
  <si>
    <t>IMPUESTO</t>
  </si>
  <si>
    <t>A PAGAR</t>
  </si>
  <si>
    <t>DESCUENTOS</t>
  </si>
  <si>
    <t>LIQUIDO</t>
  </si>
  <si>
    <t>ANTICIPOS</t>
  </si>
  <si>
    <t>LIQUIDO A PAGAR</t>
  </si>
  <si>
    <t>1 DE 4</t>
  </si>
  <si>
    <t xml:space="preserve">  </t>
  </si>
  <si>
    <t>SUMAS</t>
  </si>
  <si>
    <t>RUT</t>
  </si>
  <si>
    <t>TEMUCO</t>
  </si>
  <si>
    <t xml:space="preserve">LIQUIDACIÓN DE SUELDO DEL MES DE:              </t>
  </si>
  <si>
    <t>NOMBRE DEL TRABAJADOR</t>
  </si>
  <si>
    <t>R.U.T.</t>
  </si>
  <si>
    <t xml:space="preserve">SUELDO BASE </t>
  </si>
  <si>
    <t>ASIGNACIÓN DE ZONA</t>
  </si>
  <si>
    <t>TOTAL IMPONIBLE</t>
  </si>
  <si>
    <t>BONO COLACIÓN</t>
  </si>
  <si>
    <t xml:space="preserve">BONO MOVILIZACIÒN </t>
  </si>
  <si>
    <t>TOTAL HABERES</t>
  </si>
  <si>
    <t>AFP</t>
  </si>
  <si>
    <t>COTIZACIÓN VOLUNTARIA</t>
  </si>
  <si>
    <t>CUENTA AHORRO</t>
  </si>
  <si>
    <t>IMPUESTO ÚNICO A PAGAR</t>
  </si>
  <si>
    <t>TOTAL DESCUENTOS</t>
  </si>
  <si>
    <t>ALCANCE LIQUIDO</t>
  </si>
  <si>
    <t>VALES O ANTICIPOS</t>
  </si>
  <si>
    <t>EMPRESA</t>
  </si>
  <si>
    <t xml:space="preserve">DIRECIÓN </t>
  </si>
  <si>
    <t>ADMINISTRATIVO</t>
  </si>
  <si>
    <t>SECRETARIA</t>
  </si>
  <si>
    <t>GERENTE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</si>
</sst>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 * #,##0.00_ ;_ * \-#,##0.00_ ;_ * &quot;-&quot;??_ ;_ @_ "/>
    <numFmt numFmtId="165" formatCode="_-* #,##0_-;\-* #,##0_-;_-* &quot;-&quot;??_-;_-@_-"/>
    <numFmt numFmtId="166" formatCode="_-* #,##0.0_-;\-* #,##0.0_-;_-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2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65" fontId="0" fillId="0" borderId="1" xfId="1" applyNumberFormat="1" applyFon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65" fontId="0" fillId="0" borderId="1" xfId="1" applyNumberFormat="1" applyFont="1" applyBorder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165" fontId="3" fillId="0" borderId="0" xfId="1" applyNumberFormat="1" applyFont="1" applyAlignment="1">
      <alignment horizontal="center"/>
    </xf>
    <xf numFmtId="165" fontId="2" fillId="0" borderId="0" xfId="1" applyNumberFormat="1" applyFont="1"/>
    <xf numFmtId="0" fontId="4" fillId="2" borderId="0" xfId="0" applyFont="1" applyFill="1"/>
    <xf numFmtId="165" fontId="4" fillId="2" borderId="0" xfId="1" applyNumberFormat="1" applyFont="1" applyFill="1"/>
    <xf numFmtId="0" fontId="2" fillId="0" borderId="0" xfId="1" applyNumberFormat="1" applyFont="1" applyAlignment="1">
      <alignment horizontal="center"/>
    </xf>
    <xf numFmtId="165" fontId="2" fillId="0" borderId="0" xfId="1" applyNumberFormat="1" applyFont="1" applyAlignment="1">
      <alignment horizontal="center"/>
    </xf>
    <xf numFmtId="0" fontId="2" fillId="0" borderId="0" xfId="0" applyFont="1" applyAlignment="1"/>
    <xf numFmtId="0" fontId="2" fillId="0" borderId="0" xfId="0" applyFont="1" applyAlignment="1">
      <alignment horizontal="center"/>
    </xf>
    <xf numFmtId="0" fontId="3" fillId="0" borderId="0" xfId="0" applyFont="1"/>
    <xf numFmtId="0" fontId="0" fillId="0" borderId="0" xfId="0" applyFont="1"/>
    <xf numFmtId="165" fontId="0" fillId="0" borderId="0" xfId="1" applyNumberFormat="1" applyFont="1"/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65" fontId="2" fillId="0" borderId="3" xfId="1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165" fontId="2" fillId="3" borderId="3" xfId="1" applyNumberFormat="1" applyFont="1" applyFill="1" applyBorder="1" applyAlignment="1">
      <alignment horizontal="center" vertical="center"/>
    </xf>
    <xf numFmtId="165" fontId="2" fillId="4" borderId="3" xfId="1" applyNumberFormat="1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165" fontId="2" fillId="0" borderId="3" xfId="1" applyNumberFormat="1" applyFont="1" applyBorder="1" applyAlignment="1">
      <alignment horizontal="center"/>
    </xf>
    <xf numFmtId="165" fontId="2" fillId="4" borderId="7" xfId="1" applyNumberFormat="1" applyFont="1" applyFill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165" fontId="2" fillId="5" borderId="3" xfId="1" applyNumberFormat="1" applyFont="1" applyFill="1" applyBorder="1" applyAlignment="1">
      <alignment horizontal="center"/>
    </xf>
    <xf numFmtId="165" fontId="2" fillId="5" borderId="7" xfId="1" applyNumberFormat="1" applyFont="1" applyFill="1" applyBorder="1" applyAlignment="1">
      <alignment horizontal="center"/>
    </xf>
    <xf numFmtId="0" fontId="2" fillId="0" borderId="10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165" fontId="2" fillId="0" borderId="10" xfId="1" applyNumberFormat="1" applyFont="1" applyBorder="1" applyAlignment="1">
      <alignment horizontal="center" vertical="center"/>
    </xf>
    <xf numFmtId="165" fontId="2" fillId="0" borderId="1" xfId="1" applyNumberFormat="1" applyFont="1" applyBorder="1" applyAlignment="1">
      <alignment horizontal="center"/>
    </xf>
    <xf numFmtId="165" fontId="2" fillId="3" borderId="10" xfId="1" applyNumberFormat="1" applyFont="1" applyFill="1" applyBorder="1" applyAlignment="1">
      <alignment horizontal="center" vertical="center"/>
    </xf>
    <xf numFmtId="165" fontId="2" fillId="4" borderId="10" xfId="1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165" fontId="4" fillId="2" borderId="1" xfId="1" applyNumberFormat="1" applyFont="1" applyFill="1" applyBorder="1" applyAlignment="1">
      <alignment horizontal="center"/>
    </xf>
    <xf numFmtId="165" fontId="2" fillId="0" borderId="10" xfId="1" applyNumberFormat="1" applyFont="1" applyBorder="1" applyAlignment="1">
      <alignment horizontal="center"/>
    </xf>
    <xf numFmtId="165" fontId="2" fillId="4" borderId="11" xfId="1" applyNumberFormat="1" applyFont="1" applyFill="1" applyBorder="1" applyAlignment="1">
      <alignment horizontal="center"/>
    </xf>
    <xf numFmtId="0" fontId="0" fillId="0" borderId="1" xfId="1" applyNumberFormat="1" applyFont="1" applyBorder="1" applyAlignment="1">
      <alignment horizontal="center"/>
    </xf>
    <xf numFmtId="0" fontId="2" fillId="0" borderId="1" xfId="0" applyFont="1" applyBorder="1"/>
    <xf numFmtId="165" fontId="2" fillId="0" borderId="1" xfId="1" applyNumberFormat="1" applyFont="1" applyBorder="1"/>
    <xf numFmtId="165" fontId="2" fillId="5" borderId="10" xfId="1" applyNumberFormat="1" applyFont="1" applyFill="1" applyBorder="1" applyAlignment="1">
      <alignment horizontal="center"/>
    </xf>
    <xf numFmtId="165" fontId="2" fillId="5" borderId="11" xfId="1" applyNumberFormat="1" applyFont="1" applyFill="1" applyBorder="1" applyAlignment="1">
      <alignment horizontal="center"/>
    </xf>
    <xf numFmtId="165" fontId="2" fillId="0" borderId="1" xfId="0" applyNumberFormat="1" applyFont="1" applyBorder="1"/>
    <xf numFmtId="165" fontId="2" fillId="3" borderId="1" xfId="1" applyNumberFormat="1" applyFont="1" applyFill="1" applyBorder="1"/>
    <xf numFmtId="165" fontId="2" fillId="4" borderId="1" xfId="1" applyNumberFormat="1" applyFont="1" applyFill="1" applyBorder="1"/>
    <xf numFmtId="0" fontId="4" fillId="2" borderId="1" xfId="0" applyFont="1" applyFill="1" applyBorder="1"/>
    <xf numFmtId="165" fontId="4" fillId="2" borderId="1" xfId="1" applyNumberFormat="1" applyFont="1" applyFill="1" applyBorder="1"/>
    <xf numFmtId="10" fontId="2" fillId="0" borderId="1" xfId="0" applyNumberFormat="1" applyFont="1" applyBorder="1"/>
    <xf numFmtId="9" fontId="2" fillId="0" borderId="1" xfId="1" applyNumberFormat="1" applyFont="1" applyBorder="1" applyAlignment="1">
      <alignment horizontal="center"/>
    </xf>
    <xf numFmtId="165" fontId="0" fillId="0" borderId="1" xfId="1" applyNumberFormat="1" applyFont="1" applyBorder="1"/>
    <xf numFmtId="165" fontId="2" fillId="5" borderId="1" xfId="1" applyNumberFormat="1" applyFont="1" applyFill="1" applyBorder="1"/>
    <xf numFmtId="10" fontId="2" fillId="0" borderId="0" xfId="0" applyNumberFormat="1" applyFont="1"/>
    <xf numFmtId="0" fontId="2" fillId="0" borderId="1" xfId="1" applyNumberFormat="1" applyFont="1" applyBorder="1" applyAlignment="1">
      <alignment horizontal="center"/>
    </xf>
    <xf numFmtId="165" fontId="2" fillId="0" borderId="0" xfId="1" applyNumberFormat="1" applyFont="1" applyBorder="1"/>
    <xf numFmtId="0" fontId="5" fillId="0" borderId="0" xfId="0" applyFont="1"/>
    <xf numFmtId="10" fontId="5" fillId="0" borderId="0" xfId="2" applyNumberFormat="1" applyFont="1"/>
    <xf numFmtId="165" fontId="5" fillId="0" borderId="0" xfId="1" applyNumberFormat="1" applyFont="1"/>
    <xf numFmtId="0" fontId="6" fillId="0" borderId="0" xfId="0" applyFont="1" applyAlignment="1"/>
    <xf numFmtId="10" fontId="6" fillId="0" borderId="0" xfId="2" applyNumberFormat="1" applyFont="1" applyAlignment="1"/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Border="1" applyAlignment="1">
      <alignment horizontal="center"/>
    </xf>
    <xf numFmtId="10" fontId="2" fillId="0" borderId="0" xfId="2" applyNumberFormat="1" applyFont="1" applyBorder="1" applyAlignment="1"/>
    <xf numFmtId="165" fontId="6" fillId="0" borderId="0" xfId="1" applyNumberFormat="1" applyFont="1"/>
    <xf numFmtId="166" fontId="5" fillId="0" borderId="0" xfId="1" applyNumberFormat="1" applyFont="1"/>
    <xf numFmtId="0" fontId="5" fillId="0" borderId="0" xfId="0" applyFont="1" applyAlignment="1">
      <alignment horizontal="center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Wladimir/Desktop/Remuneraciones/REMUNERACIONES%20libr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 DE LOS TRABAJADORES"/>
      <sheetName val="LIBRO DE REMUNERACIONES"/>
      <sheetName val=" LIQUIDACIÒN"/>
    </sheetNames>
    <sheetDataSet>
      <sheetData sheetId="0">
        <row r="3">
          <cell r="A3" t="str">
            <v>N°</v>
          </cell>
          <cell r="B3" t="str">
            <v>R.U.N.</v>
          </cell>
          <cell r="C3" t="str">
            <v>NOMBRES</v>
          </cell>
          <cell r="D3" t="str">
            <v>FECHA DE NACIMIENTO</v>
          </cell>
          <cell r="E3" t="str">
            <v xml:space="preserve">DIRECCIÒN </v>
          </cell>
          <cell r="F3" t="str">
            <v>ESTADO CIVIL</v>
          </cell>
          <cell r="G3" t="str">
            <v>CARGO</v>
          </cell>
          <cell r="H3" t="str">
            <v>FECHA DE INGRESO</v>
          </cell>
          <cell r="I3" t="str">
            <v>FECHA DE TERMINO</v>
          </cell>
          <cell r="J3" t="str">
            <v>A.F.P.</v>
          </cell>
          <cell r="K3" t="str">
            <v>PREVISIÓN SOCIAL</v>
          </cell>
          <cell r="L3" t="str">
            <v>CARGAS FAMILIARES</v>
          </cell>
          <cell r="M3" t="str">
            <v>SUELDO DEL MES</v>
          </cell>
        </row>
        <row r="4">
          <cell r="A4">
            <v>1</v>
          </cell>
          <cell r="B4" t="str">
            <v>15.853.225-0</v>
          </cell>
          <cell r="C4" t="str">
            <v>JUAN CARLOS TRIBIÑO BODOQUE</v>
          </cell>
          <cell r="D4">
            <v>30448</v>
          </cell>
          <cell r="F4" t="str">
            <v>CASADO</v>
          </cell>
          <cell r="G4" t="str">
            <v>CAJERO</v>
          </cell>
          <cell r="H4">
            <v>42095</v>
          </cell>
          <cell r="I4" t="str">
            <v>INDEFINIDO</v>
          </cell>
          <cell r="J4" t="str">
            <v>CUPRUM</v>
          </cell>
          <cell r="K4" t="str">
            <v>ISAPRE</v>
          </cell>
          <cell r="L4">
            <v>0</v>
          </cell>
          <cell r="M4">
            <v>310000</v>
          </cell>
        </row>
        <row r="5">
          <cell r="A5">
            <v>2</v>
          </cell>
          <cell r="B5" t="str">
            <v>18.432.222-k</v>
          </cell>
          <cell r="C5" t="str">
            <v>JUAN ANTONIO PEREZ GONZALEZ</v>
          </cell>
          <cell r="D5">
            <v>34238</v>
          </cell>
          <cell r="F5" t="str">
            <v>SOLTERO</v>
          </cell>
          <cell r="G5" t="str">
            <v>AUXILIAR DE ASEO</v>
          </cell>
          <cell r="H5">
            <v>42095</v>
          </cell>
          <cell r="I5" t="str">
            <v>INDEFINIDO</v>
          </cell>
          <cell r="J5" t="str">
            <v>HABITAT</v>
          </cell>
          <cell r="K5" t="str">
            <v>FONASA</v>
          </cell>
          <cell r="L5">
            <v>2</v>
          </cell>
          <cell r="M5">
            <v>225000</v>
          </cell>
        </row>
        <row r="6">
          <cell r="A6">
            <v>3</v>
          </cell>
          <cell r="B6" t="str">
            <v>15.221.595-1</v>
          </cell>
          <cell r="C6" t="str">
            <v>ROSA JAVIERA ESPINOZA MORALES</v>
          </cell>
          <cell r="D6">
            <v>31532</v>
          </cell>
          <cell r="F6" t="str">
            <v>SOLTERO</v>
          </cell>
          <cell r="G6" t="str">
            <v>VENDEDOR</v>
          </cell>
          <cell r="H6">
            <v>42100</v>
          </cell>
          <cell r="I6">
            <v>42130</v>
          </cell>
          <cell r="J6" t="str">
            <v>MODELO</v>
          </cell>
          <cell r="K6" t="str">
            <v>FONASA</v>
          </cell>
          <cell r="L6">
            <v>4</v>
          </cell>
          <cell r="M6">
            <v>250000</v>
          </cell>
        </row>
        <row r="7">
          <cell r="A7">
            <v>4</v>
          </cell>
          <cell r="B7" t="str">
            <v>12.451.284-0</v>
          </cell>
          <cell r="C7" t="str">
            <v>ALEXIS ARTURO VIDAL SANCHEZ</v>
          </cell>
          <cell r="D7">
            <v>29060</v>
          </cell>
          <cell r="F7" t="str">
            <v>CASADO</v>
          </cell>
          <cell r="G7" t="str">
            <v>VENDEDOR</v>
          </cell>
          <cell r="H7">
            <v>42095</v>
          </cell>
          <cell r="I7">
            <v>42124</v>
          </cell>
          <cell r="J7" t="str">
            <v>CUPRUM</v>
          </cell>
          <cell r="K7" t="str">
            <v>FONASA</v>
          </cell>
          <cell r="L7">
            <v>2</v>
          </cell>
          <cell r="M7">
            <v>250000</v>
          </cell>
        </row>
        <row r="8">
          <cell r="A8">
            <v>5</v>
          </cell>
          <cell r="B8" t="str">
            <v>14.924.315-k</v>
          </cell>
          <cell r="C8" t="str">
            <v>MARISOL DEL CARMEN MÜLLER NEÜER</v>
          </cell>
          <cell r="D8">
            <v>30212</v>
          </cell>
          <cell r="F8" t="str">
            <v>CASADO</v>
          </cell>
          <cell r="G8" t="str">
            <v xml:space="preserve">ADMINISTRADOR </v>
          </cell>
          <cell r="H8">
            <v>42100</v>
          </cell>
          <cell r="I8" t="str">
            <v>INDEFINIDO</v>
          </cell>
          <cell r="J8" t="str">
            <v>PROVIDA</v>
          </cell>
          <cell r="K8" t="str">
            <v>ISAPRE</v>
          </cell>
          <cell r="L8">
            <v>1</v>
          </cell>
          <cell r="M8">
            <v>900000</v>
          </cell>
        </row>
        <row r="9">
          <cell r="A9">
            <v>6</v>
          </cell>
        </row>
        <row r="10">
          <cell r="A10">
            <v>7</v>
          </cell>
        </row>
        <row r="11">
          <cell r="A11">
            <v>8</v>
          </cell>
        </row>
        <row r="12">
          <cell r="A12">
            <v>9</v>
          </cell>
        </row>
        <row r="13">
          <cell r="A13">
            <v>10</v>
          </cell>
        </row>
      </sheetData>
      <sheetData sheetId="1">
        <row r="1">
          <cell r="M1" t="str">
            <v>DICIEMBRE DE 2018</v>
          </cell>
        </row>
        <row r="2">
          <cell r="B2" t="str">
            <v>Empresa de Prueba SPA</v>
          </cell>
        </row>
        <row r="3">
          <cell r="B3" t="str">
            <v>78.878.251-5</v>
          </cell>
        </row>
        <row r="4">
          <cell r="B4" t="str">
            <v>MANUEL BULNES #1815</v>
          </cell>
        </row>
        <row r="6">
          <cell r="A6" t="str">
            <v>N°</v>
          </cell>
          <cell r="B6" t="str">
            <v>NOMBRE TRABAJADOR</v>
          </cell>
          <cell r="C6" t="str">
            <v>R.U.T</v>
          </cell>
          <cell r="D6" t="str">
            <v>DIAS</v>
          </cell>
          <cell r="E6" t="str">
            <v>VALOR</v>
          </cell>
          <cell r="F6" t="str">
            <v>SUELDO BASE</v>
          </cell>
          <cell r="G6" t="str">
            <v xml:space="preserve">ASIGNACIÓN DE ZONA </v>
          </cell>
          <cell r="H6" t="str">
            <v>HORAS EXTRAS</v>
          </cell>
          <cell r="K6" t="str">
            <v>BONOS</v>
          </cell>
          <cell r="L6" t="str">
            <v>SUMA ANTES</v>
          </cell>
          <cell r="M6" t="str">
            <v>GRATIFICACIÓN</v>
          </cell>
          <cell r="N6" t="str">
            <v>TOTAL</v>
          </cell>
          <cell r="O6" t="str">
            <v>ASIGNACIÓN FAMILIAR</v>
          </cell>
          <cell r="R6" t="str">
            <v>BONO</v>
          </cell>
          <cell r="S6" t="str">
            <v>BONO</v>
          </cell>
          <cell r="T6" t="str">
            <v>OTROS</v>
          </cell>
          <cell r="U6" t="str">
            <v>TOTAL</v>
          </cell>
          <cell r="V6" t="str">
            <v xml:space="preserve">PREVISIÓN </v>
          </cell>
          <cell r="Z6" t="str">
            <v>SALUD</v>
          </cell>
          <cell r="AH6" t="str">
            <v>COTIZACIÓN</v>
          </cell>
          <cell r="AI6" t="str">
            <v xml:space="preserve">CUENTA </v>
          </cell>
          <cell r="AJ6" t="str">
            <v>DESCUENTO</v>
          </cell>
          <cell r="AK6" t="str">
            <v xml:space="preserve">REMUNERACIÓN </v>
          </cell>
          <cell r="AL6" t="str">
            <v>TOTAL</v>
          </cell>
          <cell r="AM6" t="str">
            <v>REBAJAS AL</v>
          </cell>
          <cell r="AN6" t="str">
            <v>IMPTO. ÚNICO</v>
          </cell>
          <cell r="AO6" t="str">
            <v>PRESTAMOS</v>
          </cell>
          <cell r="AP6" t="str">
            <v>CUOTA</v>
          </cell>
          <cell r="AQ6" t="str">
            <v>TOTAL</v>
          </cell>
          <cell r="AR6" t="str">
            <v>ALCANCE</v>
          </cell>
          <cell r="AS6" t="str">
            <v>VALES O</v>
          </cell>
          <cell r="AT6" t="str">
            <v>SALDO</v>
          </cell>
        </row>
        <row r="7">
          <cell r="E7" t="str">
            <v>DIA</v>
          </cell>
          <cell r="H7" t="str">
            <v>N°</v>
          </cell>
          <cell r="I7" t="str">
            <v>VALOR</v>
          </cell>
          <cell r="J7" t="str">
            <v>TOTAL</v>
          </cell>
          <cell r="L7" t="str">
            <v>DE GRATIFICACIÓN</v>
          </cell>
          <cell r="N7" t="str">
            <v>IMPONIBLE</v>
          </cell>
          <cell r="O7" t="str">
            <v>C.F.</v>
          </cell>
          <cell r="P7" t="str">
            <v>VALOR</v>
          </cell>
          <cell r="Q7" t="str">
            <v>TOTAL</v>
          </cell>
          <cell r="R7" t="str">
            <v>COLACIÓN</v>
          </cell>
          <cell r="S7" t="str">
            <v xml:space="preserve">MOVILIZACIÒN </v>
          </cell>
          <cell r="U7" t="str">
            <v>HABERES</v>
          </cell>
          <cell r="V7" t="str">
            <v>A.F.P.</v>
          </cell>
          <cell r="W7" t="str">
            <v>TASA%</v>
          </cell>
          <cell r="X7" t="str">
            <v>COTIZACIÓN</v>
          </cell>
          <cell r="Y7" t="str">
            <v>SEG. DESEMPLEO</v>
          </cell>
          <cell r="Z7" t="str">
            <v>% DE COT.</v>
          </cell>
          <cell r="AA7" t="str">
            <v>PACT. U.F.</v>
          </cell>
          <cell r="AB7" t="str">
            <v>VALOR U.F.</v>
          </cell>
          <cell r="AC7" t="str">
            <v>COTIZ. PACT</v>
          </cell>
          <cell r="AD7" t="str">
            <v>FONASA</v>
          </cell>
          <cell r="AE7" t="str">
            <v>ISAPRE</v>
          </cell>
          <cell r="AF7" t="str">
            <v>DIFER. ISAPRE</v>
          </cell>
          <cell r="AG7" t="str">
            <v>TOTAL ISAPRE</v>
          </cell>
          <cell r="AH7" t="str">
            <v>VOLUNTARIA</v>
          </cell>
          <cell r="AI7" t="str">
            <v>AHORRO</v>
          </cell>
          <cell r="AJ7" t="str">
            <v>PREVISIONAL</v>
          </cell>
          <cell r="AK7" t="str">
            <v>NETA IMPONIBLE</v>
          </cell>
          <cell r="AL7" t="str">
            <v>IMPUESTO</v>
          </cell>
          <cell r="AM7" t="str">
            <v>IMPUESTO</v>
          </cell>
          <cell r="AN7" t="str">
            <v>A PAGAR</v>
          </cell>
          <cell r="AQ7" t="str">
            <v>DESCUENTOS</v>
          </cell>
          <cell r="AR7" t="str">
            <v>LIQUIDO</v>
          </cell>
          <cell r="AS7" t="str">
            <v>ANTICIPOS</v>
          </cell>
          <cell r="AT7" t="str">
            <v>LIQUIDO A PAGAR</v>
          </cell>
        </row>
        <row r="8">
          <cell r="A8">
            <v>1</v>
          </cell>
          <cell r="B8" t="str">
            <v>JUAN CARLOS TRIBIÑO BODOQUE</v>
          </cell>
          <cell r="C8" t="str">
            <v>15.853.225-0</v>
          </cell>
          <cell r="D8">
            <v>30</v>
          </cell>
          <cell r="E8">
            <v>10333.333333333334</v>
          </cell>
          <cell r="F8">
            <v>310000</v>
          </cell>
          <cell r="G8">
            <v>46500</v>
          </cell>
          <cell r="H8">
            <v>2</v>
          </cell>
          <cell r="I8">
            <v>2411.087</v>
          </cell>
          <cell r="J8">
            <v>4822.174</v>
          </cell>
          <cell r="K8">
            <v>0</v>
          </cell>
          <cell r="L8">
            <v>361322.174</v>
          </cell>
          <cell r="M8">
            <v>89063</v>
          </cell>
          <cell r="N8">
            <v>450385.174</v>
          </cell>
          <cell r="O8">
            <v>0</v>
          </cell>
          <cell r="P8">
            <v>1793</v>
          </cell>
          <cell r="Q8">
            <v>0</v>
          </cell>
          <cell r="R8">
            <v>30000</v>
          </cell>
          <cell r="S8">
            <v>25000</v>
          </cell>
          <cell r="U8">
            <v>505385.174</v>
          </cell>
          <cell r="V8" t="str">
            <v>CUPRUM</v>
          </cell>
          <cell r="W8">
            <v>0.1148</v>
          </cell>
          <cell r="X8">
            <v>51704.217975200001</v>
          </cell>
          <cell r="Y8">
            <v>2702.311044</v>
          </cell>
          <cell r="Z8">
            <v>7.0000000000000007E-2</v>
          </cell>
          <cell r="AA8">
            <v>2.4</v>
          </cell>
          <cell r="AB8">
            <v>24754.77</v>
          </cell>
          <cell r="AC8">
            <v>59411.447999999997</v>
          </cell>
          <cell r="AE8">
            <v>31526.962180000002</v>
          </cell>
          <cell r="AF8">
            <v>0</v>
          </cell>
          <cell r="AG8">
            <v>59411.447999999997</v>
          </cell>
          <cell r="AJ8">
            <v>113817.9770192</v>
          </cell>
          <cell r="AK8">
            <v>336567.19698080001</v>
          </cell>
          <cell r="AN8">
            <v>0</v>
          </cell>
          <cell r="AO8">
            <v>50000</v>
          </cell>
          <cell r="AP8" t="str">
            <v>1 DE 4</v>
          </cell>
          <cell r="AQ8">
            <v>163817.97701919999</v>
          </cell>
          <cell r="AR8">
            <v>341567.19698080001</v>
          </cell>
          <cell r="AT8">
            <v>341567.19698080001</v>
          </cell>
        </row>
        <row r="9">
          <cell r="A9">
            <v>2</v>
          </cell>
          <cell r="B9" t="str">
            <v>JUAN ANTONIO PEREZ GONZALEZ</v>
          </cell>
          <cell r="C9" t="str">
            <v>18.432.222-k</v>
          </cell>
          <cell r="D9">
            <v>30</v>
          </cell>
          <cell r="E9">
            <v>7500</v>
          </cell>
          <cell r="F9">
            <v>225000</v>
          </cell>
          <cell r="G9">
            <v>33750</v>
          </cell>
          <cell r="I9">
            <v>1749.9825000000001</v>
          </cell>
          <cell r="J9">
            <v>0</v>
          </cell>
          <cell r="K9">
            <v>0</v>
          </cell>
          <cell r="L9">
            <v>258750</v>
          </cell>
          <cell r="M9">
            <v>64687.5</v>
          </cell>
          <cell r="N9">
            <v>323437.5</v>
          </cell>
          <cell r="O9">
            <v>2</v>
          </cell>
          <cell r="P9">
            <v>5672</v>
          </cell>
          <cell r="Q9">
            <v>11344</v>
          </cell>
          <cell r="R9">
            <v>30000</v>
          </cell>
          <cell r="S9">
            <v>25000</v>
          </cell>
          <cell r="U9">
            <v>389781.5</v>
          </cell>
          <cell r="V9" t="str">
            <v>HABITAT</v>
          </cell>
          <cell r="W9">
            <v>0.11269999999999999</v>
          </cell>
          <cell r="X9">
            <v>36451.40625</v>
          </cell>
          <cell r="Y9">
            <v>1940.625</v>
          </cell>
          <cell r="Z9">
            <v>7.0000000000000007E-2</v>
          </cell>
          <cell r="AB9">
            <v>24754.77</v>
          </cell>
          <cell r="AC9">
            <v>0</v>
          </cell>
          <cell r="AD9">
            <v>22640.625000000004</v>
          </cell>
          <cell r="AF9">
            <v>0</v>
          </cell>
          <cell r="AG9">
            <v>0</v>
          </cell>
          <cell r="AJ9">
            <v>61032.65625</v>
          </cell>
          <cell r="AK9">
            <v>262404.84375</v>
          </cell>
          <cell r="AN9">
            <v>0</v>
          </cell>
          <cell r="AQ9">
            <v>61032.65625</v>
          </cell>
          <cell r="AR9">
            <v>328748.84375</v>
          </cell>
          <cell r="AS9">
            <v>30000</v>
          </cell>
          <cell r="AT9">
            <v>298748.84375</v>
          </cell>
        </row>
        <row r="10">
          <cell r="A10">
            <v>3</v>
          </cell>
          <cell r="B10" t="str">
            <v>ROSA JAVIERA ESPINOZA MORALES</v>
          </cell>
          <cell r="C10" t="str">
            <v>15.221.595-1</v>
          </cell>
          <cell r="D10">
            <v>25</v>
          </cell>
          <cell r="E10">
            <v>8333.3333333333339</v>
          </cell>
          <cell r="F10">
            <v>208333.33333333334</v>
          </cell>
          <cell r="G10">
            <v>31250</v>
          </cell>
          <cell r="I10">
            <v>1620.3541666666667</v>
          </cell>
          <cell r="J10">
            <v>0</v>
          </cell>
          <cell r="K10">
            <v>0</v>
          </cell>
          <cell r="L10">
            <v>239583.33333333334</v>
          </cell>
          <cell r="M10">
            <v>59895.833333333336</v>
          </cell>
          <cell r="N10">
            <v>299479.16666666669</v>
          </cell>
          <cell r="O10">
            <v>4</v>
          </cell>
          <cell r="P10">
            <v>5672</v>
          </cell>
          <cell r="Q10">
            <v>22688</v>
          </cell>
          <cell r="R10">
            <v>30000</v>
          </cell>
          <cell r="S10">
            <v>25000</v>
          </cell>
          <cell r="U10">
            <v>377167.16666666669</v>
          </cell>
          <cell r="V10" t="str">
            <v>MODELO</v>
          </cell>
          <cell r="W10">
            <v>0.1077</v>
          </cell>
          <cell r="X10">
            <v>32253.906250000004</v>
          </cell>
          <cell r="Y10">
            <v>0</v>
          </cell>
          <cell r="Z10">
            <v>7.0000000000000007E-2</v>
          </cell>
          <cell r="AB10">
            <v>24754.77</v>
          </cell>
          <cell r="AC10">
            <v>0</v>
          </cell>
          <cell r="AD10">
            <v>20963.541666666672</v>
          </cell>
          <cell r="AF10">
            <v>0</v>
          </cell>
          <cell r="AG10">
            <v>0</v>
          </cell>
          <cell r="AJ10">
            <v>53217.447916666672</v>
          </cell>
          <cell r="AK10">
            <v>246261.71875</v>
          </cell>
          <cell r="AN10">
            <v>0</v>
          </cell>
          <cell r="AQ10">
            <v>53217.447916666672</v>
          </cell>
          <cell r="AR10">
            <v>323949.71875</v>
          </cell>
          <cell r="AT10">
            <v>323949.71875</v>
          </cell>
        </row>
        <row r="11">
          <cell r="A11">
            <v>4</v>
          </cell>
          <cell r="B11" t="str">
            <v>ALEXIS ARTURO VIDAL SANCHEZ</v>
          </cell>
          <cell r="C11" t="str">
            <v>12.451.284-0</v>
          </cell>
          <cell r="D11">
            <v>30</v>
          </cell>
          <cell r="E11">
            <v>8333.3333333333339</v>
          </cell>
          <cell r="F11">
            <v>250000.00000000003</v>
          </cell>
          <cell r="G11">
            <v>37500</v>
          </cell>
          <cell r="I11">
            <v>1944.4250000000002</v>
          </cell>
          <cell r="J11">
            <v>0</v>
          </cell>
          <cell r="K11">
            <v>50000</v>
          </cell>
          <cell r="L11">
            <v>337500</v>
          </cell>
          <cell r="M11">
            <v>84375</v>
          </cell>
          <cell r="N11">
            <v>421875</v>
          </cell>
          <cell r="O11">
            <v>2</v>
          </cell>
          <cell r="P11">
            <v>0</v>
          </cell>
          <cell r="Q11">
            <v>0</v>
          </cell>
          <cell r="R11">
            <v>30000</v>
          </cell>
          <cell r="S11">
            <v>25000</v>
          </cell>
          <cell r="U11">
            <v>476875</v>
          </cell>
          <cell r="V11" t="str">
            <v>CUPRUM</v>
          </cell>
          <cell r="W11">
            <v>0.1148</v>
          </cell>
          <cell r="X11">
            <v>48431.25</v>
          </cell>
          <cell r="Y11">
            <v>0</v>
          </cell>
          <cell r="Z11">
            <v>7.0000000000000007E-2</v>
          </cell>
          <cell r="AB11">
            <v>24754.77</v>
          </cell>
          <cell r="AC11">
            <v>0</v>
          </cell>
          <cell r="AD11">
            <v>29531.250000000004</v>
          </cell>
          <cell r="AF11">
            <v>0</v>
          </cell>
          <cell r="AG11">
            <v>0</v>
          </cell>
          <cell r="AJ11">
            <v>77962.5</v>
          </cell>
          <cell r="AK11">
            <v>343912.5</v>
          </cell>
          <cell r="AN11">
            <v>0</v>
          </cell>
          <cell r="AQ11">
            <v>77962.5</v>
          </cell>
          <cell r="AR11">
            <v>398912.5</v>
          </cell>
          <cell r="AT11">
            <v>398912.5</v>
          </cell>
        </row>
        <row r="12">
          <cell r="A12">
            <v>5</v>
          </cell>
          <cell r="B12" t="str">
            <v>MARISOL DEL CARMEN MÜLLER NEÜER</v>
          </cell>
          <cell r="C12" t="str">
            <v>14.924.315-k</v>
          </cell>
          <cell r="D12">
            <v>25</v>
          </cell>
          <cell r="E12">
            <v>30000</v>
          </cell>
          <cell r="F12">
            <v>750000</v>
          </cell>
          <cell r="G12">
            <v>112500</v>
          </cell>
          <cell r="H12">
            <v>3</v>
          </cell>
          <cell r="I12">
            <v>5833.2750000000005</v>
          </cell>
          <cell r="J12">
            <v>17499.825000000001</v>
          </cell>
          <cell r="K12">
            <v>0</v>
          </cell>
          <cell r="L12">
            <v>879999.82499999995</v>
          </cell>
          <cell r="M12">
            <v>89063</v>
          </cell>
          <cell r="N12">
            <v>969062.82499999995</v>
          </cell>
          <cell r="O12">
            <v>1</v>
          </cell>
          <cell r="P12">
            <v>0</v>
          </cell>
          <cell r="Q12">
            <v>0</v>
          </cell>
          <cell r="R12">
            <v>35000</v>
          </cell>
          <cell r="S12">
            <v>40000</v>
          </cell>
          <cell r="U12">
            <v>1044062.825</v>
          </cell>
          <cell r="V12" t="str">
            <v>PROVIDA</v>
          </cell>
          <cell r="W12">
            <v>0.1154</v>
          </cell>
          <cell r="X12">
            <v>111829.850005</v>
          </cell>
          <cell r="Y12">
            <v>5814.3769499999999</v>
          </cell>
          <cell r="Z12">
            <v>7.0000000000000007E-2</v>
          </cell>
          <cell r="AA12">
            <v>4.5</v>
          </cell>
          <cell r="AB12">
            <v>24754.77</v>
          </cell>
          <cell r="AC12">
            <v>111396.465</v>
          </cell>
          <cell r="AE12">
            <v>67834.397750000004</v>
          </cell>
          <cell r="AF12">
            <v>0</v>
          </cell>
          <cell r="AG12">
            <v>111396.465</v>
          </cell>
          <cell r="AJ12">
            <v>229040.69195499999</v>
          </cell>
          <cell r="AK12">
            <v>740022.13304500002</v>
          </cell>
          <cell r="AL12">
            <v>29600.8853218</v>
          </cell>
          <cell r="AM12">
            <v>23349.599999999999</v>
          </cell>
          <cell r="AN12">
            <v>6251.2853218000018</v>
          </cell>
          <cell r="AQ12">
            <v>235291.9772768</v>
          </cell>
          <cell r="AR12">
            <v>808770.84772319999</v>
          </cell>
          <cell r="AS12">
            <v>50000</v>
          </cell>
          <cell r="AT12">
            <v>758770.84772319999</v>
          </cell>
        </row>
        <row r="13">
          <cell r="A13">
            <v>6</v>
          </cell>
          <cell r="B13">
            <v>0</v>
          </cell>
          <cell r="C13">
            <v>0</v>
          </cell>
          <cell r="F13">
            <v>0</v>
          </cell>
          <cell r="G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Q13">
            <v>0</v>
          </cell>
          <cell r="U13">
            <v>0</v>
          </cell>
          <cell r="X13">
            <v>0</v>
          </cell>
          <cell r="Y13">
            <v>0</v>
          </cell>
          <cell r="Z13">
            <v>7.0000000000000007E-2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J13">
            <v>0</v>
          </cell>
          <cell r="AK13">
            <v>0</v>
          </cell>
          <cell r="AQ13">
            <v>0</v>
          </cell>
          <cell r="AR13">
            <v>0</v>
          </cell>
          <cell r="AT13">
            <v>0</v>
          </cell>
        </row>
        <row r="14">
          <cell r="A14">
            <v>7</v>
          </cell>
          <cell r="B14">
            <v>0</v>
          </cell>
          <cell r="C14">
            <v>0</v>
          </cell>
          <cell r="F14">
            <v>0</v>
          </cell>
          <cell r="G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Q14">
            <v>0</v>
          </cell>
          <cell r="U14">
            <v>0</v>
          </cell>
          <cell r="X14">
            <v>0</v>
          </cell>
          <cell r="Y14">
            <v>0</v>
          </cell>
          <cell r="Z14">
            <v>7.0000000000000007E-2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J14">
            <v>0</v>
          </cell>
          <cell r="AK14">
            <v>0</v>
          </cell>
          <cell r="AQ14">
            <v>0</v>
          </cell>
          <cell r="AR14">
            <v>0</v>
          </cell>
          <cell r="AT14">
            <v>0</v>
          </cell>
        </row>
        <row r="15">
          <cell r="A15" t="str">
            <v xml:space="preserve">  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Q15">
            <v>0</v>
          </cell>
          <cell r="U15">
            <v>0</v>
          </cell>
          <cell r="X15">
            <v>0</v>
          </cell>
          <cell r="Y15">
            <v>0</v>
          </cell>
          <cell r="Z15">
            <v>7.0000000000000007E-2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J15">
            <v>0</v>
          </cell>
          <cell r="AK15">
            <v>0</v>
          </cell>
          <cell r="AQ15">
            <v>0</v>
          </cell>
          <cell r="AR15">
            <v>0</v>
          </cell>
          <cell r="AT15">
            <v>0</v>
          </cell>
        </row>
        <row r="16"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Q16">
            <v>0</v>
          </cell>
          <cell r="U16">
            <v>0</v>
          </cell>
          <cell r="X16">
            <v>0</v>
          </cell>
          <cell r="Y16">
            <v>0</v>
          </cell>
          <cell r="Z16">
            <v>7.0000000000000007E-2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J16">
            <v>0</v>
          </cell>
          <cell r="AK16">
            <v>0</v>
          </cell>
          <cell r="AQ16">
            <v>0</v>
          </cell>
          <cell r="AR16">
            <v>0</v>
          </cell>
          <cell r="AT16">
            <v>0</v>
          </cell>
        </row>
        <row r="17"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Q17">
            <v>0</v>
          </cell>
          <cell r="U17">
            <v>0</v>
          </cell>
          <cell r="X17">
            <v>0</v>
          </cell>
          <cell r="Y17">
            <v>0</v>
          </cell>
          <cell r="Z17">
            <v>7.0000000000000007E-2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J17">
            <v>0</v>
          </cell>
          <cell r="AK17">
            <v>0</v>
          </cell>
          <cell r="AQ17">
            <v>0</v>
          </cell>
          <cell r="AR17">
            <v>0</v>
          </cell>
          <cell r="AT17">
            <v>0</v>
          </cell>
        </row>
        <row r="18"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Q18">
            <v>0</v>
          </cell>
          <cell r="U18">
            <v>0</v>
          </cell>
          <cell r="X18">
            <v>0</v>
          </cell>
          <cell r="Y18">
            <v>0</v>
          </cell>
          <cell r="Z18">
            <v>7.0000000000000007E-2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J18">
            <v>0</v>
          </cell>
          <cell r="AK18">
            <v>0</v>
          </cell>
          <cell r="AQ18">
            <v>0</v>
          </cell>
          <cell r="AR18">
            <v>0</v>
          </cell>
          <cell r="AT18">
            <v>0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workbookViewId="0">
      <selection activeCell="G6" sqref="G6"/>
    </sheetView>
  </sheetViews>
  <sheetFormatPr baseColWidth="10" defaultRowHeight="15" x14ac:dyDescent="0.25"/>
  <cols>
    <col min="2" max="2" width="15.5703125" customWidth="1"/>
    <col min="3" max="3" width="38.28515625" customWidth="1"/>
    <col min="4" max="4" width="22.7109375" customWidth="1"/>
    <col min="6" max="6" width="12.5703125" customWidth="1"/>
    <col min="7" max="7" width="37.7109375" customWidth="1"/>
    <col min="8" max="8" width="18.42578125" customWidth="1"/>
    <col min="9" max="9" width="19.140625" customWidth="1"/>
    <col min="12" max="12" width="20.42578125" customWidth="1"/>
    <col min="13" max="13" width="16.28515625" customWidth="1"/>
  </cols>
  <sheetData>
    <row r="1" spans="1:13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32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2" t="s">
        <v>10</v>
      </c>
      <c r="M3" s="3" t="s">
        <v>11</v>
      </c>
    </row>
    <row r="4" spans="1:13" x14ac:dyDescent="0.25">
      <c r="A4" s="2">
        <v>1</v>
      </c>
      <c r="B4" s="2" t="s">
        <v>12</v>
      </c>
      <c r="C4" s="2" t="s">
        <v>13</v>
      </c>
      <c r="D4" s="4">
        <v>30448</v>
      </c>
      <c r="E4" s="4"/>
      <c r="F4" s="2" t="s">
        <v>14</v>
      </c>
      <c r="G4" s="2" t="s">
        <v>117</v>
      </c>
      <c r="H4" s="4">
        <v>42095</v>
      </c>
      <c r="I4" s="2" t="s">
        <v>15</v>
      </c>
      <c r="J4" s="2" t="s">
        <v>16</v>
      </c>
      <c r="K4" s="2" t="s">
        <v>17</v>
      </c>
      <c r="L4" s="2">
        <v>0</v>
      </c>
      <c r="M4" s="5">
        <v>310000</v>
      </c>
    </row>
    <row r="5" spans="1:13" x14ac:dyDescent="0.25">
      <c r="A5" s="2">
        <v>2</v>
      </c>
      <c r="B5" s="2" t="s">
        <v>18</v>
      </c>
      <c r="C5" s="2" t="s">
        <v>19</v>
      </c>
      <c r="D5" s="4">
        <v>34238</v>
      </c>
      <c r="E5" s="4"/>
      <c r="F5" s="2" t="s">
        <v>20</v>
      </c>
      <c r="G5" s="2" t="s">
        <v>21</v>
      </c>
      <c r="H5" s="4">
        <v>42095</v>
      </c>
      <c r="I5" s="2" t="s">
        <v>15</v>
      </c>
      <c r="J5" s="2" t="s">
        <v>22</v>
      </c>
      <c r="K5" s="2" t="s">
        <v>23</v>
      </c>
      <c r="L5" s="2">
        <v>2</v>
      </c>
      <c r="M5" s="5">
        <v>225000</v>
      </c>
    </row>
    <row r="6" spans="1:13" x14ac:dyDescent="0.25">
      <c r="A6" s="2">
        <v>3</v>
      </c>
      <c r="B6" s="2" t="s">
        <v>24</v>
      </c>
      <c r="C6" s="2" t="s">
        <v>25</v>
      </c>
      <c r="D6" s="4">
        <v>31532</v>
      </c>
      <c r="E6" s="4"/>
      <c r="F6" s="2" t="s">
        <v>20</v>
      </c>
      <c r="G6" s="2" t="s">
        <v>118</v>
      </c>
      <c r="H6" s="4">
        <v>42100</v>
      </c>
      <c r="I6" s="4">
        <v>42130</v>
      </c>
      <c r="J6" s="2" t="s">
        <v>26</v>
      </c>
      <c r="K6" s="2" t="s">
        <v>23</v>
      </c>
      <c r="L6" s="2">
        <v>4</v>
      </c>
      <c r="M6" s="5">
        <v>250000</v>
      </c>
    </row>
    <row r="7" spans="1:13" x14ac:dyDescent="0.25">
      <c r="A7" s="2">
        <v>4</v>
      </c>
      <c r="B7" s="2" t="s">
        <v>27</v>
      </c>
      <c r="C7" s="2" t="s">
        <v>28</v>
      </c>
      <c r="D7" s="4">
        <v>29060</v>
      </c>
      <c r="E7" s="4"/>
      <c r="F7" s="2" t="s">
        <v>14</v>
      </c>
      <c r="G7" s="2" t="s">
        <v>119</v>
      </c>
      <c r="H7" s="4">
        <v>42095</v>
      </c>
      <c r="I7" s="4">
        <v>42124</v>
      </c>
      <c r="J7" s="2" t="s">
        <v>16</v>
      </c>
      <c r="K7" s="2" t="s">
        <v>23</v>
      </c>
      <c r="L7" s="2">
        <v>2</v>
      </c>
      <c r="M7" s="5">
        <v>250000</v>
      </c>
    </row>
    <row r="8" spans="1:13" x14ac:dyDescent="0.25">
      <c r="A8" s="2">
        <v>5</v>
      </c>
      <c r="B8" s="2" t="s">
        <v>29</v>
      </c>
      <c r="C8" s="2" t="s">
        <v>30</v>
      </c>
      <c r="D8" s="4">
        <v>30212</v>
      </c>
      <c r="E8" s="4"/>
      <c r="F8" s="2" t="s">
        <v>14</v>
      </c>
      <c r="G8" s="2" t="s">
        <v>117</v>
      </c>
      <c r="H8" s="4">
        <v>42100</v>
      </c>
      <c r="I8" s="2" t="s">
        <v>15</v>
      </c>
      <c r="J8" s="2" t="s">
        <v>31</v>
      </c>
      <c r="K8" s="2" t="s">
        <v>17</v>
      </c>
      <c r="L8" s="2">
        <v>1</v>
      </c>
      <c r="M8" s="5">
        <v>900000</v>
      </c>
    </row>
    <row r="9" spans="1:13" x14ac:dyDescent="0.25">
      <c r="A9" s="2">
        <v>6</v>
      </c>
      <c r="B9" s="2"/>
      <c r="C9" s="1"/>
      <c r="D9" s="2"/>
      <c r="E9" s="2"/>
      <c r="F9" s="2"/>
      <c r="G9" s="2"/>
      <c r="H9" s="2"/>
      <c r="I9" s="2"/>
      <c r="J9" s="1"/>
      <c r="K9" s="2"/>
      <c r="L9" s="2"/>
      <c r="M9" s="5"/>
    </row>
    <row r="10" spans="1:13" x14ac:dyDescent="0.25">
      <c r="A10" s="2">
        <v>7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5"/>
    </row>
    <row r="11" spans="1:13" x14ac:dyDescent="0.25">
      <c r="A11" s="2">
        <v>8</v>
      </c>
      <c r="B11" s="2"/>
      <c r="C11" s="2"/>
      <c r="D11" s="2"/>
      <c r="E11" s="2"/>
      <c r="F11" s="2"/>
      <c r="G11" s="1"/>
      <c r="H11" s="2"/>
      <c r="I11" s="2"/>
      <c r="J11" s="2"/>
      <c r="K11" s="2"/>
      <c r="L11" s="2"/>
      <c r="M11" s="5"/>
    </row>
    <row r="12" spans="1:13" x14ac:dyDescent="0.25">
      <c r="A12" s="2">
        <v>9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5"/>
    </row>
    <row r="13" spans="1:13" x14ac:dyDescent="0.25">
      <c r="A13" s="2">
        <v>10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5"/>
    </row>
    <row r="14" spans="1:13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5"/>
    </row>
    <row r="15" spans="1:13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26"/>
  <sheetViews>
    <sheetView tabSelected="1" zoomScale="85" zoomScaleNormal="85" workbookViewId="0">
      <selection activeCell="AU9" sqref="AU9"/>
    </sheetView>
  </sheetViews>
  <sheetFormatPr baseColWidth="10" defaultRowHeight="15" x14ac:dyDescent="0.25"/>
  <cols>
    <col min="1" max="1" width="12.5703125" bestFit="1" customWidth="1"/>
    <col min="2" max="2" width="40" customWidth="1"/>
    <col min="3" max="3" width="15.7109375" customWidth="1"/>
    <col min="4" max="4" width="9.42578125" customWidth="1"/>
    <col min="6" max="6" width="14.85546875" customWidth="1"/>
    <col min="7" max="7" width="23.28515625" customWidth="1"/>
    <col min="12" max="12" width="21.140625" customWidth="1"/>
    <col min="13" max="14" width="15.5703125" customWidth="1"/>
    <col min="18" max="19" width="14.85546875" customWidth="1"/>
    <col min="21" max="21" width="14.140625" customWidth="1"/>
    <col min="22" max="26" width="18.85546875" customWidth="1"/>
    <col min="28" max="30" width="20.5703125" customWidth="1"/>
    <col min="32" max="32" width="18" customWidth="1"/>
    <col min="33" max="33" width="14.5703125" bestFit="1" customWidth="1"/>
    <col min="34" max="34" width="15.28515625" bestFit="1" customWidth="1"/>
    <col min="35" max="35" width="11" bestFit="1" customWidth="1"/>
    <col min="36" max="36" width="15.28515625" bestFit="1" customWidth="1"/>
    <col min="37" max="37" width="19.42578125" bestFit="1" customWidth="1"/>
    <col min="38" max="38" width="12.7109375" bestFit="1" customWidth="1"/>
    <col min="39" max="39" width="13.5703125" bestFit="1" customWidth="1"/>
    <col min="40" max="40" width="16.7109375" bestFit="1" customWidth="1"/>
    <col min="41" max="41" width="14.28515625" bestFit="1" customWidth="1"/>
    <col min="42" max="42" width="9.28515625" bestFit="1" customWidth="1"/>
    <col min="43" max="43" width="15.28515625" bestFit="1" customWidth="1"/>
    <col min="44" max="44" width="12.140625" bestFit="1" customWidth="1"/>
    <col min="46" max="46" width="20.140625" bestFit="1" customWidth="1"/>
  </cols>
  <sheetData>
    <row r="1" spans="1:46" ht="23.25" x14ac:dyDescent="0.35">
      <c r="A1" s="6"/>
      <c r="B1" s="6"/>
      <c r="C1" s="6"/>
      <c r="D1" s="6"/>
      <c r="E1" s="6"/>
      <c r="F1" s="7" t="s">
        <v>33</v>
      </c>
      <c r="G1" s="7"/>
      <c r="H1" s="7"/>
      <c r="I1" s="7"/>
      <c r="J1" s="7"/>
      <c r="K1" s="7"/>
      <c r="L1" s="8"/>
      <c r="M1" s="9" t="s">
        <v>34</v>
      </c>
      <c r="N1" s="9"/>
      <c r="O1" s="10"/>
      <c r="P1" s="11"/>
      <c r="Q1" s="11"/>
      <c r="R1" s="9"/>
      <c r="S1" s="9"/>
      <c r="T1" s="9"/>
      <c r="U1" s="9"/>
      <c r="V1" s="6"/>
      <c r="W1" s="6"/>
      <c r="X1" s="9"/>
      <c r="Y1" s="9"/>
      <c r="Z1" s="12"/>
      <c r="AA1" s="6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13"/>
      <c r="AQ1" s="9"/>
      <c r="AR1" s="9"/>
      <c r="AS1" s="9"/>
      <c r="AT1" s="9"/>
    </row>
    <row r="2" spans="1:46" ht="23.25" x14ac:dyDescent="0.35">
      <c r="A2" s="14" t="s">
        <v>35</v>
      </c>
      <c r="B2" s="15" t="s">
        <v>36</v>
      </c>
      <c r="C2" s="15"/>
      <c r="D2" s="14"/>
      <c r="E2" s="14"/>
      <c r="F2" s="14"/>
      <c r="G2" s="9"/>
      <c r="H2" s="16"/>
      <c r="I2" s="9"/>
      <c r="J2" s="9"/>
      <c r="K2" s="9"/>
      <c r="L2" s="9"/>
      <c r="M2" s="9"/>
      <c r="N2" s="9"/>
      <c r="O2" s="10"/>
      <c r="P2" s="11"/>
      <c r="Q2" s="11"/>
      <c r="R2" s="9"/>
      <c r="S2" s="9"/>
      <c r="T2" s="9"/>
      <c r="U2" s="9"/>
      <c r="V2" s="6"/>
      <c r="W2" s="6"/>
      <c r="X2" s="9"/>
      <c r="Y2" s="9"/>
      <c r="Z2" s="12"/>
      <c r="AA2" s="6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13"/>
      <c r="AQ2" s="9"/>
      <c r="AR2" s="9"/>
      <c r="AS2" s="9"/>
      <c r="AT2" s="9"/>
    </row>
    <row r="3" spans="1:46" ht="15.75" x14ac:dyDescent="0.25">
      <c r="A3" s="17" t="s">
        <v>37</v>
      </c>
      <c r="B3" s="15" t="s">
        <v>38</v>
      </c>
      <c r="C3" s="15"/>
      <c r="D3" s="17"/>
      <c r="E3" s="17"/>
      <c r="F3" s="18"/>
      <c r="G3" s="18"/>
      <c r="H3" s="6"/>
      <c r="I3" s="9"/>
      <c r="J3" s="9"/>
      <c r="K3" s="9"/>
      <c r="L3" s="9"/>
      <c r="M3" s="9"/>
      <c r="N3" s="9"/>
      <c r="O3" s="10"/>
      <c r="P3" s="11"/>
      <c r="Q3" s="11"/>
      <c r="R3" s="9"/>
      <c r="S3" s="9"/>
      <c r="T3" s="9"/>
      <c r="U3" s="9"/>
      <c r="V3" s="6"/>
      <c r="W3" s="6"/>
      <c r="X3" s="9"/>
      <c r="Y3" s="9"/>
      <c r="Z3" s="12"/>
      <c r="AA3" s="6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13"/>
      <c r="AQ3" s="9"/>
      <c r="AR3" s="9"/>
      <c r="AS3" s="9"/>
      <c r="AT3" s="9"/>
    </row>
    <row r="4" spans="1:46" ht="15.75" x14ac:dyDescent="0.25">
      <c r="A4" s="6" t="s">
        <v>39</v>
      </c>
      <c r="B4" s="15" t="s">
        <v>40</v>
      </c>
      <c r="C4" s="15"/>
      <c r="D4" s="19" t="s">
        <v>41</v>
      </c>
      <c r="E4" s="19"/>
      <c r="F4" s="9"/>
      <c r="G4" s="9"/>
      <c r="H4" s="6"/>
      <c r="I4" s="9"/>
      <c r="J4" s="9"/>
      <c r="K4" s="9"/>
      <c r="L4" s="9"/>
      <c r="M4" s="9"/>
      <c r="N4" s="9"/>
      <c r="O4" s="10"/>
      <c r="P4" s="11"/>
      <c r="Q4" s="11"/>
      <c r="R4" s="9"/>
      <c r="S4" s="9"/>
      <c r="T4" s="9"/>
      <c r="U4" s="9"/>
      <c r="V4" s="6"/>
      <c r="W4" s="6"/>
      <c r="X4" s="9"/>
      <c r="Y4" s="9"/>
      <c r="Z4" s="12"/>
      <c r="AA4" s="6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13"/>
      <c r="AQ4" s="9"/>
      <c r="AR4" s="9"/>
      <c r="AS4" s="9"/>
      <c r="AT4" s="9"/>
    </row>
    <row r="5" spans="1:46" ht="15.75" x14ac:dyDescent="0.25">
      <c r="A5" s="20">
        <v>1</v>
      </c>
      <c r="B5" s="20">
        <v>2</v>
      </c>
      <c r="C5" s="20">
        <v>3</v>
      </c>
      <c r="D5" s="20">
        <v>4</v>
      </c>
      <c r="E5" s="20">
        <v>5</v>
      </c>
      <c r="F5" s="20">
        <v>6</v>
      </c>
      <c r="G5" s="20">
        <v>7</v>
      </c>
      <c r="H5" s="20">
        <v>8</v>
      </c>
      <c r="I5" s="20">
        <v>9</v>
      </c>
      <c r="J5" s="20">
        <v>10</v>
      </c>
      <c r="K5" s="20">
        <v>11</v>
      </c>
      <c r="L5" s="20">
        <v>12</v>
      </c>
      <c r="M5" s="20">
        <v>13</v>
      </c>
      <c r="N5" s="20">
        <v>14</v>
      </c>
      <c r="O5" s="20">
        <v>15</v>
      </c>
      <c r="P5" s="20">
        <v>16</v>
      </c>
      <c r="Q5" s="20">
        <v>17</v>
      </c>
      <c r="R5" s="20">
        <v>18</v>
      </c>
      <c r="S5" s="20">
        <v>19</v>
      </c>
      <c r="T5" s="20">
        <v>20</v>
      </c>
      <c r="U5" s="20">
        <v>21</v>
      </c>
      <c r="V5" s="20">
        <v>22</v>
      </c>
      <c r="W5" s="20">
        <v>23</v>
      </c>
      <c r="X5" s="20">
        <v>24</v>
      </c>
      <c r="Y5" s="20">
        <v>25</v>
      </c>
      <c r="Z5" s="20">
        <v>26</v>
      </c>
      <c r="AA5" s="20">
        <v>27</v>
      </c>
      <c r="AB5" s="20">
        <v>28</v>
      </c>
      <c r="AC5" s="20">
        <v>29</v>
      </c>
      <c r="AD5" s="20">
        <v>30</v>
      </c>
      <c r="AE5" s="20">
        <v>31</v>
      </c>
      <c r="AF5" s="20">
        <v>32</v>
      </c>
      <c r="AG5" s="20">
        <v>33</v>
      </c>
      <c r="AH5" s="20">
        <v>34</v>
      </c>
      <c r="AI5" s="20">
        <v>35</v>
      </c>
      <c r="AJ5" s="20">
        <v>36</v>
      </c>
      <c r="AK5" s="20">
        <v>37</v>
      </c>
      <c r="AL5" s="20">
        <v>38</v>
      </c>
      <c r="AM5" s="20">
        <v>39</v>
      </c>
      <c r="AN5" s="20">
        <v>40</v>
      </c>
      <c r="AO5" s="20">
        <v>41</v>
      </c>
      <c r="AP5" s="20">
        <v>42</v>
      </c>
      <c r="AQ5" s="20">
        <v>43</v>
      </c>
      <c r="AR5" s="20">
        <v>44</v>
      </c>
      <c r="AS5" s="20">
        <v>45</v>
      </c>
      <c r="AT5" s="20">
        <v>46</v>
      </c>
    </row>
    <row r="6" spans="1:46" ht="15.75" x14ac:dyDescent="0.25">
      <c r="A6" s="21" t="s">
        <v>0</v>
      </c>
      <c r="B6" s="21" t="s">
        <v>42</v>
      </c>
      <c r="C6" s="21" t="s">
        <v>43</v>
      </c>
      <c r="D6" s="21" t="s">
        <v>44</v>
      </c>
      <c r="E6" s="22" t="s">
        <v>45</v>
      </c>
      <c r="F6" s="23" t="s">
        <v>46</v>
      </c>
      <c r="G6" s="23" t="s">
        <v>47</v>
      </c>
      <c r="H6" s="24" t="s">
        <v>48</v>
      </c>
      <c r="I6" s="25"/>
      <c r="J6" s="26"/>
      <c r="K6" s="23" t="s">
        <v>49</v>
      </c>
      <c r="L6" s="27" t="s">
        <v>50</v>
      </c>
      <c r="M6" s="23" t="s">
        <v>51</v>
      </c>
      <c r="N6" s="28" t="s">
        <v>52</v>
      </c>
      <c r="O6" s="29" t="s">
        <v>53</v>
      </c>
      <c r="P6" s="30"/>
      <c r="Q6" s="31"/>
      <c r="R6" s="32" t="s">
        <v>54</v>
      </c>
      <c r="S6" s="32" t="s">
        <v>54</v>
      </c>
      <c r="T6" s="23" t="s">
        <v>55</v>
      </c>
      <c r="U6" s="33" t="s">
        <v>52</v>
      </c>
      <c r="V6" s="24" t="s">
        <v>56</v>
      </c>
      <c r="W6" s="25"/>
      <c r="X6" s="25"/>
      <c r="Y6" s="26"/>
      <c r="Z6" s="34" t="s">
        <v>57</v>
      </c>
      <c r="AA6" s="35"/>
      <c r="AB6" s="35"/>
      <c r="AC6" s="35"/>
      <c r="AD6" s="35"/>
      <c r="AE6" s="35"/>
      <c r="AF6" s="35"/>
      <c r="AG6" s="36"/>
      <c r="AH6" s="32" t="s">
        <v>58</v>
      </c>
      <c r="AI6" s="32" t="s">
        <v>59</v>
      </c>
      <c r="AJ6" s="28" t="s">
        <v>60</v>
      </c>
      <c r="AK6" s="32" t="s">
        <v>61</v>
      </c>
      <c r="AL6" s="32" t="s">
        <v>52</v>
      </c>
      <c r="AM6" s="32" t="s">
        <v>62</v>
      </c>
      <c r="AN6" s="28" t="s">
        <v>63</v>
      </c>
      <c r="AO6" s="23" t="s">
        <v>64</v>
      </c>
      <c r="AP6" s="23" t="s">
        <v>65</v>
      </c>
      <c r="AQ6" s="28" t="s">
        <v>52</v>
      </c>
      <c r="AR6" s="37" t="s">
        <v>66</v>
      </c>
      <c r="AS6" s="32" t="s">
        <v>67</v>
      </c>
      <c r="AT6" s="38" t="s">
        <v>68</v>
      </c>
    </row>
    <row r="7" spans="1:46" ht="15.75" x14ac:dyDescent="0.25">
      <c r="A7" s="39"/>
      <c r="B7" s="39"/>
      <c r="C7" s="39"/>
      <c r="D7" s="39"/>
      <c r="E7" s="40" t="s">
        <v>69</v>
      </c>
      <c r="F7" s="41"/>
      <c r="G7" s="41"/>
      <c r="H7" s="20" t="s">
        <v>0</v>
      </c>
      <c r="I7" s="42" t="s">
        <v>45</v>
      </c>
      <c r="J7" s="42" t="s">
        <v>52</v>
      </c>
      <c r="K7" s="41"/>
      <c r="L7" s="43" t="s">
        <v>70</v>
      </c>
      <c r="M7" s="41"/>
      <c r="N7" s="44" t="s">
        <v>71</v>
      </c>
      <c r="O7" s="45" t="s">
        <v>72</v>
      </c>
      <c r="P7" s="46" t="s">
        <v>45</v>
      </c>
      <c r="Q7" s="46" t="s">
        <v>52</v>
      </c>
      <c r="R7" s="47" t="s">
        <v>73</v>
      </c>
      <c r="S7" s="47" t="s">
        <v>74</v>
      </c>
      <c r="T7" s="41"/>
      <c r="U7" s="48" t="s">
        <v>75</v>
      </c>
      <c r="V7" s="20" t="s">
        <v>8</v>
      </c>
      <c r="W7" s="20" t="s">
        <v>76</v>
      </c>
      <c r="X7" s="42" t="s">
        <v>58</v>
      </c>
      <c r="Y7" s="42" t="s">
        <v>77</v>
      </c>
      <c r="Z7" s="49" t="s">
        <v>78</v>
      </c>
      <c r="AA7" s="50" t="s">
        <v>79</v>
      </c>
      <c r="AB7" s="51" t="s">
        <v>80</v>
      </c>
      <c r="AC7" s="42" t="s">
        <v>81</v>
      </c>
      <c r="AD7" s="42" t="s">
        <v>23</v>
      </c>
      <c r="AE7" s="42" t="s">
        <v>17</v>
      </c>
      <c r="AF7" s="20" t="s">
        <v>82</v>
      </c>
      <c r="AG7" s="20" t="s">
        <v>83</v>
      </c>
      <c r="AH7" s="47" t="s">
        <v>84</v>
      </c>
      <c r="AI7" s="47" t="s">
        <v>85</v>
      </c>
      <c r="AJ7" s="44" t="s">
        <v>86</v>
      </c>
      <c r="AK7" s="47" t="s">
        <v>87</v>
      </c>
      <c r="AL7" s="47" t="s">
        <v>88</v>
      </c>
      <c r="AM7" s="47" t="s">
        <v>88</v>
      </c>
      <c r="AN7" s="44" t="s">
        <v>89</v>
      </c>
      <c r="AO7" s="41"/>
      <c r="AP7" s="41"/>
      <c r="AQ7" s="44" t="s">
        <v>90</v>
      </c>
      <c r="AR7" s="52" t="s">
        <v>91</v>
      </c>
      <c r="AS7" s="47" t="s">
        <v>92</v>
      </c>
      <c r="AT7" s="53" t="s">
        <v>93</v>
      </c>
    </row>
    <row r="8" spans="1:46" ht="18.75" customHeight="1" x14ac:dyDescent="0.25">
      <c r="A8" s="50">
        <v>1</v>
      </c>
      <c r="B8" s="20" t="str">
        <f>VLOOKUP(A8,'[1]DATOS DE LOS TRABAJADORES'!A3:M14,3,FALSE)</f>
        <v>JUAN CARLOS TRIBIÑO BODOQUE</v>
      </c>
      <c r="C8" s="20" t="str">
        <f>VLOOKUP(A8,'[1]DATOS DE LOS TRABAJADORES'!A3:B14,2,FALSE)</f>
        <v>15.853.225-0</v>
      </c>
      <c r="D8" s="50">
        <v>30</v>
      </c>
      <c r="E8" s="54">
        <f>F8/D8</f>
        <v>10333.333333333334</v>
      </c>
      <c r="F8" s="51">
        <f>'[1]DATOS DE LOS TRABAJADORES'!M4/30*'[1]LIBRO DE REMUNERACIONES'!D8</f>
        <v>310000</v>
      </c>
      <c r="G8" s="51">
        <f>F8*15%</f>
        <v>46500</v>
      </c>
      <c r="H8" s="50">
        <v>2</v>
      </c>
      <c r="I8" s="51">
        <f>F8*0.0077777</f>
        <v>2411.087</v>
      </c>
      <c r="J8" s="51">
        <f>H8*I8</f>
        <v>4822.174</v>
      </c>
      <c r="K8" s="51">
        <v>0</v>
      </c>
      <c r="L8" s="55">
        <f>SUM(F8,G8,J8,K8)</f>
        <v>361322.174</v>
      </c>
      <c r="M8" s="51">
        <f>IF(L8&lt;356250,L8*25%,89063)</f>
        <v>89063</v>
      </c>
      <c r="N8" s="56">
        <f>SUM(F8,G8,J8,K8,M8)</f>
        <v>450385.174</v>
      </c>
      <c r="O8" s="57">
        <v>0</v>
      </c>
      <c r="P8" s="58">
        <v>1793</v>
      </c>
      <c r="Q8" s="58">
        <f>O8*P8</f>
        <v>0</v>
      </c>
      <c r="R8" s="51">
        <v>30000</v>
      </c>
      <c r="S8" s="51">
        <v>25000</v>
      </c>
      <c r="T8" s="51"/>
      <c r="U8" s="56">
        <f t="shared" ref="U8:U22" si="0">SUM(N8,Q8,R8,S8:T8)</f>
        <v>505385.174</v>
      </c>
      <c r="V8" s="2" t="s">
        <v>16</v>
      </c>
      <c r="W8" s="59">
        <v>0.1148</v>
      </c>
      <c r="X8" s="51">
        <f>N8*W8</f>
        <v>51704.217975200001</v>
      </c>
      <c r="Y8" s="51">
        <f>N8*0.6%</f>
        <v>2702.311044</v>
      </c>
      <c r="Z8" s="60">
        <v>7.0000000000000007E-2</v>
      </c>
      <c r="AA8" s="17">
        <v>2.4</v>
      </c>
      <c r="AB8" s="61">
        <v>27539.67</v>
      </c>
      <c r="AC8" s="51">
        <f>AA8*AB8</f>
        <v>66095.207999999999</v>
      </c>
      <c r="AD8" s="5"/>
      <c r="AE8" s="5">
        <f t="shared" ref="AE8:AE22" si="1">N8*Z8</f>
        <v>31526.962180000002</v>
      </c>
      <c r="AF8" s="51">
        <f>IF(AC8&lt;AE8,AE8-AC8,0)</f>
        <v>0</v>
      </c>
      <c r="AG8" s="51">
        <f>IF(AE8&lt;AC8,AC8,AE8)</f>
        <v>66095.207999999999</v>
      </c>
      <c r="AH8" s="51"/>
      <c r="AI8" s="51"/>
      <c r="AJ8" s="56">
        <f>SUM(X8,Y8,AD8,AG8,AH8,AI8)</f>
        <v>120501.73701919999</v>
      </c>
      <c r="AK8" s="51">
        <f>N8-AJ8</f>
        <v>329883.4369808</v>
      </c>
      <c r="AL8" s="51"/>
      <c r="AM8" s="51"/>
      <c r="AN8" s="56">
        <f>AL8-AM8</f>
        <v>0</v>
      </c>
      <c r="AO8" s="51">
        <v>50000</v>
      </c>
      <c r="AP8" s="42" t="s">
        <v>94</v>
      </c>
      <c r="AQ8" s="56">
        <f>SUM(AJ8,AN8,AO8)</f>
        <v>170501.73701919999</v>
      </c>
      <c r="AR8" s="62">
        <f>U8-AQ8</f>
        <v>334883.4369808</v>
      </c>
      <c r="AS8" s="51"/>
      <c r="AT8" s="62">
        <f>AR8-AS8</f>
        <v>334883.4369808</v>
      </c>
    </row>
    <row r="9" spans="1:46" ht="18.75" customHeight="1" x14ac:dyDescent="0.25">
      <c r="A9" s="50">
        <v>2</v>
      </c>
      <c r="B9" s="20" t="str">
        <f>VLOOKUP(A9,'[1]DATOS DE LOS TRABAJADORES'!A4:M15,3,FALSE)</f>
        <v>JUAN ANTONIO PEREZ GONZALEZ</v>
      </c>
      <c r="C9" s="20" t="str">
        <f>VLOOKUP(A9,'[1]DATOS DE LOS TRABAJADORES'!A4:B15,2,FALSE)</f>
        <v>18.432.222-k</v>
      </c>
      <c r="D9" s="50">
        <v>30</v>
      </c>
      <c r="E9" s="54">
        <f t="shared" ref="E9:E12" si="2">F9/D9</f>
        <v>7500</v>
      </c>
      <c r="F9" s="51">
        <f>'[1]DATOS DE LOS TRABAJADORES'!M5/30*'[1]LIBRO DE REMUNERACIONES'!D9</f>
        <v>225000</v>
      </c>
      <c r="G9" s="51">
        <f t="shared" ref="G9:G14" si="3">F9*15%</f>
        <v>33750</v>
      </c>
      <c r="H9" s="50"/>
      <c r="I9" s="51">
        <f t="shared" ref="I9:I22" si="4">F9*0.0077777</f>
        <v>1749.9825000000001</v>
      </c>
      <c r="J9" s="51">
        <f t="shared" ref="J9:J22" si="5">H9*I9</f>
        <v>0</v>
      </c>
      <c r="K9" s="51">
        <v>0</v>
      </c>
      <c r="L9" s="55">
        <f t="shared" ref="L9:L22" si="6">SUM(F9,G9,J9,K9)</f>
        <v>258750</v>
      </c>
      <c r="M9" s="51">
        <f>IF(L9&lt;356250,L9*25%,89063)</f>
        <v>64687.5</v>
      </c>
      <c r="N9" s="56">
        <f t="shared" ref="N9:N22" si="7">SUM(F9,G9,J9,K9,M9)</f>
        <v>323437.5</v>
      </c>
      <c r="O9" s="57">
        <v>2</v>
      </c>
      <c r="P9" s="58">
        <v>5672</v>
      </c>
      <c r="Q9" s="58">
        <f t="shared" ref="Q9:Q22" si="8">O9*P9</f>
        <v>11344</v>
      </c>
      <c r="R9" s="51">
        <v>30000</v>
      </c>
      <c r="S9" s="51">
        <v>25000</v>
      </c>
      <c r="T9" s="51"/>
      <c r="U9" s="56">
        <f t="shared" si="0"/>
        <v>389781.5</v>
      </c>
      <c r="V9" s="2" t="s">
        <v>22</v>
      </c>
      <c r="W9" s="59">
        <v>0.11269999999999999</v>
      </c>
      <c r="X9" s="51">
        <f t="shared" ref="X9:X22" si="9">N9*W9</f>
        <v>36451.40625</v>
      </c>
      <c r="Y9" s="51">
        <f t="shared" ref="Y9:Y22" si="10">N9*0.6%</f>
        <v>1940.625</v>
      </c>
      <c r="Z9" s="60">
        <v>7.0000000000000007E-2</v>
      </c>
      <c r="AA9" s="50"/>
      <c r="AB9" s="61">
        <v>27539.67</v>
      </c>
      <c r="AC9" s="51">
        <f t="shared" ref="AC9:AC22" si="11">AA9*AB9</f>
        <v>0</v>
      </c>
      <c r="AD9" s="5">
        <f>N9*Z9</f>
        <v>22640.625000000004</v>
      </c>
      <c r="AE9" s="5"/>
      <c r="AF9" s="51">
        <f t="shared" ref="AF9:AF22" si="12">IF(AC9&lt;AE9,AE9-AC9,0)</f>
        <v>0</v>
      </c>
      <c r="AG9" s="51">
        <f t="shared" ref="AG9:AG22" si="13">IF(AE9&lt;AC9,AC9,AE9)</f>
        <v>0</v>
      </c>
      <c r="AH9" s="51"/>
      <c r="AI9" s="51"/>
      <c r="AJ9" s="56">
        <f t="shared" ref="AJ9:AJ22" si="14">SUM(X9,Y9,AD9,AG9,AH9,AI9)</f>
        <v>61032.65625</v>
      </c>
      <c r="AK9" s="51">
        <f t="shared" ref="AK9:AK22" si="15">N9-AJ9</f>
        <v>262404.84375</v>
      </c>
      <c r="AL9" s="51"/>
      <c r="AM9" s="51"/>
      <c r="AN9" s="56">
        <f t="shared" ref="AN9:AN11" si="16">AL9-AM9</f>
        <v>0</v>
      </c>
      <c r="AO9" s="51"/>
      <c r="AP9" s="42"/>
      <c r="AQ9" s="56">
        <f t="shared" ref="AQ9:AQ22" si="17">SUM(AJ9,AN9,AO9)</f>
        <v>61032.65625</v>
      </c>
      <c r="AR9" s="62">
        <f t="shared" ref="AR9:AR22" si="18">U9-AQ9</f>
        <v>328748.84375</v>
      </c>
      <c r="AS9" s="51">
        <v>30000</v>
      </c>
      <c r="AT9" s="62">
        <f t="shared" ref="AT9:AT22" si="19">AR9-AS9</f>
        <v>298748.84375</v>
      </c>
    </row>
    <row r="10" spans="1:46" ht="18.75" customHeight="1" x14ac:dyDescent="0.25">
      <c r="A10" s="50">
        <v>3</v>
      </c>
      <c r="B10" s="20" t="str">
        <f>VLOOKUP(A10,'[1]DATOS DE LOS TRABAJADORES'!A5:M16,3,FALSE)</f>
        <v>ROSA JAVIERA ESPINOZA MORALES</v>
      </c>
      <c r="C10" s="20" t="str">
        <f>VLOOKUP(A10,'[1]DATOS DE LOS TRABAJADORES'!A5:B16,2,FALSE)</f>
        <v>15.221.595-1</v>
      </c>
      <c r="D10" s="50">
        <v>25</v>
      </c>
      <c r="E10" s="54">
        <f>F10/D10</f>
        <v>8333.3333333333339</v>
      </c>
      <c r="F10" s="51">
        <f>'[1]DATOS DE LOS TRABAJADORES'!M6/30*'[1]LIBRO DE REMUNERACIONES'!D10</f>
        <v>208333.33333333334</v>
      </c>
      <c r="G10" s="51">
        <f t="shared" si="3"/>
        <v>31250</v>
      </c>
      <c r="H10" s="50"/>
      <c r="I10" s="51">
        <f t="shared" si="4"/>
        <v>1620.3541666666667</v>
      </c>
      <c r="J10" s="51">
        <f t="shared" si="5"/>
        <v>0</v>
      </c>
      <c r="K10" s="51">
        <v>0</v>
      </c>
      <c r="L10" s="55">
        <f t="shared" si="6"/>
        <v>239583.33333333334</v>
      </c>
      <c r="M10" s="51">
        <f t="shared" ref="M10:M22" si="20">IF(L10&lt;356250,L10*25%,89063)</f>
        <v>59895.833333333336</v>
      </c>
      <c r="N10" s="56">
        <f t="shared" si="7"/>
        <v>299479.16666666669</v>
      </c>
      <c r="O10" s="57">
        <v>4</v>
      </c>
      <c r="P10" s="58">
        <v>5672</v>
      </c>
      <c r="Q10" s="58">
        <f t="shared" si="8"/>
        <v>22688</v>
      </c>
      <c r="R10" s="51">
        <v>30000</v>
      </c>
      <c r="S10" s="51">
        <v>25000</v>
      </c>
      <c r="T10" s="51"/>
      <c r="U10" s="56">
        <f t="shared" si="0"/>
        <v>377167.16666666669</v>
      </c>
      <c r="V10" s="2" t="s">
        <v>26</v>
      </c>
      <c r="W10" s="59">
        <v>0.1077</v>
      </c>
      <c r="X10" s="51">
        <f t="shared" si="9"/>
        <v>32253.906250000004</v>
      </c>
      <c r="Y10" s="51">
        <v>0</v>
      </c>
      <c r="Z10" s="60">
        <v>7.0000000000000007E-2</v>
      </c>
      <c r="AA10" s="50"/>
      <c r="AB10" s="61">
        <v>27539.67</v>
      </c>
      <c r="AC10" s="51">
        <f t="shared" si="11"/>
        <v>0</v>
      </c>
      <c r="AD10" s="5">
        <f t="shared" ref="AD10:AD22" si="21">N10*Z10</f>
        <v>20963.541666666672</v>
      </c>
      <c r="AE10" s="5"/>
      <c r="AF10" s="51">
        <f>IF(AC10&lt;AE10,AE10-AC10,0)</f>
        <v>0</v>
      </c>
      <c r="AG10" s="51">
        <f t="shared" si="13"/>
        <v>0</v>
      </c>
      <c r="AH10" s="51"/>
      <c r="AI10" s="51"/>
      <c r="AJ10" s="56">
        <f t="shared" si="14"/>
        <v>53217.447916666672</v>
      </c>
      <c r="AK10" s="51">
        <f t="shared" si="15"/>
        <v>246261.71875</v>
      </c>
      <c r="AL10" s="51"/>
      <c r="AM10" s="51"/>
      <c r="AN10" s="56">
        <f t="shared" si="16"/>
        <v>0</v>
      </c>
      <c r="AO10" s="51"/>
      <c r="AP10" s="42"/>
      <c r="AQ10" s="56">
        <f t="shared" si="17"/>
        <v>53217.447916666672</v>
      </c>
      <c r="AR10" s="62">
        <f t="shared" si="18"/>
        <v>323949.71875</v>
      </c>
      <c r="AS10" s="51"/>
      <c r="AT10" s="62">
        <f t="shared" si="19"/>
        <v>323949.71875</v>
      </c>
    </row>
    <row r="11" spans="1:46" ht="18.75" customHeight="1" x14ac:dyDescent="0.25">
      <c r="A11" s="50">
        <v>4</v>
      </c>
      <c r="B11" s="20" t="str">
        <f>VLOOKUP(A11,'[1]DATOS DE LOS TRABAJADORES'!A6:M17,3,FALSE)</f>
        <v>ALEXIS ARTURO VIDAL SANCHEZ</v>
      </c>
      <c r="C11" s="20" t="str">
        <f>VLOOKUP(A11,'[1]DATOS DE LOS TRABAJADORES'!A6:B17,2,FALSE)</f>
        <v>12.451.284-0</v>
      </c>
      <c r="D11" s="50">
        <v>30</v>
      </c>
      <c r="E11" s="54">
        <f t="shared" si="2"/>
        <v>8333.3333333333339</v>
      </c>
      <c r="F11" s="51">
        <f>'[1]DATOS DE LOS TRABAJADORES'!M7/30*'[1]LIBRO DE REMUNERACIONES'!D11</f>
        <v>250000.00000000003</v>
      </c>
      <c r="G11" s="51">
        <f t="shared" si="3"/>
        <v>37500</v>
      </c>
      <c r="H11" s="50"/>
      <c r="I11" s="51">
        <f t="shared" si="4"/>
        <v>1944.4250000000002</v>
      </c>
      <c r="J11" s="51">
        <f t="shared" si="5"/>
        <v>0</v>
      </c>
      <c r="K11" s="51">
        <v>50000</v>
      </c>
      <c r="L11" s="55">
        <f t="shared" si="6"/>
        <v>337500</v>
      </c>
      <c r="M11" s="51">
        <f t="shared" si="20"/>
        <v>84375</v>
      </c>
      <c r="N11" s="56">
        <f t="shared" si="7"/>
        <v>421875</v>
      </c>
      <c r="O11" s="57">
        <v>2</v>
      </c>
      <c r="P11" s="58">
        <v>0</v>
      </c>
      <c r="Q11" s="58">
        <f t="shared" si="8"/>
        <v>0</v>
      </c>
      <c r="R11" s="51">
        <v>30000</v>
      </c>
      <c r="S11" s="51">
        <v>25000</v>
      </c>
      <c r="T11" s="51"/>
      <c r="U11" s="56">
        <f>SUM(N11,Q11,R11,S11:T11)</f>
        <v>476875</v>
      </c>
      <c r="V11" s="2" t="s">
        <v>16</v>
      </c>
      <c r="W11" s="59">
        <v>0.1148</v>
      </c>
      <c r="X11" s="51">
        <f>N11*W11</f>
        <v>48431.25</v>
      </c>
      <c r="Y11" s="51">
        <v>0</v>
      </c>
      <c r="Z11" s="60">
        <v>7.0000000000000007E-2</v>
      </c>
      <c r="AA11" s="50"/>
      <c r="AB11" s="61">
        <v>27539.67</v>
      </c>
      <c r="AC11" s="51">
        <f t="shared" si="11"/>
        <v>0</v>
      </c>
      <c r="AD11" s="5">
        <f t="shared" si="21"/>
        <v>29531.250000000004</v>
      </c>
      <c r="AE11" s="5"/>
      <c r="AF11" s="51">
        <f t="shared" si="12"/>
        <v>0</v>
      </c>
      <c r="AG11" s="51">
        <f t="shared" si="13"/>
        <v>0</v>
      </c>
      <c r="AH11" s="51"/>
      <c r="AI11" s="51"/>
      <c r="AJ11" s="56">
        <f t="shared" si="14"/>
        <v>77962.5</v>
      </c>
      <c r="AK11" s="51">
        <f t="shared" si="15"/>
        <v>343912.5</v>
      </c>
      <c r="AL11" s="51"/>
      <c r="AM11" s="51"/>
      <c r="AN11" s="56">
        <f t="shared" si="16"/>
        <v>0</v>
      </c>
      <c r="AO11" s="51"/>
      <c r="AP11" s="42"/>
      <c r="AQ11" s="56">
        <f t="shared" si="17"/>
        <v>77962.5</v>
      </c>
      <c r="AR11" s="62">
        <f t="shared" si="18"/>
        <v>398912.5</v>
      </c>
      <c r="AS11" s="51"/>
      <c r="AT11" s="62">
        <f t="shared" si="19"/>
        <v>398912.5</v>
      </c>
    </row>
    <row r="12" spans="1:46" ht="18.75" customHeight="1" x14ac:dyDescent="0.25">
      <c r="A12" s="50">
        <v>5</v>
      </c>
      <c r="B12" s="20" t="str">
        <f>VLOOKUP(A12,'[1]DATOS DE LOS TRABAJADORES'!A7:M18,3,FALSE)</f>
        <v>MARISOL DEL CARMEN MÜLLER NEÜER</v>
      </c>
      <c r="C12" s="20" t="str">
        <f>VLOOKUP(A12,'[1]DATOS DE LOS TRABAJADORES'!A7:B18,2,FALSE)</f>
        <v>14.924.315-k</v>
      </c>
      <c r="D12" s="50">
        <v>25</v>
      </c>
      <c r="E12" s="54">
        <f t="shared" si="2"/>
        <v>30000</v>
      </c>
      <c r="F12" s="51">
        <f>'[1]DATOS DE LOS TRABAJADORES'!M8/30*'[1]LIBRO DE REMUNERACIONES'!D12</f>
        <v>750000</v>
      </c>
      <c r="G12" s="51">
        <f t="shared" si="3"/>
        <v>112500</v>
      </c>
      <c r="H12" s="50">
        <v>3</v>
      </c>
      <c r="I12" s="51">
        <f t="shared" si="4"/>
        <v>5833.2750000000005</v>
      </c>
      <c r="J12" s="51">
        <f t="shared" si="5"/>
        <v>17499.825000000001</v>
      </c>
      <c r="K12" s="51">
        <v>0</v>
      </c>
      <c r="L12" s="55">
        <f t="shared" si="6"/>
        <v>879999.82499999995</v>
      </c>
      <c r="M12" s="51">
        <f t="shared" si="20"/>
        <v>89063</v>
      </c>
      <c r="N12" s="56">
        <f t="shared" si="7"/>
        <v>969062.82499999995</v>
      </c>
      <c r="O12" s="57">
        <v>1</v>
      </c>
      <c r="P12" s="58">
        <v>0</v>
      </c>
      <c r="Q12" s="58">
        <f t="shared" si="8"/>
        <v>0</v>
      </c>
      <c r="R12" s="51">
        <v>35000</v>
      </c>
      <c r="S12" s="51">
        <v>40000</v>
      </c>
      <c r="T12" s="51"/>
      <c r="U12" s="56">
        <f t="shared" si="0"/>
        <v>1044062.825</v>
      </c>
      <c r="V12" s="2" t="s">
        <v>31</v>
      </c>
      <c r="W12" s="63">
        <v>0.1154</v>
      </c>
      <c r="X12" s="51">
        <f>N12*W12</f>
        <v>111829.850005</v>
      </c>
      <c r="Y12" s="51">
        <f t="shared" si="10"/>
        <v>5814.3769499999999</v>
      </c>
      <c r="Z12" s="60">
        <v>7.0000000000000007E-2</v>
      </c>
      <c r="AA12" s="50">
        <v>4.5</v>
      </c>
      <c r="AB12" s="61">
        <v>27539.67</v>
      </c>
      <c r="AC12" s="51">
        <f t="shared" si="11"/>
        <v>123928.51499999998</v>
      </c>
      <c r="AD12" s="5"/>
      <c r="AE12" s="5">
        <f t="shared" si="1"/>
        <v>67834.397750000004</v>
      </c>
      <c r="AF12" s="51">
        <f>IF(AC12&lt;AE12,AE12-AC12,0)</f>
        <v>0</v>
      </c>
      <c r="AG12" s="51">
        <f t="shared" si="13"/>
        <v>123928.51499999998</v>
      </c>
      <c r="AH12" s="51"/>
      <c r="AI12" s="51"/>
      <c r="AJ12" s="56">
        <f t="shared" si="14"/>
        <v>241572.74195499998</v>
      </c>
      <c r="AK12" s="51">
        <f t="shared" si="15"/>
        <v>727490.08304499998</v>
      </c>
      <c r="AL12" s="51">
        <f>AK12*0.04</f>
        <v>29099.603321800001</v>
      </c>
      <c r="AM12" s="51">
        <v>23349.599999999999</v>
      </c>
      <c r="AN12" s="56">
        <f>AL12-AM12</f>
        <v>5750.0033218000026</v>
      </c>
      <c r="AO12" s="51"/>
      <c r="AP12" s="42"/>
      <c r="AQ12" s="56">
        <f t="shared" si="17"/>
        <v>247322.74527679998</v>
      </c>
      <c r="AR12" s="62">
        <f t="shared" si="18"/>
        <v>796740.07972319995</v>
      </c>
      <c r="AS12" s="51">
        <v>50000</v>
      </c>
      <c r="AT12" s="62">
        <f t="shared" si="19"/>
        <v>746740.07972319995</v>
      </c>
    </row>
    <row r="13" spans="1:46" ht="18.75" customHeight="1" x14ac:dyDescent="0.25">
      <c r="A13" s="50">
        <v>6</v>
      </c>
      <c r="B13" s="20">
        <f>VLOOKUP(A13,'[1]DATOS DE LOS TRABAJADORES'!A8:M19,3,FALSE)</f>
        <v>0</v>
      </c>
      <c r="C13" s="20">
        <f>VLOOKUP(A13,'[1]DATOS DE LOS TRABAJADORES'!A8:B19,2,FALSE)</f>
        <v>0</v>
      </c>
      <c r="D13" s="50"/>
      <c r="E13" s="50"/>
      <c r="F13" s="51">
        <f>'[1]DATOS DE LOS TRABAJADORES'!M9/30*'[1]LIBRO DE REMUNERACIONES'!D13</f>
        <v>0</v>
      </c>
      <c r="G13" s="51">
        <f t="shared" si="3"/>
        <v>0</v>
      </c>
      <c r="H13" s="50"/>
      <c r="I13" s="51">
        <f t="shared" si="4"/>
        <v>0</v>
      </c>
      <c r="J13" s="51">
        <f t="shared" si="5"/>
        <v>0</v>
      </c>
      <c r="K13" s="51">
        <v>0</v>
      </c>
      <c r="L13" s="55">
        <f t="shared" si="6"/>
        <v>0</v>
      </c>
      <c r="M13" s="51">
        <f t="shared" si="20"/>
        <v>0</v>
      </c>
      <c r="N13" s="56">
        <f t="shared" si="7"/>
        <v>0</v>
      </c>
      <c r="O13" s="57"/>
      <c r="P13" s="58"/>
      <c r="Q13" s="58">
        <f t="shared" si="8"/>
        <v>0</v>
      </c>
      <c r="R13" s="51"/>
      <c r="S13" s="51"/>
      <c r="T13" s="51"/>
      <c r="U13" s="56">
        <f t="shared" si="0"/>
        <v>0</v>
      </c>
      <c r="V13" s="17"/>
      <c r="W13" s="50"/>
      <c r="X13" s="51">
        <f t="shared" si="9"/>
        <v>0</v>
      </c>
      <c r="Y13" s="51">
        <f t="shared" si="10"/>
        <v>0</v>
      </c>
      <c r="Z13" s="60">
        <v>7.0000000000000007E-2</v>
      </c>
      <c r="AA13" s="50"/>
      <c r="AB13" s="51"/>
      <c r="AC13" s="51">
        <f t="shared" si="11"/>
        <v>0</v>
      </c>
      <c r="AD13" s="5">
        <f t="shared" si="21"/>
        <v>0</v>
      </c>
      <c r="AE13" s="5">
        <f t="shared" si="1"/>
        <v>0</v>
      </c>
      <c r="AF13" s="51">
        <f t="shared" si="12"/>
        <v>0</v>
      </c>
      <c r="AG13" s="51">
        <f t="shared" si="13"/>
        <v>0</v>
      </c>
      <c r="AH13" s="51"/>
      <c r="AI13" s="51"/>
      <c r="AJ13" s="56">
        <f t="shared" si="14"/>
        <v>0</v>
      </c>
      <c r="AK13" s="51">
        <f t="shared" si="15"/>
        <v>0</v>
      </c>
      <c r="AL13" s="51"/>
      <c r="AM13" s="51"/>
      <c r="AN13" s="56"/>
      <c r="AO13" s="51"/>
      <c r="AP13" s="42"/>
      <c r="AQ13" s="56">
        <f t="shared" si="17"/>
        <v>0</v>
      </c>
      <c r="AR13" s="62">
        <f t="shared" si="18"/>
        <v>0</v>
      </c>
      <c r="AS13" s="51"/>
      <c r="AT13" s="62">
        <f t="shared" si="19"/>
        <v>0</v>
      </c>
    </row>
    <row r="14" spans="1:46" ht="18.75" customHeight="1" x14ac:dyDescent="0.25">
      <c r="A14" s="50">
        <v>7</v>
      </c>
      <c r="B14" s="20">
        <f>VLOOKUP(A14,'[1]DATOS DE LOS TRABAJADORES'!A9:M20,3,FALSE)</f>
        <v>0</v>
      </c>
      <c r="C14" s="20">
        <f>VLOOKUP(A14,'[1]DATOS DE LOS TRABAJADORES'!A9:B20,2,FALSE)</f>
        <v>0</v>
      </c>
      <c r="D14" s="50"/>
      <c r="E14" s="50"/>
      <c r="F14" s="51">
        <f>'[1]DATOS DE LOS TRABAJADORES'!M10/30*'[1]LIBRO DE REMUNERACIONES'!D14</f>
        <v>0</v>
      </c>
      <c r="G14" s="51">
        <f t="shared" si="3"/>
        <v>0</v>
      </c>
      <c r="H14" s="50"/>
      <c r="I14" s="51">
        <f t="shared" si="4"/>
        <v>0</v>
      </c>
      <c r="J14" s="51">
        <f t="shared" si="5"/>
        <v>0</v>
      </c>
      <c r="K14" s="51">
        <v>0</v>
      </c>
      <c r="L14" s="55">
        <f t="shared" si="6"/>
        <v>0</v>
      </c>
      <c r="M14" s="51">
        <f t="shared" si="20"/>
        <v>0</v>
      </c>
      <c r="N14" s="56">
        <f t="shared" si="7"/>
        <v>0</v>
      </c>
      <c r="O14" s="57"/>
      <c r="P14" s="58"/>
      <c r="Q14" s="58">
        <f t="shared" si="8"/>
        <v>0</v>
      </c>
      <c r="R14" s="51"/>
      <c r="S14" s="51"/>
      <c r="T14" s="51"/>
      <c r="U14" s="56">
        <f t="shared" si="0"/>
        <v>0</v>
      </c>
      <c r="V14" s="50"/>
      <c r="W14" s="50"/>
      <c r="X14" s="51">
        <f>N14*W14</f>
        <v>0</v>
      </c>
      <c r="Y14" s="51">
        <f t="shared" si="10"/>
        <v>0</v>
      </c>
      <c r="Z14" s="60">
        <v>7.0000000000000007E-2</v>
      </c>
      <c r="AA14" s="50"/>
      <c r="AB14" s="51"/>
      <c r="AC14" s="51">
        <f t="shared" si="11"/>
        <v>0</v>
      </c>
      <c r="AD14" s="5">
        <f t="shared" si="21"/>
        <v>0</v>
      </c>
      <c r="AE14" s="5">
        <f t="shared" si="1"/>
        <v>0</v>
      </c>
      <c r="AF14" s="51">
        <f t="shared" si="12"/>
        <v>0</v>
      </c>
      <c r="AG14" s="51">
        <f t="shared" si="13"/>
        <v>0</v>
      </c>
      <c r="AH14" s="51"/>
      <c r="AI14" s="51"/>
      <c r="AJ14" s="56">
        <f t="shared" si="14"/>
        <v>0</v>
      </c>
      <c r="AK14" s="51">
        <f t="shared" si="15"/>
        <v>0</v>
      </c>
      <c r="AL14" s="51"/>
      <c r="AM14" s="51"/>
      <c r="AN14" s="56"/>
      <c r="AO14" s="51"/>
      <c r="AP14" s="42"/>
      <c r="AQ14" s="56">
        <f t="shared" si="17"/>
        <v>0</v>
      </c>
      <c r="AR14" s="62">
        <f t="shared" si="18"/>
        <v>0</v>
      </c>
      <c r="AS14" s="51"/>
      <c r="AT14" s="62">
        <f t="shared" si="19"/>
        <v>0</v>
      </c>
    </row>
    <row r="15" spans="1:46" ht="18.75" customHeight="1" x14ac:dyDescent="0.25">
      <c r="A15" s="50" t="s">
        <v>95</v>
      </c>
      <c r="B15" s="20"/>
      <c r="C15" s="20"/>
      <c r="D15" s="50"/>
      <c r="E15" s="50"/>
      <c r="F15" s="51"/>
      <c r="G15" s="51"/>
      <c r="H15" s="50"/>
      <c r="I15" s="51">
        <f t="shared" si="4"/>
        <v>0</v>
      </c>
      <c r="J15" s="51">
        <f t="shared" si="5"/>
        <v>0</v>
      </c>
      <c r="K15" s="51">
        <v>0</v>
      </c>
      <c r="L15" s="55">
        <f t="shared" si="6"/>
        <v>0</v>
      </c>
      <c r="M15" s="51">
        <f t="shared" si="20"/>
        <v>0</v>
      </c>
      <c r="N15" s="56">
        <f t="shared" si="7"/>
        <v>0</v>
      </c>
      <c r="O15" s="57"/>
      <c r="P15" s="58"/>
      <c r="Q15" s="58">
        <f t="shared" si="8"/>
        <v>0</v>
      </c>
      <c r="R15" s="51"/>
      <c r="S15" s="51"/>
      <c r="T15" s="51"/>
      <c r="U15" s="56">
        <f t="shared" si="0"/>
        <v>0</v>
      </c>
      <c r="V15" s="50"/>
      <c r="W15" s="50"/>
      <c r="X15" s="51">
        <f t="shared" si="9"/>
        <v>0</v>
      </c>
      <c r="Y15" s="51">
        <f t="shared" si="10"/>
        <v>0</v>
      </c>
      <c r="Z15" s="60">
        <v>7.0000000000000007E-2</v>
      </c>
      <c r="AA15" s="50"/>
      <c r="AB15" s="51"/>
      <c r="AC15" s="51">
        <f t="shared" si="11"/>
        <v>0</v>
      </c>
      <c r="AD15" s="5">
        <f t="shared" si="21"/>
        <v>0</v>
      </c>
      <c r="AE15" s="5">
        <f t="shared" si="1"/>
        <v>0</v>
      </c>
      <c r="AF15" s="51">
        <f t="shared" si="12"/>
        <v>0</v>
      </c>
      <c r="AG15" s="51">
        <f t="shared" si="13"/>
        <v>0</v>
      </c>
      <c r="AH15" s="51"/>
      <c r="AI15" s="51"/>
      <c r="AJ15" s="56">
        <f t="shared" si="14"/>
        <v>0</v>
      </c>
      <c r="AK15" s="51">
        <f t="shared" si="15"/>
        <v>0</v>
      </c>
      <c r="AL15" s="51"/>
      <c r="AM15" s="51"/>
      <c r="AN15" s="56"/>
      <c r="AO15" s="51"/>
      <c r="AP15" s="42"/>
      <c r="AQ15" s="56">
        <f t="shared" si="17"/>
        <v>0</v>
      </c>
      <c r="AR15" s="62">
        <f t="shared" si="18"/>
        <v>0</v>
      </c>
      <c r="AS15" s="51"/>
      <c r="AT15" s="62">
        <f t="shared" si="19"/>
        <v>0</v>
      </c>
    </row>
    <row r="16" spans="1:46" ht="18.75" customHeight="1" x14ac:dyDescent="0.25">
      <c r="A16" s="50"/>
      <c r="B16" s="20"/>
      <c r="C16" s="20"/>
      <c r="D16" s="50"/>
      <c r="E16" s="50"/>
      <c r="F16" s="51"/>
      <c r="G16" s="51"/>
      <c r="H16" s="50"/>
      <c r="I16" s="51">
        <f t="shared" si="4"/>
        <v>0</v>
      </c>
      <c r="J16" s="51">
        <f t="shared" si="5"/>
        <v>0</v>
      </c>
      <c r="K16" s="51">
        <v>0</v>
      </c>
      <c r="L16" s="55">
        <f t="shared" si="6"/>
        <v>0</v>
      </c>
      <c r="M16" s="51">
        <f t="shared" si="20"/>
        <v>0</v>
      </c>
      <c r="N16" s="56">
        <f t="shared" si="7"/>
        <v>0</v>
      </c>
      <c r="O16" s="57"/>
      <c r="P16" s="58"/>
      <c r="Q16" s="58">
        <f t="shared" si="8"/>
        <v>0</v>
      </c>
      <c r="R16" s="51"/>
      <c r="S16" s="51"/>
      <c r="T16" s="51"/>
      <c r="U16" s="56">
        <f t="shared" si="0"/>
        <v>0</v>
      </c>
      <c r="V16" s="50"/>
      <c r="W16" s="50"/>
      <c r="X16" s="51">
        <f t="shared" si="9"/>
        <v>0</v>
      </c>
      <c r="Y16" s="51">
        <f t="shared" si="10"/>
        <v>0</v>
      </c>
      <c r="Z16" s="60">
        <v>7.0000000000000007E-2</v>
      </c>
      <c r="AA16" s="50"/>
      <c r="AB16" s="51"/>
      <c r="AC16" s="51">
        <f t="shared" si="11"/>
        <v>0</v>
      </c>
      <c r="AD16" s="5">
        <f t="shared" si="21"/>
        <v>0</v>
      </c>
      <c r="AE16" s="5">
        <f t="shared" si="1"/>
        <v>0</v>
      </c>
      <c r="AF16" s="51">
        <f t="shared" si="12"/>
        <v>0</v>
      </c>
      <c r="AG16" s="51">
        <f t="shared" si="13"/>
        <v>0</v>
      </c>
      <c r="AH16" s="51"/>
      <c r="AI16" s="51"/>
      <c r="AJ16" s="56">
        <f t="shared" si="14"/>
        <v>0</v>
      </c>
      <c r="AK16" s="51">
        <f t="shared" si="15"/>
        <v>0</v>
      </c>
      <c r="AL16" s="51"/>
      <c r="AM16" s="51"/>
      <c r="AN16" s="56"/>
      <c r="AO16" s="51"/>
      <c r="AP16" s="42"/>
      <c r="AQ16" s="56">
        <f t="shared" si="17"/>
        <v>0</v>
      </c>
      <c r="AR16" s="62">
        <f t="shared" si="18"/>
        <v>0</v>
      </c>
      <c r="AS16" s="51"/>
      <c r="AT16" s="62">
        <f t="shared" si="19"/>
        <v>0</v>
      </c>
    </row>
    <row r="17" spans="1:46" ht="18.75" customHeight="1" x14ac:dyDescent="0.25">
      <c r="A17" s="50"/>
      <c r="B17" s="20"/>
      <c r="C17" s="20"/>
      <c r="D17" s="50"/>
      <c r="E17" s="50"/>
      <c r="F17" s="51"/>
      <c r="G17" s="51"/>
      <c r="H17" s="50"/>
      <c r="I17" s="51">
        <f t="shared" si="4"/>
        <v>0</v>
      </c>
      <c r="J17" s="51">
        <f t="shared" si="5"/>
        <v>0</v>
      </c>
      <c r="K17" s="51">
        <v>0</v>
      </c>
      <c r="L17" s="55">
        <f t="shared" si="6"/>
        <v>0</v>
      </c>
      <c r="M17" s="51">
        <f t="shared" si="20"/>
        <v>0</v>
      </c>
      <c r="N17" s="56">
        <f t="shared" si="7"/>
        <v>0</v>
      </c>
      <c r="O17" s="57"/>
      <c r="P17" s="58"/>
      <c r="Q17" s="58">
        <f t="shared" si="8"/>
        <v>0</v>
      </c>
      <c r="R17" s="51"/>
      <c r="S17" s="51"/>
      <c r="T17" s="51"/>
      <c r="U17" s="56">
        <f t="shared" si="0"/>
        <v>0</v>
      </c>
      <c r="V17" s="50"/>
      <c r="W17" s="50"/>
      <c r="X17" s="51">
        <f t="shared" si="9"/>
        <v>0</v>
      </c>
      <c r="Y17" s="51">
        <f t="shared" si="10"/>
        <v>0</v>
      </c>
      <c r="Z17" s="60">
        <v>7.0000000000000007E-2</v>
      </c>
      <c r="AA17" s="50"/>
      <c r="AB17" s="51"/>
      <c r="AC17" s="51">
        <f t="shared" si="11"/>
        <v>0</v>
      </c>
      <c r="AD17" s="5">
        <f t="shared" si="21"/>
        <v>0</v>
      </c>
      <c r="AE17" s="5">
        <f t="shared" si="1"/>
        <v>0</v>
      </c>
      <c r="AF17" s="51">
        <f t="shared" si="12"/>
        <v>0</v>
      </c>
      <c r="AG17" s="51">
        <f t="shared" si="13"/>
        <v>0</v>
      </c>
      <c r="AH17" s="51"/>
      <c r="AI17" s="51"/>
      <c r="AJ17" s="56">
        <f t="shared" si="14"/>
        <v>0</v>
      </c>
      <c r="AK17" s="51">
        <f t="shared" si="15"/>
        <v>0</v>
      </c>
      <c r="AL17" s="51"/>
      <c r="AM17" s="51"/>
      <c r="AN17" s="56"/>
      <c r="AO17" s="51"/>
      <c r="AP17" s="42"/>
      <c r="AQ17" s="56">
        <f t="shared" si="17"/>
        <v>0</v>
      </c>
      <c r="AR17" s="62">
        <f t="shared" si="18"/>
        <v>0</v>
      </c>
      <c r="AS17" s="51"/>
      <c r="AT17" s="62">
        <f t="shared" si="19"/>
        <v>0</v>
      </c>
    </row>
    <row r="18" spans="1:46" ht="18.75" customHeight="1" x14ac:dyDescent="0.25">
      <c r="A18" s="50"/>
      <c r="B18" s="20"/>
      <c r="C18" s="20"/>
      <c r="D18" s="50"/>
      <c r="E18" s="50"/>
      <c r="F18" s="51"/>
      <c r="G18" s="51"/>
      <c r="H18" s="50"/>
      <c r="I18" s="51">
        <f t="shared" si="4"/>
        <v>0</v>
      </c>
      <c r="J18" s="51">
        <f t="shared" si="5"/>
        <v>0</v>
      </c>
      <c r="K18" s="51">
        <v>0</v>
      </c>
      <c r="L18" s="55">
        <f t="shared" si="6"/>
        <v>0</v>
      </c>
      <c r="M18" s="51">
        <f t="shared" si="20"/>
        <v>0</v>
      </c>
      <c r="N18" s="56">
        <f t="shared" si="7"/>
        <v>0</v>
      </c>
      <c r="O18" s="57"/>
      <c r="P18" s="58"/>
      <c r="Q18" s="58">
        <f t="shared" si="8"/>
        <v>0</v>
      </c>
      <c r="R18" s="51"/>
      <c r="S18" s="51"/>
      <c r="T18" s="51"/>
      <c r="U18" s="56">
        <f t="shared" si="0"/>
        <v>0</v>
      </c>
      <c r="V18" s="50"/>
      <c r="W18" s="50"/>
      <c r="X18" s="51">
        <f t="shared" si="9"/>
        <v>0</v>
      </c>
      <c r="Y18" s="51">
        <f t="shared" si="10"/>
        <v>0</v>
      </c>
      <c r="Z18" s="60">
        <v>7.0000000000000007E-2</v>
      </c>
      <c r="AA18" s="50"/>
      <c r="AB18" s="51"/>
      <c r="AC18" s="51">
        <f t="shared" si="11"/>
        <v>0</v>
      </c>
      <c r="AD18" s="5">
        <f t="shared" si="21"/>
        <v>0</v>
      </c>
      <c r="AE18" s="5">
        <f t="shared" si="1"/>
        <v>0</v>
      </c>
      <c r="AF18" s="51">
        <f t="shared" si="12"/>
        <v>0</v>
      </c>
      <c r="AG18" s="51">
        <f t="shared" si="13"/>
        <v>0</v>
      </c>
      <c r="AH18" s="51"/>
      <c r="AI18" s="51"/>
      <c r="AJ18" s="56">
        <f t="shared" si="14"/>
        <v>0</v>
      </c>
      <c r="AK18" s="51">
        <f t="shared" si="15"/>
        <v>0</v>
      </c>
      <c r="AL18" s="51"/>
      <c r="AM18" s="51"/>
      <c r="AN18" s="56"/>
      <c r="AO18" s="51"/>
      <c r="AP18" s="42"/>
      <c r="AQ18" s="56">
        <f t="shared" si="17"/>
        <v>0</v>
      </c>
      <c r="AR18" s="62">
        <f t="shared" si="18"/>
        <v>0</v>
      </c>
      <c r="AS18" s="51"/>
      <c r="AT18" s="62">
        <f t="shared" si="19"/>
        <v>0</v>
      </c>
    </row>
    <row r="19" spans="1:46" ht="18.75" customHeight="1" x14ac:dyDescent="0.25">
      <c r="A19" s="50"/>
      <c r="B19" s="20"/>
      <c r="C19" s="20"/>
      <c r="D19" s="50"/>
      <c r="E19" s="50"/>
      <c r="F19" s="51"/>
      <c r="G19" s="51"/>
      <c r="H19" s="50"/>
      <c r="I19" s="51">
        <f t="shared" si="4"/>
        <v>0</v>
      </c>
      <c r="J19" s="51">
        <f t="shared" si="5"/>
        <v>0</v>
      </c>
      <c r="K19" s="51">
        <v>0</v>
      </c>
      <c r="L19" s="55">
        <f t="shared" si="6"/>
        <v>0</v>
      </c>
      <c r="M19" s="51">
        <f t="shared" si="20"/>
        <v>0</v>
      </c>
      <c r="N19" s="56">
        <f t="shared" si="7"/>
        <v>0</v>
      </c>
      <c r="O19" s="57"/>
      <c r="P19" s="58"/>
      <c r="Q19" s="58">
        <f t="shared" si="8"/>
        <v>0</v>
      </c>
      <c r="R19" s="51"/>
      <c r="S19" s="51"/>
      <c r="T19" s="51"/>
      <c r="U19" s="56">
        <f t="shared" si="0"/>
        <v>0</v>
      </c>
      <c r="V19" s="50"/>
      <c r="W19" s="50"/>
      <c r="X19" s="51">
        <f t="shared" si="9"/>
        <v>0</v>
      </c>
      <c r="Y19" s="51">
        <f t="shared" si="10"/>
        <v>0</v>
      </c>
      <c r="Z19" s="60">
        <v>7.0000000000000007E-2</v>
      </c>
      <c r="AA19" s="50"/>
      <c r="AB19" s="51"/>
      <c r="AC19" s="51">
        <f t="shared" si="11"/>
        <v>0</v>
      </c>
      <c r="AD19" s="5">
        <f t="shared" si="21"/>
        <v>0</v>
      </c>
      <c r="AE19" s="5">
        <f t="shared" si="1"/>
        <v>0</v>
      </c>
      <c r="AF19" s="51">
        <f t="shared" si="12"/>
        <v>0</v>
      </c>
      <c r="AG19" s="51">
        <f t="shared" si="13"/>
        <v>0</v>
      </c>
      <c r="AH19" s="51"/>
      <c r="AI19" s="51"/>
      <c r="AJ19" s="56">
        <f t="shared" si="14"/>
        <v>0</v>
      </c>
      <c r="AK19" s="51">
        <f t="shared" si="15"/>
        <v>0</v>
      </c>
      <c r="AL19" s="51"/>
      <c r="AM19" s="51"/>
      <c r="AN19" s="56"/>
      <c r="AO19" s="51"/>
      <c r="AP19" s="42"/>
      <c r="AQ19" s="56">
        <f t="shared" si="17"/>
        <v>0</v>
      </c>
      <c r="AR19" s="62">
        <f t="shared" si="18"/>
        <v>0</v>
      </c>
      <c r="AS19" s="51"/>
      <c r="AT19" s="62">
        <f t="shared" si="19"/>
        <v>0</v>
      </c>
    </row>
    <row r="20" spans="1:46" ht="18.75" customHeight="1" x14ac:dyDescent="0.25">
      <c r="A20" s="50"/>
      <c r="B20" s="20"/>
      <c r="C20" s="20"/>
      <c r="D20" s="50"/>
      <c r="E20" s="50"/>
      <c r="F20" s="51"/>
      <c r="G20" s="51"/>
      <c r="H20" s="50"/>
      <c r="I20" s="51">
        <f t="shared" si="4"/>
        <v>0</v>
      </c>
      <c r="J20" s="51">
        <f t="shared" si="5"/>
        <v>0</v>
      </c>
      <c r="K20" s="51">
        <v>0</v>
      </c>
      <c r="L20" s="55">
        <f t="shared" si="6"/>
        <v>0</v>
      </c>
      <c r="M20" s="51">
        <f t="shared" si="20"/>
        <v>0</v>
      </c>
      <c r="N20" s="56">
        <f t="shared" si="7"/>
        <v>0</v>
      </c>
      <c r="O20" s="57"/>
      <c r="P20" s="58"/>
      <c r="Q20" s="58">
        <f t="shared" si="8"/>
        <v>0</v>
      </c>
      <c r="R20" s="51"/>
      <c r="S20" s="51"/>
      <c r="T20" s="51"/>
      <c r="U20" s="56">
        <f t="shared" si="0"/>
        <v>0</v>
      </c>
      <c r="V20" s="50"/>
      <c r="W20" s="50"/>
      <c r="X20" s="51">
        <f t="shared" si="9"/>
        <v>0</v>
      </c>
      <c r="Y20" s="51">
        <f t="shared" si="10"/>
        <v>0</v>
      </c>
      <c r="Z20" s="60">
        <v>7.0000000000000007E-2</v>
      </c>
      <c r="AA20" s="50"/>
      <c r="AB20" s="51"/>
      <c r="AC20" s="51">
        <f t="shared" si="11"/>
        <v>0</v>
      </c>
      <c r="AD20" s="5">
        <f t="shared" si="21"/>
        <v>0</v>
      </c>
      <c r="AE20" s="5">
        <f t="shared" si="1"/>
        <v>0</v>
      </c>
      <c r="AF20" s="51">
        <f t="shared" si="12"/>
        <v>0</v>
      </c>
      <c r="AG20" s="51">
        <f t="shared" si="13"/>
        <v>0</v>
      </c>
      <c r="AH20" s="51"/>
      <c r="AI20" s="51"/>
      <c r="AJ20" s="56">
        <f t="shared" si="14"/>
        <v>0</v>
      </c>
      <c r="AK20" s="51">
        <f t="shared" si="15"/>
        <v>0</v>
      </c>
      <c r="AL20" s="51"/>
      <c r="AM20" s="51"/>
      <c r="AN20" s="56"/>
      <c r="AO20" s="51"/>
      <c r="AP20" s="42"/>
      <c r="AQ20" s="56">
        <f t="shared" si="17"/>
        <v>0</v>
      </c>
      <c r="AR20" s="62">
        <f t="shared" si="18"/>
        <v>0</v>
      </c>
      <c r="AS20" s="51"/>
      <c r="AT20" s="62">
        <f t="shared" si="19"/>
        <v>0</v>
      </c>
    </row>
    <row r="21" spans="1:46" ht="18.75" customHeight="1" x14ac:dyDescent="0.25">
      <c r="A21" s="50"/>
      <c r="B21" s="20"/>
      <c r="C21" s="20"/>
      <c r="D21" s="50"/>
      <c r="E21" s="50"/>
      <c r="F21" s="51"/>
      <c r="G21" s="51"/>
      <c r="H21" s="50"/>
      <c r="I21" s="51">
        <f t="shared" si="4"/>
        <v>0</v>
      </c>
      <c r="J21" s="51">
        <f t="shared" si="5"/>
        <v>0</v>
      </c>
      <c r="K21" s="51">
        <v>0</v>
      </c>
      <c r="L21" s="55">
        <f t="shared" si="6"/>
        <v>0</v>
      </c>
      <c r="M21" s="51">
        <f t="shared" si="20"/>
        <v>0</v>
      </c>
      <c r="N21" s="56">
        <f t="shared" si="7"/>
        <v>0</v>
      </c>
      <c r="O21" s="57"/>
      <c r="P21" s="58"/>
      <c r="Q21" s="58">
        <f t="shared" si="8"/>
        <v>0</v>
      </c>
      <c r="R21" s="51"/>
      <c r="S21" s="51"/>
      <c r="T21" s="51"/>
      <c r="U21" s="56">
        <f t="shared" si="0"/>
        <v>0</v>
      </c>
      <c r="V21" s="50"/>
      <c r="W21" s="50"/>
      <c r="X21" s="51">
        <f t="shared" si="9"/>
        <v>0</v>
      </c>
      <c r="Y21" s="51">
        <f t="shared" si="10"/>
        <v>0</v>
      </c>
      <c r="Z21" s="60">
        <v>7.0000000000000007E-2</v>
      </c>
      <c r="AA21" s="50"/>
      <c r="AB21" s="51"/>
      <c r="AC21" s="51">
        <f t="shared" si="11"/>
        <v>0</v>
      </c>
      <c r="AD21" s="5">
        <f t="shared" si="21"/>
        <v>0</v>
      </c>
      <c r="AE21" s="5">
        <f t="shared" si="1"/>
        <v>0</v>
      </c>
      <c r="AF21" s="51">
        <f t="shared" si="12"/>
        <v>0</v>
      </c>
      <c r="AG21" s="51">
        <f t="shared" si="13"/>
        <v>0</v>
      </c>
      <c r="AH21" s="51"/>
      <c r="AI21" s="51"/>
      <c r="AJ21" s="56">
        <f t="shared" si="14"/>
        <v>0</v>
      </c>
      <c r="AK21" s="51">
        <f t="shared" si="15"/>
        <v>0</v>
      </c>
      <c r="AL21" s="51"/>
      <c r="AM21" s="51"/>
      <c r="AN21" s="56"/>
      <c r="AO21" s="51"/>
      <c r="AP21" s="42"/>
      <c r="AQ21" s="56">
        <f t="shared" si="17"/>
        <v>0</v>
      </c>
      <c r="AR21" s="62">
        <f t="shared" si="18"/>
        <v>0</v>
      </c>
      <c r="AS21" s="51"/>
      <c r="AT21" s="62">
        <f t="shared" si="19"/>
        <v>0</v>
      </c>
    </row>
    <row r="22" spans="1:46" ht="18.75" customHeight="1" x14ac:dyDescent="0.25">
      <c r="A22" s="50"/>
      <c r="B22" s="20"/>
      <c r="C22" s="20"/>
      <c r="D22" s="50"/>
      <c r="E22" s="50"/>
      <c r="F22" s="51"/>
      <c r="G22" s="51"/>
      <c r="H22" s="50"/>
      <c r="I22" s="51">
        <f t="shared" si="4"/>
        <v>0</v>
      </c>
      <c r="J22" s="51">
        <f t="shared" si="5"/>
        <v>0</v>
      </c>
      <c r="K22" s="51">
        <v>0</v>
      </c>
      <c r="L22" s="55">
        <f t="shared" si="6"/>
        <v>0</v>
      </c>
      <c r="M22" s="51">
        <f t="shared" si="20"/>
        <v>0</v>
      </c>
      <c r="N22" s="56">
        <f t="shared" si="7"/>
        <v>0</v>
      </c>
      <c r="O22" s="57"/>
      <c r="P22" s="58"/>
      <c r="Q22" s="58">
        <f t="shared" si="8"/>
        <v>0</v>
      </c>
      <c r="R22" s="51"/>
      <c r="S22" s="51"/>
      <c r="T22" s="51"/>
      <c r="U22" s="56">
        <f t="shared" si="0"/>
        <v>0</v>
      </c>
      <c r="V22" s="50"/>
      <c r="W22" s="50"/>
      <c r="X22" s="51">
        <f t="shared" si="9"/>
        <v>0</v>
      </c>
      <c r="Y22" s="51">
        <f t="shared" si="10"/>
        <v>0</v>
      </c>
      <c r="Z22" s="60">
        <v>7.0000000000000007E-2</v>
      </c>
      <c r="AA22" s="50"/>
      <c r="AB22" s="51"/>
      <c r="AC22" s="51">
        <f t="shared" si="11"/>
        <v>0</v>
      </c>
      <c r="AD22" s="5">
        <f t="shared" si="21"/>
        <v>0</v>
      </c>
      <c r="AE22" s="5">
        <f t="shared" si="1"/>
        <v>0</v>
      </c>
      <c r="AF22" s="51">
        <f t="shared" si="12"/>
        <v>0</v>
      </c>
      <c r="AG22" s="51">
        <f t="shared" si="13"/>
        <v>0</v>
      </c>
      <c r="AH22" s="51"/>
      <c r="AI22" s="51"/>
      <c r="AJ22" s="56">
        <f t="shared" si="14"/>
        <v>0</v>
      </c>
      <c r="AK22" s="51">
        <f t="shared" si="15"/>
        <v>0</v>
      </c>
      <c r="AL22" s="51"/>
      <c r="AM22" s="51"/>
      <c r="AN22" s="56"/>
      <c r="AO22" s="51"/>
      <c r="AP22" s="42"/>
      <c r="AQ22" s="56">
        <f t="shared" si="17"/>
        <v>0</v>
      </c>
      <c r="AR22" s="62">
        <f t="shared" si="18"/>
        <v>0</v>
      </c>
      <c r="AS22" s="51"/>
      <c r="AT22" s="62">
        <f t="shared" si="19"/>
        <v>0</v>
      </c>
    </row>
    <row r="23" spans="1:46" ht="18.75" customHeight="1" x14ac:dyDescent="0.25">
      <c r="A23" s="50"/>
      <c r="B23" s="20"/>
      <c r="C23" s="20"/>
      <c r="D23" s="50"/>
      <c r="E23" s="50"/>
      <c r="F23" s="51"/>
      <c r="G23" s="51"/>
      <c r="H23" s="50"/>
      <c r="I23" s="51"/>
      <c r="J23" s="51"/>
      <c r="K23" s="51"/>
      <c r="L23" s="55"/>
      <c r="M23" s="51"/>
      <c r="N23" s="56"/>
      <c r="O23" s="57"/>
      <c r="P23" s="58"/>
      <c r="Q23" s="58"/>
      <c r="R23" s="51"/>
      <c r="S23" s="51"/>
      <c r="T23" s="51"/>
      <c r="U23" s="56"/>
      <c r="V23" s="50"/>
      <c r="W23" s="50"/>
      <c r="X23" s="51"/>
      <c r="Y23" s="51"/>
      <c r="Z23" s="64"/>
      <c r="AA23" s="50"/>
      <c r="AB23" s="51"/>
      <c r="AC23" s="51"/>
      <c r="AD23" s="51"/>
      <c r="AE23" s="5"/>
      <c r="AF23" s="51"/>
      <c r="AG23" s="51"/>
      <c r="AH23" s="51"/>
      <c r="AI23" s="51"/>
      <c r="AJ23" s="56"/>
      <c r="AK23" s="51"/>
      <c r="AL23" s="51"/>
      <c r="AM23" s="51"/>
      <c r="AN23" s="56"/>
      <c r="AO23" s="51"/>
      <c r="AP23" s="42"/>
      <c r="AQ23" s="56"/>
      <c r="AR23" s="62"/>
      <c r="AS23" s="51"/>
      <c r="AT23" s="62"/>
    </row>
    <row r="24" spans="1:46" ht="18.75" customHeight="1" x14ac:dyDescent="0.25">
      <c r="A24" s="50"/>
      <c r="B24" s="20"/>
      <c r="C24" s="20"/>
      <c r="D24" s="50"/>
      <c r="E24" s="50"/>
      <c r="F24" s="51"/>
      <c r="G24" s="51"/>
      <c r="H24" s="50"/>
      <c r="I24" s="51"/>
      <c r="J24" s="51"/>
      <c r="K24" s="51"/>
      <c r="L24" s="55"/>
      <c r="M24" s="51"/>
      <c r="N24" s="56"/>
      <c r="O24" s="57"/>
      <c r="P24" s="58"/>
      <c r="Q24" s="58"/>
      <c r="R24" s="51"/>
      <c r="S24" s="51"/>
      <c r="T24" s="51"/>
      <c r="U24" s="56"/>
      <c r="V24" s="50"/>
      <c r="W24" s="50"/>
      <c r="X24" s="51"/>
      <c r="Y24" s="51"/>
      <c r="Z24" s="64"/>
      <c r="AA24" s="50"/>
      <c r="AB24" s="51"/>
      <c r="AC24" s="51"/>
      <c r="AD24" s="51"/>
      <c r="AE24" s="51"/>
      <c r="AF24" s="51"/>
      <c r="AG24" s="51"/>
      <c r="AH24" s="51"/>
      <c r="AI24" s="51"/>
      <c r="AJ24" s="56"/>
      <c r="AK24" s="51"/>
      <c r="AL24" s="51"/>
      <c r="AM24" s="51"/>
      <c r="AN24" s="56"/>
      <c r="AO24" s="51"/>
      <c r="AP24" s="42"/>
      <c r="AQ24" s="56"/>
      <c r="AR24" s="62"/>
      <c r="AS24" s="51"/>
      <c r="AT24" s="62"/>
    </row>
    <row r="25" spans="1:46" ht="18.75" customHeight="1" x14ac:dyDescent="0.25">
      <c r="A25" s="50"/>
      <c r="B25" s="20"/>
      <c r="C25" s="20" t="s">
        <v>96</v>
      </c>
      <c r="D25" s="50"/>
      <c r="E25" s="50"/>
      <c r="F25" s="51">
        <f>SUM(F8:F24)</f>
        <v>1743333.3333333335</v>
      </c>
      <c r="G25" s="51">
        <f>SUM(G8:G24)</f>
        <v>261500</v>
      </c>
      <c r="H25" s="50"/>
      <c r="I25" s="51"/>
      <c r="J25" s="51">
        <f>SUM(J8:J24)</f>
        <v>22321.999</v>
      </c>
      <c r="K25" s="51">
        <f>SUM(K8:K24)</f>
        <v>50000</v>
      </c>
      <c r="L25" s="55">
        <f>SUM(L8:L24)</f>
        <v>2077155.3323333333</v>
      </c>
      <c r="M25" s="51">
        <f>SUM(M8:M24)</f>
        <v>387084.33333333337</v>
      </c>
      <c r="N25" s="56">
        <f>SUM(N8:N24)</f>
        <v>2464239.6656666668</v>
      </c>
      <c r="O25" s="57"/>
      <c r="P25" s="58"/>
      <c r="Q25" s="58">
        <f>SUM(Q8:Q24)</f>
        <v>34032</v>
      </c>
      <c r="R25" s="51"/>
      <c r="S25" s="51"/>
      <c r="T25" s="51"/>
      <c r="U25" s="56">
        <f>SUM(U8:U24)</f>
        <v>2793271.6656666668</v>
      </c>
      <c r="V25" s="50"/>
      <c r="W25" s="50"/>
      <c r="X25" s="51">
        <f>SUM(X8:X24)</f>
        <v>280670.63048019999</v>
      </c>
      <c r="Y25" s="51"/>
      <c r="Z25" s="64"/>
      <c r="AA25" s="50"/>
      <c r="AB25" s="51"/>
      <c r="AC25" s="51"/>
      <c r="AD25" s="51">
        <f>SUM(AD8:AD24)</f>
        <v>73135.416666666672</v>
      </c>
      <c r="AE25" s="51">
        <f>SUM(AE8:AE24)</f>
        <v>99361.359930000006</v>
      </c>
      <c r="AF25" s="51"/>
      <c r="AG25" s="51"/>
      <c r="AH25" s="51"/>
      <c r="AI25" s="51"/>
      <c r="AJ25" s="56"/>
      <c r="AK25" s="51"/>
      <c r="AL25" s="51"/>
      <c r="AM25" s="51"/>
      <c r="AN25" s="56"/>
      <c r="AO25" s="51"/>
      <c r="AP25" s="42"/>
      <c r="AQ25" s="56">
        <f>SUM(AQ8:AQ24)</f>
        <v>610037.08646266663</v>
      </c>
      <c r="AR25" s="62">
        <f>SUM(AR8:AR24)</f>
        <v>2183234.5792040001</v>
      </c>
      <c r="AS25" s="51"/>
      <c r="AT25" s="62">
        <f>SUM(AT8:AT24)</f>
        <v>2103234.5792040001</v>
      </c>
    </row>
    <row r="26" spans="1:46" ht="15.75" x14ac:dyDescent="0.25">
      <c r="A26" s="6"/>
      <c r="B26" s="6"/>
      <c r="C26" s="6"/>
      <c r="D26" s="6"/>
      <c r="E26" s="6"/>
      <c r="F26" s="9"/>
      <c r="G26" s="9"/>
      <c r="H26" s="6"/>
      <c r="I26" s="9"/>
      <c r="J26" s="9"/>
      <c r="K26" s="9"/>
      <c r="L26" s="9"/>
      <c r="M26" s="9"/>
      <c r="N26" s="9"/>
      <c r="O26" s="10"/>
      <c r="P26" s="11"/>
      <c r="Q26" s="11"/>
      <c r="R26" s="9"/>
      <c r="S26" s="9"/>
      <c r="T26" s="9"/>
      <c r="U26" s="65"/>
      <c r="V26" s="6"/>
      <c r="W26" s="6"/>
      <c r="X26" s="9"/>
      <c r="Y26" s="9"/>
      <c r="Z26" s="12"/>
      <c r="AA26" s="6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13"/>
      <c r="AQ26" s="9"/>
      <c r="AR26" s="9"/>
      <c r="AS26" s="9"/>
      <c r="AT26" s="9"/>
    </row>
  </sheetData>
  <mergeCells count="20">
    <mergeCell ref="V6:Y6"/>
    <mergeCell ref="Z6:AG6"/>
    <mergeCell ref="AO6:AO7"/>
    <mergeCell ref="AP6:AP7"/>
    <mergeCell ref="G6:G7"/>
    <mergeCell ref="H6:J6"/>
    <mergeCell ref="K6:K7"/>
    <mergeCell ref="M6:M7"/>
    <mergeCell ref="O6:Q6"/>
    <mergeCell ref="T6:T7"/>
    <mergeCell ref="F1:K1"/>
    <mergeCell ref="B2:C2"/>
    <mergeCell ref="B3:C3"/>
    <mergeCell ref="B4:C4"/>
    <mergeCell ref="D4:E4"/>
    <mergeCell ref="A6:A7"/>
    <mergeCell ref="B6:B7"/>
    <mergeCell ref="C6:C7"/>
    <mergeCell ref="D6:D7"/>
    <mergeCell ref="F6:F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2"/>
  <sheetViews>
    <sheetView zoomScale="70" zoomScaleNormal="70" workbookViewId="0">
      <selection activeCell="C22" sqref="C22"/>
    </sheetView>
  </sheetViews>
  <sheetFormatPr baseColWidth="10" defaultRowHeight="15" x14ac:dyDescent="0.25"/>
  <sheetData>
    <row r="1" spans="1:9" x14ac:dyDescent="0.25">
      <c r="A1" s="66" t="s">
        <v>35</v>
      </c>
      <c r="B1" s="66" t="str">
        <f>'[1]LIBRO DE REMUNERACIONES'!B2:C2</f>
        <v>Empresa de Prueba SPA</v>
      </c>
      <c r="C1" s="67"/>
      <c r="D1" s="68"/>
      <c r="E1" s="66"/>
      <c r="F1" s="66"/>
      <c r="G1" s="66"/>
      <c r="H1" s="68"/>
      <c r="I1" s="66"/>
    </row>
    <row r="2" spans="1:9" x14ac:dyDescent="0.25">
      <c r="A2" s="66" t="s">
        <v>97</v>
      </c>
      <c r="B2" s="66" t="str">
        <f>'[1]LIBRO DE REMUNERACIONES'!B3:C3</f>
        <v>78.878.251-5</v>
      </c>
      <c r="C2" s="67"/>
      <c r="D2" s="68"/>
      <c r="E2" s="66"/>
      <c r="F2" s="66"/>
      <c r="G2" s="66"/>
      <c r="H2" s="68"/>
      <c r="I2" s="66"/>
    </row>
    <row r="3" spans="1:9" x14ac:dyDescent="0.25">
      <c r="A3" s="66" t="s">
        <v>32</v>
      </c>
      <c r="B3" s="66" t="str">
        <f>'[1]LIBRO DE REMUNERACIONES'!B4:C4</f>
        <v>MANUEL BULNES #1815</v>
      </c>
      <c r="C3" s="67"/>
      <c r="D3" s="68"/>
      <c r="E3" s="66"/>
      <c r="F3" s="66"/>
      <c r="G3" s="66"/>
      <c r="H3" s="68"/>
      <c r="I3" s="66"/>
    </row>
    <row r="4" spans="1:9" x14ac:dyDescent="0.25">
      <c r="A4" s="66" t="s">
        <v>98</v>
      </c>
      <c r="B4" s="66"/>
      <c r="C4" s="67"/>
      <c r="D4" s="68"/>
      <c r="E4" s="66"/>
      <c r="F4" s="66"/>
      <c r="G4" s="66"/>
      <c r="H4" s="68"/>
      <c r="I4" s="66"/>
    </row>
    <row r="5" spans="1:9" x14ac:dyDescent="0.25">
      <c r="A5" s="66"/>
      <c r="B5" s="69" t="s">
        <v>99</v>
      </c>
      <c r="C5" s="70"/>
      <c r="D5" s="68"/>
      <c r="E5" s="66"/>
      <c r="F5" s="66"/>
      <c r="G5" s="71" t="str">
        <f>'[1]LIBRO DE REMUNERACIONES'!M1</f>
        <v>DICIEMBRE DE 2018</v>
      </c>
      <c r="H5" s="71"/>
      <c r="I5" s="66"/>
    </row>
    <row r="6" spans="1:9" x14ac:dyDescent="0.25">
      <c r="A6" s="66">
        <v>2</v>
      </c>
      <c r="B6" s="71" t="s">
        <v>100</v>
      </c>
      <c r="C6" s="71"/>
      <c r="D6" s="71" t="str">
        <f>VLOOKUP(A6,'[1]LIBRO DE REMUNERACIONES'!A6:AT16,2,0)</f>
        <v>JUAN ANTONIO PEREZ GONZALEZ</v>
      </c>
      <c r="E6" s="71"/>
      <c r="F6" s="71"/>
      <c r="G6" s="66" t="s">
        <v>101</v>
      </c>
      <c r="H6" s="68" t="str">
        <f>VLOOKUP(A6,'[1]LIBRO DE REMUNERACIONES'!A6:AT17,3,0)</f>
        <v>18.432.222-k</v>
      </c>
      <c r="I6" s="66"/>
    </row>
    <row r="7" spans="1:9" x14ac:dyDescent="0.25">
      <c r="A7" s="66"/>
      <c r="B7" s="66"/>
      <c r="C7" s="67"/>
      <c r="D7" s="66"/>
      <c r="E7" s="66"/>
      <c r="F7" s="66"/>
      <c r="G7" s="66"/>
      <c r="H7" s="68"/>
      <c r="I7" s="66"/>
    </row>
    <row r="8" spans="1:9" x14ac:dyDescent="0.25">
      <c r="A8" s="72" t="s">
        <v>102</v>
      </c>
      <c r="B8" s="72"/>
      <c r="C8" s="67"/>
      <c r="D8" s="66"/>
      <c r="E8" s="66"/>
      <c r="F8" s="66"/>
      <c r="G8" s="66"/>
      <c r="H8" s="68">
        <f>VLOOKUP(A6,'[1]LIBRO DE REMUNERACIONES'!A6:AT15,6,0)</f>
        <v>225000</v>
      </c>
      <c r="I8" s="66"/>
    </row>
    <row r="9" spans="1:9" ht="15.75" x14ac:dyDescent="0.25">
      <c r="A9" s="73" t="s">
        <v>48</v>
      </c>
      <c r="B9" s="73"/>
      <c r="C9" s="74"/>
      <c r="D9" s="66"/>
      <c r="E9" s="66"/>
      <c r="F9" s="66"/>
      <c r="G9" s="66"/>
      <c r="H9" s="68">
        <f>VLOOKUP(A6,'[1]LIBRO DE REMUNERACIONES'!A6:AT15,10,0)</f>
        <v>0</v>
      </c>
      <c r="I9" s="66"/>
    </row>
    <row r="10" spans="1:9" x14ac:dyDescent="0.25">
      <c r="A10" s="72" t="s">
        <v>103</v>
      </c>
      <c r="B10" s="72"/>
      <c r="C10" s="67"/>
      <c r="D10" s="66"/>
      <c r="E10" s="66"/>
      <c r="F10" s="66"/>
      <c r="G10" s="66"/>
      <c r="H10" s="68">
        <f>VLOOKUP(A6,'[1]LIBRO DE REMUNERACIONES'!A7:AT16,7,0)</f>
        <v>33750</v>
      </c>
      <c r="I10" s="66"/>
    </row>
    <row r="11" spans="1:9" x14ac:dyDescent="0.25">
      <c r="A11" s="72" t="s">
        <v>49</v>
      </c>
      <c r="B11" s="72"/>
      <c r="C11" s="67"/>
      <c r="D11" s="66"/>
      <c r="E11" s="66"/>
      <c r="F11" s="66"/>
      <c r="G11" s="66"/>
      <c r="H11" s="68">
        <f>VLOOKUP(A6,'[1]LIBRO DE REMUNERACIONES'!A8:AT17,11,0)</f>
        <v>0</v>
      </c>
      <c r="I11" s="66"/>
    </row>
    <row r="12" spans="1:9" x14ac:dyDescent="0.25">
      <c r="A12" s="72" t="s">
        <v>51</v>
      </c>
      <c r="B12" s="72"/>
      <c r="C12" s="67"/>
      <c r="D12" s="66"/>
      <c r="E12" s="66"/>
      <c r="F12" s="66"/>
      <c r="G12" s="66"/>
      <c r="H12" s="68">
        <f>VLOOKUP(A6,'[1]LIBRO DE REMUNERACIONES'!A6:AT16,13,0)</f>
        <v>64687.5</v>
      </c>
      <c r="I12" s="66"/>
    </row>
    <row r="13" spans="1:9" x14ac:dyDescent="0.25">
      <c r="A13" s="66"/>
      <c r="B13" s="66"/>
      <c r="C13" s="71" t="s">
        <v>104</v>
      </c>
      <c r="D13" s="71"/>
      <c r="E13" s="66"/>
      <c r="F13" s="66"/>
      <c r="G13" s="66"/>
      <c r="H13" s="75">
        <f>VLOOKUP(A6,'[1]LIBRO DE REMUNERACIONES'!A6:AT14,14,0)</f>
        <v>323437.5</v>
      </c>
      <c r="I13" s="66"/>
    </row>
    <row r="14" spans="1:9" x14ac:dyDescent="0.25">
      <c r="A14" s="72" t="s">
        <v>53</v>
      </c>
      <c r="B14" s="72"/>
      <c r="C14" s="67"/>
      <c r="D14" s="66"/>
      <c r="E14" s="66"/>
      <c r="F14" s="66"/>
      <c r="G14" s="66"/>
      <c r="H14" s="68">
        <f>VLOOKUP(A6,'[1]LIBRO DE REMUNERACIONES'!A6:AT15,17,0)</f>
        <v>11344</v>
      </c>
      <c r="I14" s="66"/>
    </row>
    <row r="15" spans="1:9" x14ac:dyDescent="0.25">
      <c r="A15" s="72" t="s">
        <v>105</v>
      </c>
      <c r="B15" s="72"/>
      <c r="C15" s="67"/>
      <c r="D15" s="66"/>
      <c r="E15" s="66"/>
      <c r="F15" s="66"/>
      <c r="G15" s="66"/>
      <c r="H15" s="68">
        <f>VLOOKUP(A6,'[1]LIBRO DE REMUNERACIONES'!A6:AT15,18,0)</f>
        <v>30000</v>
      </c>
      <c r="I15" s="66"/>
    </row>
    <row r="16" spans="1:9" x14ac:dyDescent="0.25">
      <c r="A16" s="72" t="s">
        <v>106</v>
      </c>
      <c r="B16" s="72"/>
      <c r="C16" s="67"/>
      <c r="D16" s="66"/>
      <c r="E16" s="66"/>
      <c r="F16" s="66"/>
      <c r="G16" s="66"/>
      <c r="H16" s="68">
        <f>VLOOKUP(A6,'[1]LIBRO DE REMUNERACIONES'!A6:AT16,19,0)</f>
        <v>25000</v>
      </c>
      <c r="I16" s="66"/>
    </row>
    <row r="17" spans="1:9" x14ac:dyDescent="0.25">
      <c r="A17" s="72" t="s">
        <v>55</v>
      </c>
      <c r="B17" s="72"/>
      <c r="C17" s="67"/>
      <c r="D17" s="66"/>
      <c r="E17" s="66"/>
      <c r="F17" s="66"/>
      <c r="G17" s="66"/>
      <c r="H17" s="68">
        <f>VLOOKUP(A6,'[1]LIBRO DE REMUNERACIONES'!A6:AT16,20,0)</f>
        <v>0</v>
      </c>
      <c r="I17" s="66"/>
    </row>
    <row r="18" spans="1:9" x14ac:dyDescent="0.25">
      <c r="A18" s="66"/>
      <c r="B18" s="66"/>
      <c r="C18" s="71" t="s">
        <v>107</v>
      </c>
      <c r="D18" s="71"/>
      <c r="E18" s="66"/>
      <c r="F18" s="66"/>
      <c r="G18" s="66"/>
      <c r="H18" s="75">
        <f>VLOOKUP(A6,'[1]LIBRO DE REMUNERACIONES'!A6:AT17,21,0)</f>
        <v>389781.5</v>
      </c>
      <c r="I18" s="66"/>
    </row>
    <row r="19" spans="1:9" x14ac:dyDescent="0.25">
      <c r="A19" s="66" t="s">
        <v>108</v>
      </c>
      <c r="B19" s="66" t="str">
        <f>VLOOKUP(A6,'[1]LIBRO DE REMUNERACIONES'!A6:AT16,22,0)</f>
        <v>HABITAT</v>
      </c>
      <c r="C19" s="67">
        <f>VLOOKUP(A6,'[1]LIBRO DE REMUNERACIONES'!A6:AT15,23,0)</f>
        <v>0.11269999999999999</v>
      </c>
      <c r="D19" s="66"/>
      <c r="E19" s="66"/>
      <c r="F19" s="66"/>
      <c r="G19" s="66"/>
      <c r="H19" s="68">
        <f>VLOOKUP(A6,'[1]LIBRO DE REMUNERACIONES'!A6:AT16,24,0)</f>
        <v>36451.40625</v>
      </c>
      <c r="I19" s="66"/>
    </row>
    <row r="20" spans="1:9" x14ac:dyDescent="0.25">
      <c r="A20" s="72" t="s">
        <v>77</v>
      </c>
      <c r="B20" s="72"/>
      <c r="C20" s="67">
        <v>6.0000000000000001E-3</v>
      </c>
      <c r="D20" s="66"/>
      <c r="E20" s="66"/>
      <c r="F20" s="66"/>
      <c r="G20" s="66"/>
      <c r="H20" s="68">
        <f>VLOOKUP(A6,'[1]LIBRO DE REMUNERACIONES'!A6:AT15,25,0)</f>
        <v>1940.625</v>
      </c>
      <c r="I20" s="66"/>
    </row>
    <row r="21" spans="1:9" x14ac:dyDescent="0.25">
      <c r="A21" s="72" t="s">
        <v>23</v>
      </c>
      <c r="B21" s="72"/>
      <c r="C21" s="67">
        <v>7.0000000000000007E-2</v>
      </c>
      <c r="D21" s="66"/>
      <c r="E21" s="66"/>
      <c r="F21" s="66"/>
      <c r="G21" s="66"/>
      <c r="H21" s="68">
        <f>VLOOKUP(A6,'[1]LIBRO DE REMUNERACIONES'!A6:AT16,30,0)</f>
        <v>22640.625000000004</v>
      </c>
      <c r="I21" s="66"/>
    </row>
    <row r="22" spans="1:9" x14ac:dyDescent="0.25">
      <c r="A22" s="72" t="s">
        <v>17</v>
      </c>
      <c r="B22" s="72"/>
      <c r="C22" s="67"/>
      <c r="D22" s="66"/>
      <c r="E22" s="68">
        <f>VLOOKUP(A6,'[1]LIBRO DE REMUNERACIONES'!A6:AT17,31,0)</f>
        <v>0</v>
      </c>
      <c r="F22" s="66"/>
      <c r="G22" s="66"/>
      <c r="H22" s="68"/>
      <c r="I22" s="66"/>
    </row>
    <row r="23" spans="1:9" x14ac:dyDescent="0.25">
      <c r="A23" s="72" t="s">
        <v>81</v>
      </c>
      <c r="B23" s="72"/>
      <c r="C23" s="76">
        <f>VLOOKUP(A6,'[1]LIBRO DE REMUNERACIONES'!A6:AT18,27,0)</f>
        <v>0</v>
      </c>
      <c r="D23" s="66"/>
      <c r="E23" s="68">
        <f>VLOOKUP(A6,'[1]LIBRO DE REMUNERACIONES'!A6:AT15,29,0)</f>
        <v>0</v>
      </c>
      <c r="F23" s="66"/>
      <c r="G23" s="66"/>
      <c r="H23" s="68"/>
      <c r="I23" s="66"/>
    </row>
    <row r="24" spans="1:9" x14ac:dyDescent="0.25">
      <c r="A24" s="72" t="s">
        <v>82</v>
      </c>
      <c r="B24" s="72"/>
      <c r="C24" s="67"/>
      <c r="D24" s="66"/>
      <c r="E24" s="68">
        <f>VLOOKUP(A6,'[1]LIBRO DE REMUNERACIONES'!A6:AT14,32,0)</f>
        <v>0</v>
      </c>
      <c r="F24" s="66"/>
      <c r="G24" s="66"/>
      <c r="H24" s="68"/>
      <c r="I24" s="66"/>
    </row>
    <row r="25" spans="1:9" x14ac:dyDescent="0.25">
      <c r="A25" s="72" t="s">
        <v>83</v>
      </c>
      <c r="B25" s="72"/>
      <c r="C25" s="67"/>
      <c r="D25" s="66"/>
      <c r="E25" s="66"/>
      <c r="F25" s="66"/>
      <c r="G25" s="66"/>
      <c r="H25" s="68">
        <f>VLOOKUP(A6,'[1]LIBRO DE REMUNERACIONES'!A6:AT16,33,0)</f>
        <v>0</v>
      </c>
      <c r="I25" s="66"/>
    </row>
    <row r="26" spans="1:9" x14ac:dyDescent="0.25">
      <c r="A26" s="72" t="s">
        <v>109</v>
      </c>
      <c r="B26" s="72"/>
      <c r="C26" s="67"/>
      <c r="D26" s="66"/>
      <c r="E26" s="66"/>
      <c r="F26" s="66"/>
      <c r="G26" s="66"/>
      <c r="H26" s="68">
        <f>VLOOKUP(A6,'[1]LIBRO DE REMUNERACIONES'!A6:AT16,34,0)</f>
        <v>0</v>
      </c>
      <c r="I26" s="66"/>
    </row>
    <row r="27" spans="1:9" x14ac:dyDescent="0.25">
      <c r="A27" s="72" t="s">
        <v>110</v>
      </c>
      <c r="B27" s="72"/>
      <c r="C27" s="67"/>
      <c r="D27" s="66"/>
      <c r="E27" s="66"/>
      <c r="F27" s="66"/>
      <c r="G27" s="66"/>
      <c r="H27" s="68">
        <f>VLOOKUP(A6,'[1]LIBRO DE REMUNERACIONES'!A6:AT16,35,0)</f>
        <v>0</v>
      </c>
      <c r="I27" s="66"/>
    </row>
    <row r="28" spans="1:9" x14ac:dyDescent="0.25">
      <c r="A28" s="72" t="s">
        <v>111</v>
      </c>
      <c r="B28" s="72"/>
      <c r="C28" s="67"/>
      <c r="D28" s="66"/>
      <c r="E28" s="66"/>
      <c r="F28" s="66"/>
      <c r="G28" s="66"/>
      <c r="H28" s="68">
        <f>VLOOKUP(A6,'[1]LIBRO DE REMUNERACIONES'!A6:AT16,40,0)</f>
        <v>0</v>
      </c>
      <c r="I28" s="66"/>
    </row>
    <row r="29" spans="1:9" x14ac:dyDescent="0.25">
      <c r="A29" s="72" t="s">
        <v>64</v>
      </c>
      <c r="B29" s="72"/>
      <c r="C29" s="67" t="s">
        <v>65</v>
      </c>
      <c r="D29" s="66">
        <f>VLOOKUP(A6,'[1]LIBRO DE REMUNERACIONES'!A6:AT15,42,0)</f>
        <v>0</v>
      </c>
      <c r="E29" s="66"/>
      <c r="F29" s="66"/>
      <c r="G29" s="66"/>
      <c r="H29" s="68">
        <f>VLOOKUP(A6,'[1]LIBRO DE REMUNERACIONES'!A6:AT16,41,0)</f>
        <v>0</v>
      </c>
      <c r="I29" s="66"/>
    </row>
    <row r="30" spans="1:9" x14ac:dyDescent="0.25">
      <c r="A30" s="72" t="s">
        <v>112</v>
      </c>
      <c r="B30" s="72"/>
      <c r="C30" s="67"/>
      <c r="D30" s="66"/>
      <c r="E30" s="66"/>
      <c r="F30" s="66"/>
      <c r="G30" s="66"/>
      <c r="H30" s="68">
        <f>VLOOKUP(A6,'[1]LIBRO DE REMUNERACIONES'!A6:AT14,43,0)</f>
        <v>61032.65625</v>
      </c>
      <c r="I30" s="66"/>
    </row>
    <row r="31" spans="1:9" x14ac:dyDescent="0.25">
      <c r="A31" s="72" t="s">
        <v>113</v>
      </c>
      <c r="B31" s="72"/>
      <c r="C31" s="67"/>
      <c r="D31" s="66"/>
      <c r="E31" s="66"/>
      <c r="F31" s="66"/>
      <c r="G31" s="66"/>
      <c r="H31" s="68">
        <f>VLOOKUP(A6,'[1]LIBRO DE REMUNERACIONES'!A6:AT15,44,0)</f>
        <v>328748.84375</v>
      </c>
      <c r="I31" s="66"/>
    </row>
    <row r="32" spans="1:9" x14ac:dyDescent="0.25">
      <c r="A32" s="72" t="s">
        <v>114</v>
      </c>
      <c r="B32" s="72"/>
      <c r="C32" s="67"/>
      <c r="D32" s="66"/>
      <c r="E32" s="66"/>
      <c r="F32" s="66"/>
      <c r="G32" s="66"/>
      <c r="H32" s="68">
        <f>VLOOKUP(A6,'[1]LIBRO DE REMUNERACIONES'!A6:AT15,45,0)</f>
        <v>30000</v>
      </c>
      <c r="I32" s="66"/>
    </row>
    <row r="33" spans="1:9" x14ac:dyDescent="0.25">
      <c r="A33" s="72" t="s">
        <v>93</v>
      </c>
      <c r="B33" s="72"/>
      <c r="C33" s="67"/>
      <c r="D33" s="66"/>
      <c r="E33" s="66"/>
      <c r="F33" s="66"/>
      <c r="G33" s="66"/>
      <c r="H33" s="75">
        <f>VLOOKUP(A6,'[1]LIBRO DE REMUNERACIONES'!A6:AT15,46,0)</f>
        <v>298748.84375</v>
      </c>
      <c r="I33" s="66"/>
    </row>
    <row r="34" spans="1:9" x14ac:dyDescent="0.25">
      <c r="A34" s="77"/>
      <c r="B34" s="77"/>
      <c r="C34" s="67"/>
      <c r="D34" s="66"/>
      <c r="E34" s="66"/>
      <c r="F34" s="66"/>
      <c r="G34" s="66"/>
      <c r="H34" s="68"/>
      <c r="I34" s="66"/>
    </row>
    <row r="35" spans="1:9" x14ac:dyDescent="0.25">
      <c r="A35" s="77"/>
      <c r="B35" s="77"/>
      <c r="C35" s="67"/>
      <c r="D35" s="66"/>
      <c r="E35" s="66"/>
      <c r="F35" s="66"/>
      <c r="G35" s="66"/>
      <c r="H35" s="68"/>
      <c r="I35" s="66"/>
    </row>
    <row r="36" spans="1:9" x14ac:dyDescent="0.25">
      <c r="A36" s="66"/>
      <c r="B36" s="66"/>
      <c r="C36" s="67"/>
      <c r="D36" s="66"/>
      <c r="E36" s="66"/>
      <c r="F36" s="66"/>
      <c r="G36" s="66"/>
      <c r="H36" s="68"/>
      <c r="I36" s="66"/>
    </row>
    <row r="37" spans="1:9" x14ac:dyDescent="0.25">
      <c r="A37" s="66" t="s">
        <v>115</v>
      </c>
      <c r="B37" s="66" t="str">
        <f>'[1]LIBRO DE REMUNERACIONES'!B2:C2</f>
        <v>Empresa de Prueba SPA</v>
      </c>
      <c r="C37" s="67"/>
      <c r="D37" s="68"/>
      <c r="E37" s="66"/>
      <c r="F37" s="66"/>
      <c r="G37" s="66"/>
      <c r="H37" s="68"/>
      <c r="I37" s="66"/>
    </row>
    <row r="38" spans="1:9" x14ac:dyDescent="0.25">
      <c r="A38" s="66" t="s">
        <v>97</v>
      </c>
      <c r="B38" s="66" t="str">
        <f>'[1]LIBRO DE REMUNERACIONES'!B3:C3</f>
        <v>78.878.251-5</v>
      </c>
      <c r="C38" s="67"/>
      <c r="D38" s="68"/>
      <c r="E38" s="66"/>
      <c r="F38" s="66"/>
      <c r="G38" s="66"/>
      <c r="H38" s="68"/>
      <c r="I38" s="66"/>
    </row>
    <row r="39" spans="1:9" x14ac:dyDescent="0.25">
      <c r="A39" s="66" t="s">
        <v>116</v>
      </c>
      <c r="B39" s="66" t="str">
        <f>'[1]LIBRO DE REMUNERACIONES'!B4:C4</f>
        <v>MANUEL BULNES #1815</v>
      </c>
      <c r="C39" s="67"/>
      <c r="D39" s="68"/>
      <c r="E39" s="66"/>
      <c r="F39" s="66"/>
      <c r="G39" s="66"/>
      <c r="H39" s="68"/>
      <c r="I39" s="66"/>
    </row>
    <row r="40" spans="1:9" x14ac:dyDescent="0.25">
      <c r="A40" s="66" t="s">
        <v>98</v>
      </c>
      <c r="B40" s="66"/>
      <c r="C40" s="67"/>
      <c r="D40" s="68"/>
      <c r="E40" s="66"/>
      <c r="F40" s="66"/>
      <c r="G40" s="66"/>
      <c r="H40" s="68"/>
      <c r="I40" s="66"/>
    </row>
    <row r="41" spans="1:9" x14ac:dyDescent="0.25">
      <c r="A41" s="66"/>
      <c r="B41" s="69" t="s">
        <v>99</v>
      </c>
      <c r="C41" s="70"/>
      <c r="D41" s="68"/>
      <c r="E41" s="66"/>
      <c r="F41" s="66"/>
      <c r="G41" s="71" t="str">
        <f>G5</f>
        <v>DICIEMBRE DE 2018</v>
      </c>
      <c r="H41" s="71"/>
      <c r="I41" s="66"/>
    </row>
    <row r="42" spans="1:9" x14ac:dyDescent="0.25">
      <c r="A42" s="66">
        <f>A6</f>
        <v>2</v>
      </c>
      <c r="B42" s="71" t="s">
        <v>100</v>
      </c>
      <c r="C42" s="71"/>
      <c r="D42" s="71" t="str">
        <f>VLOOKUP(A42,'[1]LIBRO DE REMUNERACIONES'!A6:AT15,2,0)</f>
        <v>JUAN ANTONIO PEREZ GONZALEZ</v>
      </c>
      <c r="E42" s="71"/>
      <c r="F42" s="71"/>
      <c r="G42" s="66" t="s">
        <v>101</v>
      </c>
      <c r="H42" s="68" t="str">
        <f>VLOOKUP(A42,'[1]LIBRO DE REMUNERACIONES'!A6:AT14,3,0)</f>
        <v>18.432.222-k</v>
      </c>
      <c r="I42" s="66"/>
    </row>
    <row r="43" spans="1:9" x14ac:dyDescent="0.25">
      <c r="A43" s="66"/>
      <c r="B43" s="66"/>
      <c r="C43" s="67"/>
      <c r="D43" s="66"/>
      <c r="E43" s="66"/>
      <c r="F43" s="66"/>
      <c r="G43" s="66"/>
      <c r="H43" s="68"/>
      <c r="I43" s="66"/>
    </row>
    <row r="44" spans="1:9" x14ac:dyDescent="0.25">
      <c r="A44" s="72" t="s">
        <v>102</v>
      </c>
      <c r="B44" s="72"/>
      <c r="C44" s="67"/>
      <c r="D44" s="66"/>
      <c r="E44" s="66"/>
      <c r="F44" s="66"/>
      <c r="G44" s="66"/>
      <c r="H44" s="68">
        <f>VLOOKUP(A42,'[1]LIBRO DE REMUNERACIONES'!A6:AT15,6,0)</f>
        <v>225000</v>
      </c>
      <c r="I44" s="66"/>
    </row>
    <row r="45" spans="1:9" ht="15.75" x14ac:dyDescent="0.25">
      <c r="A45" s="73" t="s">
        <v>48</v>
      </c>
      <c r="B45" s="73"/>
      <c r="C45" s="74"/>
      <c r="D45" s="66"/>
      <c r="E45" s="66"/>
      <c r="F45" s="66"/>
      <c r="G45" s="66"/>
      <c r="H45" s="68">
        <f>VLOOKUP(A42,'[1]LIBRO DE REMUNERACIONES'!A6:AT16,10,0)</f>
        <v>0</v>
      </c>
      <c r="I45" s="66"/>
    </row>
    <row r="46" spans="1:9" x14ac:dyDescent="0.25">
      <c r="A46" s="72" t="s">
        <v>103</v>
      </c>
      <c r="B46" s="72"/>
      <c r="C46" s="67"/>
      <c r="D46" s="66"/>
      <c r="E46" s="66"/>
      <c r="F46" s="66"/>
      <c r="G46" s="66"/>
      <c r="H46" s="68">
        <f>VLOOKUP(A42,'[1]LIBRO DE REMUNERACIONES'!A6:AT16,7,0)</f>
        <v>33750</v>
      </c>
      <c r="I46" s="66"/>
    </row>
    <row r="47" spans="1:9" x14ac:dyDescent="0.25">
      <c r="A47" s="72" t="s">
        <v>49</v>
      </c>
      <c r="B47" s="72"/>
      <c r="C47" s="67"/>
      <c r="D47" s="66"/>
      <c r="E47" s="66"/>
      <c r="F47" s="66"/>
      <c r="G47" s="66"/>
      <c r="H47" s="68">
        <f>VLOOKUP(A42,'[1]LIBRO DE REMUNERACIONES'!A6:AT16,11,0)</f>
        <v>0</v>
      </c>
      <c r="I47" s="66"/>
    </row>
    <row r="48" spans="1:9" x14ac:dyDescent="0.25">
      <c r="A48" s="72" t="s">
        <v>51</v>
      </c>
      <c r="B48" s="72"/>
      <c r="C48" s="67"/>
      <c r="D48" s="66"/>
      <c r="E48" s="66"/>
      <c r="F48" s="66"/>
      <c r="G48" s="66"/>
      <c r="H48" s="68">
        <f>VLOOKUP(A42,'[1]LIBRO DE REMUNERACIONES'!A6:AT16,13,0)</f>
        <v>64687.5</v>
      </c>
      <c r="I48" s="66"/>
    </row>
    <row r="49" spans="1:9" x14ac:dyDescent="0.25">
      <c r="A49" s="66"/>
      <c r="B49" s="66"/>
      <c r="C49" s="71" t="s">
        <v>104</v>
      </c>
      <c r="D49" s="71"/>
      <c r="E49" s="66"/>
      <c r="F49" s="66"/>
      <c r="G49" s="66"/>
      <c r="H49" s="75">
        <f>VLOOKUP(A42,'[1]LIBRO DE REMUNERACIONES'!A6:AT17,14,0)</f>
        <v>323437.5</v>
      </c>
      <c r="I49" s="66"/>
    </row>
    <row r="50" spans="1:9" x14ac:dyDescent="0.25">
      <c r="A50" s="72" t="s">
        <v>53</v>
      </c>
      <c r="B50" s="72"/>
      <c r="C50" s="67"/>
      <c r="D50" s="66"/>
      <c r="E50" s="66"/>
      <c r="F50" s="66"/>
      <c r="G50" s="66"/>
      <c r="H50" s="68">
        <f>VLOOKUP(A42,'[1]LIBRO DE REMUNERACIONES'!A6:AT15,17,0)</f>
        <v>11344</v>
      </c>
      <c r="I50" s="66"/>
    </row>
    <row r="51" spans="1:9" x14ac:dyDescent="0.25">
      <c r="A51" s="72" t="s">
        <v>105</v>
      </c>
      <c r="B51" s="72"/>
      <c r="C51" s="67"/>
      <c r="D51" s="66"/>
      <c r="E51" s="66"/>
      <c r="F51" s="66"/>
      <c r="G51" s="66"/>
      <c r="H51" s="68">
        <f>VLOOKUP(A42,'[1]LIBRO DE REMUNERACIONES'!A6:AT16,18,0)</f>
        <v>30000</v>
      </c>
      <c r="I51" s="66"/>
    </row>
    <row r="52" spans="1:9" x14ac:dyDescent="0.25">
      <c r="A52" s="72" t="s">
        <v>106</v>
      </c>
      <c r="B52" s="72"/>
      <c r="C52" s="67"/>
      <c r="D52" s="66"/>
      <c r="E52" s="66"/>
      <c r="F52" s="66"/>
      <c r="G52" s="66"/>
      <c r="H52" s="68">
        <f>VLOOKUP(A42,'[1]LIBRO DE REMUNERACIONES'!A6:AT15,19,0)</f>
        <v>25000</v>
      </c>
      <c r="I52" s="66"/>
    </row>
    <row r="53" spans="1:9" x14ac:dyDescent="0.25">
      <c r="A53" s="72" t="s">
        <v>55</v>
      </c>
      <c r="B53" s="72"/>
      <c r="C53" s="67"/>
      <c r="D53" s="66"/>
      <c r="E53" s="66"/>
      <c r="F53" s="66"/>
      <c r="G53" s="66"/>
      <c r="H53" s="68">
        <f>VLOOKUP(A42,'[1]LIBRO DE REMUNERACIONES'!A6:AT16,20,0)</f>
        <v>0</v>
      </c>
      <c r="I53" s="66"/>
    </row>
    <row r="54" spans="1:9" x14ac:dyDescent="0.25">
      <c r="A54" s="66"/>
      <c r="B54" s="66"/>
      <c r="C54" s="71" t="s">
        <v>107</v>
      </c>
      <c r="D54" s="71"/>
      <c r="E54" s="66"/>
      <c r="F54" s="66"/>
      <c r="G54" s="66"/>
      <c r="H54" s="75">
        <f>VLOOKUP(A42,'[1]LIBRO DE REMUNERACIONES'!A6:AT15,21,0)</f>
        <v>389781.5</v>
      </c>
      <c r="I54" s="66"/>
    </row>
    <row r="55" spans="1:9" x14ac:dyDescent="0.25">
      <c r="A55" s="66" t="s">
        <v>108</v>
      </c>
      <c r="B55" s="66" t="str">
        <f>VLOOKUP(A42,'[1]LIBRO DE REMUNERACIONES'!A6:AT17,22,0)</f>
        <v>HABITAT</v>
      </c>
      <c r="C55" s="67">
        <f>VLOOKUP(A42,'[1]LIBRO DE REMUNERACIONES'!A6:AT16,23,0)</f>
        <v>0.11269999999999999</v>
      </c>
      <c r="D55" s="66"/>
      <c r="E55" s="66"/>
      <c r="F55" s="66"/>
      <c r="G55" s="66"/>
      <c r="H55" s="68">
        <f>VLOOKUP(A42,'[1]LIBRO DE REMUNERACIONES'!A6:AT15,24,0)</f>
        <v>36451.40625</v>
      </c>
      <c r="I55" s="66"/>
    </row>
    <row r="56" spans="1:9" x14ac:dyDescent="0.25">
      <c r="A56" s="72" t="s">
        <v>77</v>
      </c>
      <c r="B56" s="72"/>
      <c r="C56" s="67">
        <v>6.0000000000000001E-3</v>
      </c>
      <c r="D56" s="66"/>
      <c r="E56" s="66"/>
      <c r="F56" s="66"/>
      <c r="G56" s="66"/>
      <c r="H56" s="68">
        <f>VLOOKUP(A42,'[1]LIBRO DE REMUNERACIONES'!A6:AT15,25,0)</f>
        <v>1940.625</v>
      </c>
      <c r="I56" s="66"/>
    </row>
    <row r="57" spans="1:9" x14ac:dyDescent="0.25">
      <c r="A57" s="72" t="s">
        <v>23</v>
      </c>
      <c r="B57" s="72"/>
      <c r="C57" s="67">
        <v>7.0000000000000007E-2</v>
      </c>
      <c r="D57" s="66"/>
      <c r="E57" s="66"/>
      <c r="F57" s="66"/>
      <c r="G57" s="66"/>
      <c r="H57" s="68">
        <f>VLOOKUP(A42,'[1]LIBRO DE REMUNERACIONES'!A6:AT15,30,0)</f>
        <v>22640.625000000004</v>
      </c>
      <c r="I57" s="66"/>
    </row>
    <row r="58" spans="1:9" x14ac:dyDescent="0.25">
      <c r="A58" s="72" t="s">
        <v>17</v>
      </c>
      <c r="B58" s="72"/>
      <c r="C58" s="67"/>
      <c r="D58" s="66"/>
      <c r="E58" s="68">
        <f>VLOOKUP(A42,'[1]LIBRO DE REMUNERACIONES'!A6:AT16,31,0)</f>
        <v>0</v>
      </c>
      <c r="F58" s="66"/>
      <c r="G58" s="66"/>
      <c r="H58" s="68"/>
      <c r="I58" s="66"/>
    </row>
    <row r="59" spans="1:9" x14ac:dyDescent="0.25">
      <c r="A59" s="72" t="s">
        <v>81</v>
      </c>
      <c r="B59" s="72"/>
      <c r="C59" s="76">
        <f>VLOOKUP(A42,'[1]LIBRO DE REMUNERACIONES'!A6:AT16,27,0)</f>
        <v>0</v>
      </c>
      <c r="D59" s="66"/>
      <c r="E59" s="68">
        <f>VLOOKUP(A42,'[1]LIBRO DE REMUNERACIONES'!A6:AT15,29,0)</f>
        <v>0</v>
      </c>
      <c r="F59" s="66"/>
      <c r="G59" s="66"/>
      <c r="H59" s="68"/>
      <c r="I59" s="66"/>
    </row>
    <row r="60" spans="1:9" x14ac:dyDescent="0.25">
      <c r="A60" s="72" t="s">
        <v>82</v>
      </c>
      <c r="B60" s="72"/>
      <c r="C60" s="67"/>
      <c r="D60" s="66"/>
      <c r="E60" s="68">
        <f>VLOOKUP(A42,'[1]LIBRO DE REMUNERACIONES'!A6:AT15,32,0)</f>
        <v>0</v>
      </c>
      <c r="F60" s="66"/>
      <c r="G60" s="66"/>
      <c r="H60" s="68"/>
      <c r="I60" s="66"/>
    </row>
    <row r="61" spans="1:9" x14ac:dyDescent="0.25">
      <c r="A61" s="72" t="s">
        <v>83</v>
      </c>
      <c r="B61" s="72"/>
      <c r="C61" s="67"/>
      <c r="D61" s="66"/>
      <c r="E61" s="66"/>
      <c r="F61" s="66"/>
      <c r="G61" s="66"/>
      <c r="H61" s="68">
        <f>VLOOKUP(A42,'[1]LIBRO DE REMUNERACIONES'!A6:AT16,33,0)</f>
        <v>0</v>
      </c>
      <c r="I61" s="66"/>
    </row>
    <row r="62" spans="1:9" x14ac:dyDescent="0.25">
      <c r="A62" s="72" t="s">
        <v>109</v>
      </c>
      <c r="B62" s="72"/>
      <c r="C62" s="67"/>
      <c r="D62" s="66"/>
      <c r="E62" s="66"/>
      <c r="F62" s="66"/>
      <c r="G62" s="66"/>
      <c r="H62" s="68">
        <f>VLOOKUP(A42,'[1]LIBRO DE REMUNERACIONES'!A6:AT17,34,0)</f>
        <v>0</v>
      </c>
      <c r="I62" s="66"/>
    </row>
    <row r="63" spans="1:9" x14ac:dyDescent="0.25">
      <c r="A63" s="72" t="s">
        <v>110</v>
      </c>
      <c r="B63" s="72"/>
      <c r="C63" s="67"/>
      <c r="D63" s="66"/>
      <c r="E63" s="66"/>
      <c r="F63" s="66"/>
      <c r="G63" s="66"/>
      <c r="H63" s="68">
        <f>VLOOKUP(A42,'[1]LIBRO DE REMUNERACIONES'!A6:AT14,35,0)</f>
        <v>0</v>
      </c>
      <c r="I63" s="66"/>
    </row>
    <row r="64" spans="1:9" x14ac:dyDescent="0.25">
      <c r="A64" s="72" t="s">
        <v>111</v>
      </c>
      <c r="B64" s="72"/>
      <c r="C64" s="67"/>
      <c r="D64" s="66"/>
      <c r="E64" s="66"/>
      <c r="F64" s="66"/>
      <c r="G64" s="66"/>
      <c r="H64" s="68">
        <f>VLOOKUP(A42,'[1]LIBRO DE REMUNERACIONES'!A6:AT16,40,0)</f>
        <v>0</v>
      </c>
      <c r="I64" s="66"/>
    </row>
    <row r="65" spans="1:9" x14ac:dyDescent="0.25">
      <c r="A65" s="72" t="s">
        <v>64</v>
      </c>
      <c r="B65" s="72"/>
      <c r="C65" s="67" t="s">
        <v>65</v>
      </c>
      <c r="D65" s="66">
        <f>VLOOKUP(A42,'[1]LIBRO DE REMUNERACIONES'!A6:AT16,42,0)</f>
        <v>0</v>
      </c>
      <c r="E65" s="66"/>
      <c r="F65" s="66"/>
      <c r="G65" s="66"/>
      <c r="H65" s="68">
        <f>VLOOKUP(A42,'[1]LIBRO DE REMUNERACIONES'!A6:AT17,41,0)</f>
        <v>0</v>
      </c>
      <c r="I65" s="66"/>
    </row>
    <row r="66" spans="1:9" x14ac:dyDescent="0.25">
      <c r="A66" s="72" t="s">
        <v>112</v>
      </c>
      <c r="B66" s="72"/>
      <c r="C66" s="67"/>
      <c r="D66" s="66"/>
      <c r="E66" s="66"/>
      <c r="F66" s="66"/>
      <c r="G66" s="66"/>
      <c r="H66" s="68">
        <f>VLOOKUP(A42,'[1]LIBRO DE REMUNERACIONES'!A6:AT16,43,0)</f>
        <v>61032.65625</v>
      </c>
      <c r="I66" s="66"/>
    </row>
    <row r="67" spans="1:9" x14ac:dyDescent="0.25">
      <c r="A67" s="72" t="s">
        <v>113</v>
      </c>
      <c r="B67" s="72"/>
      <c r="C67" s="67"/>
      <c r="D67" s="66"/>
      <c r="E67" s="66"/>
      <c r="F67" s="66"/>
      <c r="G67" s="66"/>
      <c r="H67" s="68">
        <f>VLOOKUP(A42,'[1]LIBRO DE REMUNERACIONES'!A6:AT15,44,0)</f>
        <v>328748.84375</v>
      </c>
      <c r="I67" s="66"/>
    </row>
    <row r="68" spans="1:9" x14ac:dyDescent="0.25">
      <c r="A68" s="72" t="s">
        <v>114</v>
      </c>
      <c r="B68" s="72"/>
      <c r="C68" s="67"/>
      <c r="D68" s="66"/>
      <c r="E68" s="66"/>
      <c r="F68" s="66"/>
      <c r="G68" s="66"/>
      <c r="H68" s="68">
        <f>VLOOKUP(A42,'[1]LIBRO DE REMUNERACIONES'!A6:AT14,45,0)</f>
        <v>30000</v>
      </c>
      <c r="I68" s="66"/>
    </row>
    <row r="69" spans="1:9" x14ac:dyDescent="0.25">
      <c r="A69" s="72" t="s">
        <v>93</v>
      </c>
      <c r="B69" s="72"/>
      <c r="C69" s="67"/>
      <c r="D69" s="66"/>
      <c r="E69" s="66"/>
      <c r="F69" s="66"/>
      <c r="G69" s="66"/>
      <c r="H69" s="75">
        <f>VLOOKUP(A42,'[1]LIBRO DE REMUNERACIONES'!A6:AT15,46,0)</f>
        <v>298748.84375</v>
      </c>
      <c r="I69" s="66"/>
    </row>
    <row r="70" spans="1:9" x14ac:dyDescent="0.25">
      <c r="A70" s="66"/>
      <c r="B70" s="66"/>
      <c r="C70" s="67"/>
      <c r="D70" s="66"/>
      <c r="E70" s="66"/>
      <c r="F70" s="66"/>
      <c r="G70" s="66"/>
      <c r="H70" s="68"/>
      <c r="I70" s="66"/>
    </row>
    <row r="71" spans="1:9" x14ac:dyDescent="0.25">
      <c r="A71" s="66"/>
      <c r="B71" s="66"/>
      <c r="C71" s="67"/>
      <c r="D71" s="66"/>
      <c r="E71" s="66"/>
      <c r="F71" s="66"/>
      <c r="G71" s="66"/>
      <c r="H71" s="68"/>
      <c r="I71" s="66"/>
    </row>
    <row r="72" spans="1:9" x14ac:dyDescent="0.25">
      <c r="A72" s="66"/>
      <c r="B72" s="66"/>
      <c r="C72" s="67"/>
      <c r="D72" s="66"/>
      <c r="E72" s="66"/>
      <c r="F72" s="66"/>
      <c r="G72" s="66"/>
      <c r="H72" s="68"/>
      <c r="I72" s="66"/>
    </row>
  </sheetData>
  <mergeCells count="56">
    <mergeCell ref="A69:B69"/>
    <mergeCell ref="A63:B63"/>
    <mergeCell ref="A64:B64"/>
    <mergeCell ref="A65:B65"/>
    <mergeCell ref="A66:B66"/>
    <mergeCell ref="A67:B67"/>
    <mergeCell ref="A68:B68"/>
    <mergeCell ref="A57:B57"/>
    <mergeCell ref="A58:B58"/>
    <mergeCell ref="A59:B59"/>
    <mergeCell ref="A60:B60"/>
    <mergeCell ref="A61:B61"/>
    <mergeCell ref="A62:B62"/>
    <mergeCell ref="A50:B50"/>
    <mergeCell ref="A51:B51"/>
    <mergeCell ref="A52:B52"/>
    <mergeCell ref="A53:B53"/>
    <mergeCell ref="C54:D54"/>
    <mergeCell ref="A56:B56"/>
    <mergeCell ref="A44:B44"/>
    <mergeCell ref="A45:B45"/>
    <mergeCell ref="A46:B46"/>
    <mergeCell ref="A47:B47"/>
    <mergeCell ref="A48:B48"/>
    <mergeCell ref="C49:D49"/>
    <mergeCell ref="A30:B30"/>
    <mergeCell ref="A31:B31"/>
    <mergeCell ref="A32:B32"/>
    <mergeCell ref="A33:B33"/>
    <mergeCell ref="G41:H41"/>
    <mergeCell ref="B42:C42"/>
    <mergeCell ref="D42:F42"/>
    <mergeCell ref="A24:B24"/>
    <mergeCell ref="A25:B25"/>
    <mergeCell ref="A26:B26"/>
    <mergeCell ref="A27:B27"/>
    <mergeCell ref="A28:B28"/>
    <mergeCell ref="A29:B29"/>
    <mergeCell ref="A17:B17"/>
    <mergeCell ref="C18:D18"/>
    <mergeCell ref="A20:B20"/>
    <mergeCell ref="A21:B21"/>
    <mergeCell ref="A22:B22"/>
    <mergeCell ref="A23:B23"/>
    <mergeCell ref="A11:B11"/>
    <mergeCell ref="A12:B12"/>
    <mergeCell ref="C13:D13"/>
    <mergeCell ref="A14:B14"/>
    <mergeCell ref="A15:B15"/>
    <mergeCell ref="A16:B16"/>
    <mergeCell ref="G5:H5"/>
    <mergeCell ref="B6:C6"/>
    <mergeCell ref="D6:F6"/>
    <mergeCell ref="A8:B8"/>
    <mergeCell ref="A9:B9"/>
    <mergeCell ref="A10:B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Trabajadores</vt:lpstr>
      <vt:lpstr>Lib de Remuneraciones</vt:lpstr>
      <vt:lpstr>Liq de Sueldo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Wladimir</dc:creator>
  <cp:lastModifiedBy>Wladimir</cp:lastModifiedBy>
  <dcterms:created xsi:type="dcterms:W3CDTF">2018-12-18T18:50:54Z</dcterms:created>
  <dcterms:modified xsi:type="dcterms:W3CDTF">2018-12-18T19:16:23Z</dcterms:modified>
</cp:coreProperties>
</file>