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ildArea\work\cal_profit\"/>
    </mc:Choice>
  </mc:AlternateContent>
  <bookViews>
    <workbookView xWindow="0" yWindow="0" windowWidth="23040" windowHeight="9084" activeTab="2"/>
  </bookViews>
  <sheets>
    <sheet name="year2017" sheetId="1" r:id="rId1"/>
    <sheet name="year2018" sheetId="2" r:id="rId2"/>
    <sheet name="year2019" sheetId="4" r:id="rId3"/>
  </sheets>
  <definedNames>
    <definedName name="_xlnm._FilterDatabase" localSheetId="0" hidden="1">year2017!$A$1:$P$1</definedName>
    <definedName name="_xlnm._FilterDatabase" localSheetId="1" hidden="1">year2018!$A$1:$P$338</definedName>
    <definedName name="_xlnm._FilterDatabase" localSheetId="2" hidden="1">year2019!$A$1:$P$491</definedName>
  </definedNames>
  <calcPr calcId="171027"/>
</workbook>
</file>

<file path=xl/calcChain.xml><?xml version="1.0" encoding="utf-8"?>
<calcChain xmlns="http://schemas.openxmlformats.org/spreadsheetml/2006/main">
  <c r="P588" i="4" l="1"/>
  <c r="O588" i="4"/>
  <c r="N588" i="4"/>
  <c r="M588" i="4"/>
  <c r="L588" i="4"/>
  <c r="K588" i="4"/>
  <c r="J588" i="4"/>
  <c r="I588" i="4"/>
  <c r="H588" i="4"/>
  <c r="G588" i="4"/>
  <c r="F588" i="4"/>
  <c r="E588" i="4"/>
  <c r="D588" i="4"/>
  <c r="C588" i="4"/>
  <c r="B588" i="4"/>
  <c r="A588" i="4"/>
  <c r="P587" i="4"/>
  <c r="O587" i="4"/>
  <c r="N587" i="4"/>
  <c r="M587" i="4"/>
  <c r="L587" i="4"/>
  <c r="K587" i="4"/>
  <c r="J587" i="4"/>
  <c r="I587" i="4"/>
  <c r="H587" i="4"/>
  <c r="G587" i="4"/>
  <c r="F587" i="4"/>
  <c r="E587" i="4"/>
  <c r="D587" i="4"/>
  <c r="C587" i="4"/>
  <c r="B587" i="4"/>
  <c r="A587" i="4"/>
  <c r="P586" i="4"/>
  <c r="O586" i="4"/>
  <c r="N586" i="4"/>
  <c r="M586" i="4"/>
  <c r="L586" i="4"/>
  <c r="K586" i="4"/>
  <c r="J586" i="4"/>
  <c r="I586" i="4"/>
  <c r="H586" i="4"/>
  <c r="G586" i="4"/>
  <c r="F586" i="4"/>
  <c r="E586" i="4"/>
  <c r="D586" i="4"/>
  <c r="C586" i="4"/>
  <c r="B586" i="4"/>
  <c r="A586" i="4"/>
  <c r="P585" i="4"/>
  <c r="O585" i="4"/>
  <c r="N585" i="4"/>
  <c r="M585" i="4"/>
  <c r="L585" i="4"/>
  <c r="K585" i="4"/>
  <c r="J585" i="4"/>
  <c r="I585" i="4"/>
  <c r="H585" i="4"/>
  <c r="G585" i="4"/>
  <c r="F585" i="4"/>
  <c r="E585" i="4"/>
  <c r="D585" i="4"/>
  <c r="C585" i="4"/>
  <c r="B585" i="4"/>
  <c r="A585" i="4"/>
  <c r="P584" i="4"/>
  <c r="O584" i="4"/>
  <c r="N584" i="4"/>
  <c r="M584" i="4"/>
  <c r="L584" i="4"/>
  <c r="K584" i="4"/>
  <c r="J584" i="4"/>
  <c r="I584" i="4"/>
  <c r="H584" i="4"/>
  <c r="G584" i="4"/>
  <c r="F584" i="4"/>
  <c r="E584" i="4"/>
  <c r="D584" i="4"/>
  <c r="C584" i="4"/>
  <c r="B584" i="4"/>
  <c r="A584" i="4"/>
  <c r="P583" i="4"/>
  <c r="O583" i="4"/>
  <c r="N583" i="4"/>
  <c r="M583" i="4"/>
  <c r="L583" i="4"/>
  <c r="K583" i="4"/>
  <c r="J583" i="4"/>
  <c r="I583" i="4"/>
  <c r="H583" i="4"/>
  <c r="G583" i="4"/>
  <c r="F583" i="4"/>
  <c r="E583" i="4"/>
  <c r="D583" i="4"/>
  <c r="C583" i="4"/>
  <c r="B583" i="4"/>
  <c r="A583" i="4"/>
  <c r="P582" i="4"/>
  <c r="O582" i="4"/>
  <c r="N582" i="4"/>
  <c r="M582" i="4"/>
  <c r="L582" i="4"/>
  <c r="K582" i="4"/>
  <c r="J582" i="4"/>
  <c r="I582" i="4"/>
  <c r="H582" i="4"/>
  <c r="G582" i="4"/>
  <c r="F582" i="4"/>
  <c r="E582" i="4"/>
  <c r="D582" i="4"/>
  <c r="C582" i="4"/>
  <c r="B582" i="4"/>
  <c r="A582" i="4"/>
  <c r="P581" i="4"/>
  <c r="O581" i="4"/>
  <c r="N581" i="4"/>
  <c r="M581" i="4"/>
  <c r="L581" i="4"/>
  <c r="K581" i="4"/>
  <c r="J581" i="4"/>
  <c r="I581" i="4"/>
  <c r="H581" i="4"/>
  <c r="G581" i="4"/>
  <c r="F581" i="4"/>
  <c r="E581" i="4"/>
  <c r="D581" i="4"/>
  <c r="C581" i="4"/>
  <c r="B581" i="4"/>
  <c r="A581" i="4"/>
  <c r="P580" i="4"/>
  <c r="O580" i="4"/>
  <c r="N580" i="4"/>
  <c r="M580" i="4"/>
  <c r="L580" i="4"/>
  <c r="K580" i="4"/>
  <c r="J580" i="4"/>
  <c r="I580" i="4"/>
  <c r="H580" i="4"/>
  <c r="G580" i="4"/>
  <c r="F580" i="4"/>
  <c r="E580" i="4"/>
  <c r="D580" i="4"/>
  <c r="C580" i="4"/>
  <c r="B580" i="4"/>
  <c r="A580" i="4"/>
  <c r="P579" i="4"/>
  <c r="O579" i="4"/>
  <c r="N579" i="4"/>
  <c r="M579" i="4"/>
  <c r="L579" i="4"/>
  <c r="K579" i="4"/>
  <c r="J579" i="4"/>
  <c r="I579" i="4"/>
  <c r="H579" i="4"/>
  <c r="G579" i="4"/>
  <c r="F579" i="4"/>
  <c r="E579" i="4"/>
  <c r="D579" i="4"/>
  <c r="C579" i="4"/>
  <c r="B579" i="4"/>
  <c r="A579" i="4"/>
  <c r="P578" i="4"/>
  <c r="O578" i="4"/>
  <c r="N578" i="4"/>
  <c r="M578" i="4"/>
  <c r="L578" i="4"/>
  <c r="K578" i="4"/>
  <c r="J578" i="4"/>
  <c r="I578" i="4"/>
  <c r="H578" i="4"/>
  <c r="G578" i="4"/>
  <c r="F578" i="4"/>
  <c r="E578" i="4"/>
  <c r="D578" i="4"/>
  <c r="C578" i="4"/>
  <c r="B578" i="4"/>
  <c r="A578" i="4"/>
  <c r="P577" i="4"/>
  <c r="O577" i="4"/>
  <c r="N577" i="4"/>
  <c r="M577" i="4"/>
  <c r="L577" i="4"/>
  <c r="K577" i="4"/>
  <c r="J577" i="4"/>
  <c r="I577" i="4"/>
  <c r="H577" i="4"/>
  <c r="G577" i="4"/>
  <c r="F577" i="4"/>
  <c r="E577" i="4"/>
  <c r="D577" i="4"/>
  <c r="C577" i="4"/>
  <c r="B577" i="4"/>
  <c r="A577" i="4"/>
  <c r="P576" i="4"/>
  <c r="O576" i="4"/>
  <c r="N576" i="4"/>
  <c r="M576" i="4"/>
  <c r="L576" i="4"/>
  <c r="K576" i="4"/>
  <c r="J576" i="4"/>
  <c r="I576" i="4"/>
  <c r="H576" i="4"/>
  <c r="G576" i="4"/>
  <c r="F576" i="4"/>
  <c r="E576" i="4"/>
  <c r="D576" i="4"/>
  <c r="C576" i="4"/>
  <c r="B576" i="4"/>
  <c r="A576" i="4"/>
  <c r="P575" i="4"/>
  <c r="O575" i="4"/>
  <c r="N575" i="4"/>
  <c r="M575" i="4"/>
  <c r="L575" i="4"/>
  <c r="K575" i="4"/>
  <c r="J575" i="4"/>
  <c r="I575" i="4"/>
  <c r="H575" i="4"/>
  <c r="G575" i="4"/>
  <c r="F575" i="4"/>
  <c r="E575" i="4"/>
  <c r="D575" i="4"/>
  <c r="C575" i="4"/>
  <c r="B575" i="4"/>
  <c r="A575" i="4"/>
  <c r="P574" i="4"/>
  <c r="O574" i="4"/>
  <c r="N574" i="4"/>
  <c r="M574" i="4"/>
  <c r="L574" i="4"/>
  <c r="K574" i="4"/>
  <c r="J574" i="4"/>
  <c r="I574" i="4"/>
  <c r="H574" i="4"/>
  <c r="G574" i="4"/>
  <c r="F574" i="4"/>
  <c r="E574" i="4"/>
  <c r="D574" i="4"/>
  <c r="C574" i="4"/>
  <c r="B574" i="4"/>
  <c r="A574" i="4"/>
  <c r="P573" i="4"/>
  <c r="O573" i="4"/>
  <c r="N573" i="4"/>
  <c r="M573" i="4"/>
  <c r="L573" i="4"/>
  <c r="K573" i="4"/>
  <c r="J573" i="4"/>
  <c r="I573" i="4"/>
  <c r="H573" i="4"/>
  <c r="G573" i="4"/>
  <c r="F573" i="4"/>
  <c r="E573" i="4"/>
  <c r="D573" i="4"/>
  <c r="C573" i="4"/>
  <c r="B573" i="4"/>
  <c r="A573" i="4"/>
  <c r="P572" i="4"/>
  <c r="O572" i="4"/>
  <c r="N572" i="4"/>
  <c r="M572" i="4"/>
  <c r="L572" i="4"/>
  <c r="K572" i="4"/>
  <c r="J572" i="4"/>
  <c r="I572" i="4"/>
  <c r="H572" i="4"/>
  <c r="G572" i="4"/>
  <c r="F572" i="4"/>
  <c r="E572" i="4"/>
  <c r="D572" i="4"/>
  <c r="C572" i="4"/>
  <c r="B572" i="4"/>
  <c r="A572" i="4"/>
  <c r="P571" i="4"/>
  <c r="O571" i="4"/>
  <c r="N571" i="4"/>
  <c r="M571" i="4"/>
  <c r="L571" i="4"/>
  <c r="K571" i="4"/>
  <c r="J571" i="4"/>
  <c r="I571" i="4"/>
  <c r="H571" i="4"/>
  <c r="G571" i="4"/>
  <c r="F571" i="4"/>
  <c r="E571" i="4"/>
  <c r="D571" i="4"/>
  <c r="C571" i="4"/>
  <c r="B571" i="4"/>
  <c r="A571" i="4"/>
  <c r="P570" i="4"/>
  <c r="O570" i="4"/>
  <c r="N570" i="4"/>
  <c r="M570" i="4"/>
  <c r="L570" i="4"/>
  <c r="K570" i="4"/>
  <c r="J570" i="4"/>
  <c r="I570" i="4"/>
  <c r="H570" i="4"/>
  <c r="G570" i="4"/>
  <c r="F570" i="4"/>
  <c r="E570" i="4"/>
  <c r="D570" i="4"/>
  <c r="C570" i="4"/>
  <c r="B570" i="4"/>
  <c r="A570" i="4"/>
  <c r="P569" i="4"/>
  <c r="O569" i="4"/>
  <c r="N569" i="4"/>
  <c r="M569" i="4"/>
  <c r="L569" i="4"/>
  <c r="K569" i="4"/>
  <c r="J569" i="4"/>
  <c r="I569" i="4"/>
  <c r="H569" i="4"/>
  <c r="G569" i="4"/>
  <c r="F569" i="4"/>
  <c r="E569" i="4"/>
  <c r="D569" i="4"/>
  <c r="C569" i="4"/>
  <c r="B569" i="4"/>
  <c r="A569" i="4"/>
  <c r="P568" i="4"/>
  <c r="O568" i="4"/>
  <c r="N568" i="4"/>
  <c r="M568" i="4"/>
  <c r="L568" i="4"/>
  <c r="K568" i="4"/>
  <c r="J568" i="4"/>
  <c r="I568" i="4"/>
  <c r="H568" i="4"/>
  <c r="G568" i="4"/>
  <c r="F568" i="4"/>
  <c r="E568" i="4"/>
  <c r="D568" i="4"/>
  <c r="C568" i="4"/>
  <c r="B568" i="4"/>
  <c r="A568" i="4"/>
  <c r="P567" i="4"/>
  <c r="O567" i="4"/>
  <c r="N567" i="4"/>
  <c r="M567" i="4"/>
  <c r="L567" i="4"/>
  <c r="K567" i="4"/>
  <c r="J567" i="4"/>
  <c r="I567" i="4"/>
  <c r="H567" i="4"/>
  <c r="G567" i="4"/>
  <c r="F567" i="4"/>
  <c r="E567" i="4"/>
  <c r="D567" i="4"/>
  <c r="C567" i="4"/>
  <c r="B567" i="4"/>
  <c r="A567" i="4"/>
  <c r="P566" i="4"/>
  <c r="O566" i="4"/>
  <c r="N566" i="4"/>
  <c r="M566" i="4"/>
  <c r="L566" i="4"/>
  <c r="K566" i="4"/>
  <c r="J566" i="4"/>
  <c r="I566" i="4"/>
  <c r="H566" i="4"/>
  <c r="G566" i="4"/>
  <c r="F566" i="4"/>
  <c r="E566" i="4"/>
  <c r="D566" i="4"/>
  <c r="C566" i="4"/>
  <c r="B566" i="4"/>
  <c r="A566" i="4"/>
  <c r="P565" i="4"/>
  <c r="O565" i="4"/>
  <c r="N565" i="4"/>
  <c r="M565" i="4"/>
  <c r="L565" i="4"/>
  <c r="K565" i="4"/>
  <c r="J565" i="4"/>
  <c r="I565" i="4"/>
  <c r="H565" i="4"/>
  <c r="G565" i="4"/>
  <c r="F565" i="4"/>
  <c r="E565" i="4"/>
  <c r="D565" i="4"/>
  <c r="C565" i="4"/>
  <c r="B565" i="4"/>
  <c r="A565" i="4"/>
  <c r="P564" i="4"/>
  <c r="O564" i="4"/>
  <c r="N564" i="4"/>
  <c r="M564" i="4"/>
  <c r="L564" i="4"/>
  <c r="K564" i="4"/>
  <c r="J564" i="4"/>
  <c r="I564" i="4"/>
  <c r="H564" i="4"/>
  <c r="G564" i="4"/>
  <c r="F564" i="4"/>
  <c r="E564" i="4"/>
  <c r="D564" i="4"/>
  <c r="C564" i="4"/>
  <c r="B564" i="4"/>
  <c r="A564" i="4"/>
  <c r="P563" i="4"/>
  <c r="O563" i="4"/>
  <c r="N563" i="4"/>
  <c r="M563" i="4"/>
  <c r="L563" i="4"/>
  <c r="K563" i="4"/>
  <c r="J563" i="4"/>
  <c r="I563" i="4"/>
  <c r="H563" i="4"/>
  <c r="G563" i="4"/>
  <c r="F563" i="4"/>
  <c r="E563" i="4"/>
  <c r="D563" i="4"/>
  <c r="C563" i="4"/>
  <c r="B563" i="4"/>
  <c r="A563" i="4"/>
  <c r="P562" i="4"/>
  <c r="O562" i="4"/>
  <c r="N562" i="4"/>
  <c r="M562" i="4"/>
  <c r="L562" i="4"/>
  <c r="K562" i="4"/>
  <c r="J562" i="4"/>
  <c r="I562" i="4"/>
  <c r="H562" i="4"/>
  <c r="G562" i="4"/>
  <c r="F562" i="4"/>
  <c r="E562" i="4"/>
  <c r="D562" i="4"/>
  <c r="C562" i="4"/>
  <c r="B562" i="4"/>
  <c r="A562" i="4"/>
  <c r="P561" i="4"/>
  <c r="O561" i="4"/>
  <c r="N561" i="4"/>
  <c r="M561" i="4"/>
  <c r="L561" i="4"/>
  <c r="K561" i="4"/>
  <c r="J561" i="4"/>
  <c r="I561" i="4"/>
  <c r="H561" i="4"/>
  <c r="G561" i="4"/>
  <c r="F561" i="4"/>
  <c r="E561" i="4"/>
  <c r="D561" i="4"/>
  <c r="C561" i="4"/>
  <c r="B561" i="4"/>
  <c r="A561" i="4"/>
  <c r="P560" i="4"/>
  <c r="O560" i="4"/>
  <c r="N560" i="4"/>
  <c r="M560" i="4"/>
  <c r="L560" i="4"/>
  <c r="K560" i="4"/>
  <c r="J560" i="4"/>
  <c r="I560" i="4"/>
  <c r="H560" i="4"/>
  <c r="G560" i="4"/>
  <c r="F560" i="4"/>
  <c r="E560" i="4"/>
  <c r="D560" i="4"/>
  <c r="C560" i="4"/>
  <c r="B560" i="4"/>
  <c r="A560" i="4"/>
  <c r="P559" i="4"/>
  <c r="O559" i="4"/>
  <c r="N559" i="4"/>
  <c r="M559" i="4"/>
  <c r="L559" i="4"/>
  <c r="K559" i="4"/>
  <c r="J559" i="4"/>
  <c r="I559" i="4"/>
  <c r="H559" i="4"/>
  <c r="G559" i="4"/>
  <c r="F559" i="4"/>
  <c r="E559" i="4"/>
  <c r="D559" i="4"/>
  <c r="C559" i="4"/>
  <c r="B559" i="4"/>
  <c r="A559" i="4"/>
  <c r="P558" i="4"/>
  <c r="O558" i="4"/>
  <c r="N558" i="4"/>
  <c r="M558" i="4"/>
  <c r="L558" i="4"/>
  <c r="K558" i="4"/>
  <c r="J558" i="4"/>
  <c r="I558" i="4"/>
  <c r="H558" i="4"/>
  <c r="G558" i="4"/>
  <c r="F558" i="4"/>
  <c r="E558" i="4"/>
  <c r="D558" i="4"/>
  <c r="C558" i="4"/>
  <c r="B558" i="4"/>
  <c r="A558" i="4"/>
  <c r="P557" i="4"/>
  <c r="O557" i="4"/>
  <c r="N557" i="4"/>
  <c r="M557" i="4"/>
  <c r="L557" i="4"/>
  <c r="K557" i="4"/>
  <c r="J557" i="4"/>
  <c r="I557" i="4"/>
  <c r="H557" i="4"/>
  <c r="G557" i="4"/>
  <c r="F557" i="4"/>
  <c r="E557" i="4"/>
  <c r="D557" i="4"/>
  <c r="C557" i="4"/>
  <c r="B557" i="4"/>
  <c r="A557" i="4"/>
  <c r="P556" i="4"/>
  <c r="O556" i="4"/>
  <c r="N556" i="4"/>
  <c r="M556" i="4"/>
  <c r="L556" i="4"/>
  <c r="K556" i="4"/>
  <c r="J556" i="4"/>
  <c r="I556" i="4"/>
  <c r="H556" i="4"/>
  <c r="G556" i="4"/>
  <c r="F556" i="4"/>
  <c r="E556" i="4"/>
  <c r="D556" i="4"/>
  <c r="C556" i="4"/>
  <c r="B556" i="4"/>
  <c r="A556" i="4"/>
  <c r="P555" i="4"/>
  <c r="O555" i="4"/>
  <c r="N555" i="4"/>
  <c r="M555" i="4"/>
  <c r="L555" i="4"/>
  <c r="K555" i="4"/>
  <c r="J555" i="4"/>
  <c r="I555" i="4"/>
  <c r="H555" i="4"/>
  <c r="G555" i="4"/>
  <c r="F555" i="4"/>
  <c r="E555" i="4"/>
  <c r="D555" i="4"/>
  <c r="C555" i="4"/>
  <c r="B555" i="4"/>
  <c r="A555" i="4"/>
  <c r="P554" i="4"/>
  <c r="O554" i="4"/>
  <c r="N554" i="4"/>
  <c r="M554" i="4"/>
  <c r="L554" i="4"/>
  <c r="K554" i="4"/>
  <c r="J554" i="4"/>
  <c r="I554" i="4"/>
  <c r="H554" i="4"/>
  <c r="G554" i="4"/>
  <c r="F554" i="4"/>
  <c r="E554" i="4"/>
  <c r="D554" i="4"/>
  <c r="C554" i="4"/>
  <c r="B554" i="4"/>
  <c r="A554" i="4"/>
  <c r="P553" i="4"/>
  <c r="O553" i="4"/>
  <c r="N553" i="4"/>
  <c r="M553" i="4"/>
  <c r="L553" i="4"/>
  <c r="K553" i="4"/>
  <c r="J553" i="4"/>
  <c r="I553" i="4"/>
  <c r="H553" i="4"/>
  <c r="G553" i="4"/>
  <c r="F553" i="4"/>
  <c r="E553" i="4"/>
  <c r="D553" i="4"/>
  <c r="C553" i="4"/>
  <c r="B553" i="4"/>
  <c r="A553" i="4"/>
  <c r="P552" i="4"/>
  <c r="O552" i="4"/>
  <c r="N552" i="4"/>
  <c r="M552" i="4"/>
  <c r="L552" i="4"/>
  <c r="K552" i="4"/>
  <c r="J552" i="4"/>
  <c r="I552" i="4"/>
  <c r="H552" i="4"/>
  <c r="G552" i="4"/>
  <c r="F552" i="4"/>
  <c r="E552" i="4"/>
  <c r="D552" i="4"/>
  <c r="C552" i="4"/>
  <c r="B552" i="4"/>
  <c r="A552" i="4"/>
  <c r="P551" i="4"/>
  <c r="O551" i="4"/>
  <c r="N551" i="4"/>
  <c r="M551" i="4"/>
  <c r="L551" i="4"/>
  <c r="K551" i="4"/>
  <c r="J551" i="4"/>
  <c r="I551" i="4"/>
  <c r="H551" i="4"/>
  <c r="G551" i="4"/>
  <c r="F551" i="4"/>
  <c r="E551" i="4"/>
  <c r="D551" i="4"/>
  <c r="C551" i="4"/>
  <c r="B551" i="4"/>
  <c r="A551" i="4"/>
  <c r="P550" i="4"/>
  <c r="O550" i="4"/>
  <c r="N550" i="4"/>
  <c r="M550" i="4"/>
  <c r="L550" i="4"/>
  <c r="K550" i="4"/>
  <c r="J550" i="4"/>
  <c r="I550" i="4"/>
  <c r="H550" i="4"/>
  <c r="G550" i="4"/>
  <c r="F550" i="4"/>
  <c r="E550" i="4"/>
  <c r="D550" i="4"/>
  <c r="C550" i="4"/>
  <c r="B550" i="4"/>
  <c r="A550" i="4"/>
  <c r="P549" i="4"/>
  <c r="O549" i="4"/>
  <c r="N549" i="4"/>
  <c r="M549" i="4"/>
  <c r="L549" i="4"/>
  <c r="K549" i="4"/>
  <c r="J549" i="4"/>
  <c r="I549" i="4"/>
  <c r="H549" i="4"/>
  <c r="G549" i="4"/>
  <c r="F549" i="4"/>
  <c r="E549" i="4"/>
  <c r="D549" i="4"/>
  <c r="C549" i="4"/>
  <c r="B549" i="4"/>
  <c r="A549" i="4"/>
  <c r="P548" i="4"/>
  <c r="O548" i="4"/>
  <c r="N548" i="4"/>
  <c r="M548" i="4"/>
  <c r="L548" i="4"/>
  <c r="K548" i="4"/>
  <c r="J548" i="4"/>
  <c r="I548" i="4"/>
  <c r="H548" i="4"/>
  <c r="G548" i="4"/>
  <c r="F548" i="4"/>
  <c r="E548" i="4"/>
  <c r="D548" i="4"/>
  <c r="C548" i="4"/>
  <c r="B548" i="4"/>
  <c r="A548" i="4"/>
  <c r="P547" i="4"/>
  <c r="O547" i="4"/>
  <c r="N547" i="4"/>
  <c r="M547" i="4"/>
  <c r="L547" i="4"/>
  <c r="K547" i="4"/>
  <c r="J547" i="4"/>
  <c r="I547" i="4"/>
  <c r="H547" i="4"/>
  <c r="G547" i="4"/>
  <c r="F547" i="4"/>
  <c r="E547" i="4"/>
  <c r="D547" i="4"/>
  <c r="C547" i="4"/>
  <c r="B547" i="4"/>
  <c r="A547" i="4"/>
  <c r="P546" i="4"/>
  <c r="O546" i="4"/>
  <c r="N546" i="4"/>
  <c r="M546" i="4"/>
  <c r="L546" i="4"/>
  <c r="K546" i="4"/>
  <c r="J546" i="4"/>
  <c r="I546" i="4"/>
  <c r="H546" i="4"/>
  <c r="G546" i="4"/>
  <c r="F546" i="4"/>
  <c r="E546" i="4"/>
  <c r="D546" i="4"/>
  <c r="C546" i="4"/>
  <c r="B546" i="4"/>
  <c r="A546" i="4"/>
  <c r="P545" i="4"/>
  <c r="O545" i="4"/>
  <c r="N545" i="4"/>
  <c r="M545" i="4"/>
  <c r="L545" i="4"/>
  <c r="K545" i="4"/>
  <c r="J545" i="4"/>
  <c r="I545" i="4"/>
  <c r="H545" i="4"/>
  <c r="G545" i="4"/>
  <c r="F545" i="4"/>
  <c r="E545" i="4"/>
  <c r="D545" i="4"/>
  <c r="C545" i="4"/>
  <c r="B545" i="4"/>
  <c r="A545" i="4"/>
  <c r="P544" i="4"/>
  <c r="O544" i="4"/>
  <c r="N544" i="4"/>
  <c r="M544" i="4"/>
  <c r="L544" i="4"/>
  <c r="K544" i="4"/>
  <c r="J544" i="4"/>
  <c r="I544" i="4"/>
  <c r="H544" i="4"/>
  <c r="G544" i="4"/>
  <c r="F544" i="4"/>
  <c r="E544" i="4"/>
  <c r="D544" i="4"/>
  <c r="C544" i="4"/>
  <c r="B544" i="4"/>
  <c r="A544" i="4"/>
  <c r="P543" i="4"/>
  <c r="O543" i="4"/>
  <c r="N543" i="4"/>
  <c r="M543" i="4"/>
  <c r="L543" i="4"/>
  <c r="K543" i="4"/>
  <c r="J543" i="4"/>
  <c r="I543" i="4"/>
  <c r="H543" i="4"/>
  <c r="G543" i="4"/>
  <c r="F543" i="4"/>
  <c r="E543" i="4"/>
  <c r="D543" i="4"/>
  <c r="C543" i="4"/>
  <c r="B543" i="4"/>
  <c r="A543" i="4"/>
  <c r="P542" i="4"/>
  <c r="O542" i="4"/>
  <c r="N542" i="4"/>
  <c r="M542" i="4"/>
  <c r="L542" i="4"/>
  <c r="K542" i="4"/>
  <c r="J542" i="4"/>
  <c r="I542" i="4"/>
  <c r="H542" i="4"/>
  <c r="G542" i="4"/>
  <c r="F542" i="4"/>
  <c r="E542" i="4"/>
  <c r="D542" i="4"/>
  <c r="C542" i="4"/>
  <c r="B542" i="4"/>
  <c r="A542" i="4"/>
  <c r="P541" i="4"/>
  <c r="O541" i="4"/>
  <c r="N541" i="4"/>
  <c r="M541" i="4"/>
  <c r="L541" i="4"/>
  <c r="K541" i="4"/>
  <c r="J541" i="4"/>
  <c r="I541" i="4"/>
  <c r="H541" i="4"/>
  <c r="G541" i="4"/>
  <c r="F541" i="4"/>
  <c r="E541" i="4"/>
  <c r="D541" i="4"/>
  <c r="C541" i="4"/>
  <c r="B541" i="4"/>
  <c r="A541" i="4"/>
  <c r="P540" i="4"/>
  <c r="O540" i="4"/>
  <c r="N540" i="4"/>
  <c r="M540" i="4"/>
  <c r="L540" i="4"/>
  <c r="K540" i="4"/>
  <c r="J540" i="4"/>
  <c r="I540" i="4"/>
  <c r="H540" i="4"/>
  <c r="G540" i="4"/>
  <c r="F540" i="4"/>
  <c r="E540" i="4"/>
  <c r="D540" i="4"/>
  <c r="C540" i="4"/>
  <c r="B540" i="4"/>
  <c r="A540" i="4"/>
  <c r="P539" i="4"/>
  <c r="O539" i="4"/>
  <c r="N539" i="4"/>
  <c r="M539" i="4"/>
  <c r="L539" i="4"/>
  <c r="K539" i="4"/>
  <c r="J539" i="4"/>
  <c r="I539" i="4"/>
  <c r="H539" i="4"/>
  <c r="G539" i="4"/>
  <c r="F539" i="4"/>
  <c r="E539" i="4"/>
  <c r="D539" i="4"/>
  <c r="C539" i="4"/>
  <c r="B539" i="4"/>
  <c r="A539" i="4"/>
  <c r="P538" i="4"/>
  <c r="O538" i="4"/>
  <c r="N538" i="4"/>
  <c r="M538" i="4"/>
  <c r="L538" i="4"/>
  <c r="K538" i="4"/>
  <c r="J538" i="4"/>
  <c r="I538" i="4"/>
  <c r="H538" i="4"/>
  <c r="G538" i="4"/>
  <c r="F538" i="4"/>
  <c r="E538" i="4"/>
  <c r="D538" i="4"/>
  <c r="C538" i="4"/>
  <c r="B538" i="4"/>
  <c r="A538" i="4"/>
  <c r="A516" i="4" l="1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P516" i="4"/>
  <c r="A517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P517" i="4"/>
  <c r="A518" i="4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P518" i="4"/>
  <c r="A519" i="4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P519" i="4"/>
  <c r="A520" i="4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P520" i="4"/>
  <c r="A521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P521" i="4"/>
  <c r="A522" i="4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P522" i="4"/>
  <c r="A523" i="4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P523" i="4"/>
  <c r="A524" i="4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P524" i="4"/>
  <c r="A525" i="4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P525" i="4"/>
  <c r="A526" i="4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P526" i="4"/>
  <c r="A527" i="4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P527" i="4"/>
  <c r="A528" i="4"/>
  <c r="B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P528" i="4"/>
  <c r="A529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P529" i="4"/>
  <c r="A530" i="4"/>
  <c r="B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O530" i="4"/>
  <c r="P530" i="4"/>
  <c r="A531" i="4"/>
  <c r="B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P531" i="4"/>
  <c r="A532" i="4"/>
  <c r="B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O532" i="4"/>
  <c r="P532" i="4"/>
  <c r="A533" i="4"/>
  <c r="B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P533" i="4"/>
  <c r="A534" i="4"/>
  <c r="B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O534" i="4"/>
  <c r="P534" i="4"/>
  <c r="A535" i="4"/>
  <c r="B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O535" i="4"/>
  <c r="P535" i="4"/>
  <c r="A536" i="4"/>
  <c r="B536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O536" i="4"/>
  <c r="P536" i="4"/>
  <c r="A537" i="4"/>
  <c r="B537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O537" i="4"/>
  <c r="P537" i="4"/>
  <c r="A492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P492" i="4"/>
  <c r="A493" i="4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P493" i="4"/>
  <c r="A494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P494" i="4"/>
  <c r="A495" i="4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P495" i="4"/>
  <c r="A496" i="4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P496" i="4"/>
  <c r="A497" i="4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P497" i="4"/>
  <c r="A498" i="4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P498" i="4"/>
  <c r="A499" i="4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P499" i="4"/>
  <c r="A500" i="4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P500" i="4"/>
  <c r="A501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P501" i="4"/>
  <c r="A502" i="4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P502" i="4"/>
  <c r="A503" i="4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P503" i="4"/>
  <c r="A504" i="4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P504" i="4"/>
  <c r="A505" i="4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P505" i="4"/>
  <c r="A506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P506" i="4"/>
  <c r="A507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/>
  <c r="A508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P508" i="4"/>
  <c r="A509" i="4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P509" i="4"/>
  <c r="A510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/>
  <c r="A511" i="4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P511" i="4"/>
  <c r="A512" i="4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P512" i="4"/>
  <c r="A513" i="4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P513" i="4"/>
  <c r="A514" i="4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P514" i="4"/>
  <c r="A515" i="4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P515" i="4"/>
  <c r="J298" i="2" l="1"/>
  <c r="E298" i="2"/>
  <c r="D298" i="2"/>
  <c r="J97" i="4"/>
  <c r="E97" i="4"/>
  <c r="D97" i="4"/>
  <c r="J254" i="4"/>
  <c r="B254" i="4"/>
  <c r="E254" i="4"/>
  <c r="D254" i="4"/>
  <c r="P491" i="4" l="1"/>
  <c r="O491" i="4"/>
  <c r="N491" i="4"/>
  <c r="M491" i="4"/>
  <c r="L491" i="4"/>
  <c r="K491" i="4"/>
  <c r="J491" i="4"/>
  <c r="I491" i="4"/>
  <c r="H491" i="4"/>
  <c r="G491" i="4"/>
  <c r="F491" i="4"/>
  <c r="E491" i="4"/>
  <c r="D491" i="4"/>
  <c r="C491" i="4"/>
  <c r="B491" i="4"/>
  <c r="A491" i="4"/>
  <c r="P490" i="4"/>
  <c r="O490" i="4"/>
  <c r="N490" i="4"/>
  <c r="M490" i="4"/>
  <c r="L490" i="4"/>
  <c r="K490" i="4"/>
  <c r="J490" i="4"/>
  <c r="I490" i="4"/>
  <c r="H490" i="4"/>
  <c r="G490" i="4"/>
  <c r="F490" i="4"/>
  <c r="E490" i="4"/>
  <c r="D490" i="4"/>
  <c r="C490" i="4"/>
  <c r="B490" i="4"/>
  <c r="A490" i="4"/>
  <c r="P489" i="4"/>
  <c r="O489" i="4"/>
  <c r="N489" i="4"/>
  <c r="M489" i="4"/>
  <c r="L489" i="4"/>
  <c r="K489" i="4"/>
  <c r="J489" i="4"/>
  <c r="I489" i="4"/>
  <c r="H489" i="4"/>
  <c r="G489" i="4"/>
  <c r="F489" i="4"/>
  <c r="E489" i="4"/>
  <c r="D489" i="4"/>
  <c r="C489" i="4"/>
  <c r="B489" i="4"/>
  <c r="A489" i="4"/>
  <c r="P488" i="4"/>
  <c r="O488" i="4"/>
  <c r="N488" i="4"/>
  <c r="M488" i="4"/>
  <c r="L488" i="4"/>
  <c r="K488" i="4"/>
  <c r="J488" i="4"/>
  <c r="I488" i="4"/>
  <c r="H488" i="4"/>
  <c r="G488" i="4"/>
  <c r="F488" i="4"/>
  <c r="E488" i="4"/>
  <c r="D488" i="4"/>
  <c r="C488" i="4"/>
  <c r="B488" i="4"/>
  <c r="A488" i="4"/>
  <c r="P487" i="4"/>
  <c r="O487" i="4"/>
  <c r="N487" i="4"/>
  <c r="M487" i="4"/>
  <c r="L487" i="4"/>
  <c r="K487" i="4"/>
  <c r="J487" i="4"/>
  <c r="I487" i="4"/>
  <c r="H487" i="4"/>
  <c r="G487" i="4"/>
  <c r="F487" i="4"/>
  <c r="E487" i="4"/>
  <c r="D487" i="4"/>
  <c r="C487" i="4"/>
  <c r="B487" i="4"/>
  <c r="A487" i="4"/>
  <c r="P486" i="4"/>
  <c r="O486" i="4"/>
  <c r="N486" i="4"/>
  <c r="M486" i="4"/>
  <c r="L486" i="4"/>
  <c r="K486" i="4"/>
  <c r="J486" i="4"/>
  <c r="I486" i="4"/>
  <c r="H486" i="4"/>
  <c r="G486" i="4"/>
  <c r="F486" i="4"/>
  <c r="E486" i="4"/>
  <c r="D486" i="4"/>
  <c r="C486" i="4"/>
  <c r="B486" i="4"/>
  <c r="A486" i="4"/>
  <c r="P485" i="4"/>
  <c r="O485" i="4"/>
  <c r="N485" i="4"/>
  <c r="M485" i="4"/>
  <c r="L485" i="4"/>
  <c r="K485" i="4"/>
  <c r="J485" i="4"/>
  <c r="I485" i="4"/>
  <c r="H485" i="4"/>
  <c r="G485" i="4"/>
  <c r="F485" i="4"/>
  <c r="E485" i="4"/>
  <c r="D485" i="4"/>
  <c r="C485" i="4"/>
  <c r="B485" i="4"/>
  <c r="A485" i="4"/>
  <c r="P484" i="4"/>
  <c r="O484" i="4"/>
  <c r="N484" i="4"/>
  <c r="M484" i="4"/>
  <c r="L484" i="4"/>
  <c r="K484" i="4"/>
  <c r="J484" i="4"/>
  <c r="I484" i="4"/>
  <c r="H484" i="4"/>
  <c r="G484" i="4"/>
  <c r="F484" i="4"/>
  <c r="E484" i="4"/>
  <c r="D484" i="4"/>
  <c r="C484" i="4"/>
  <c r="B484" i="4"/>
  <c r="A484" i="4"/>
  <c r="P483" i="4"/>
  <c r="O483" i="4"/>
  <c r="N483" i="4"/>
  <c r="M483" i="4"/>
  <c r="L483" i="4"/>
  <c r="K483" i="4"/>
  <c r="J483" i="4"/>
  <c r="I483" i="4"/>
  <c r="H483" i="4"/>
  <c r="G483" i="4"/>
  <c r="F483" i="4"/>
  <c r="E483" i="4"/>
  <c r="D483" i="4"/>
  <c r="C483" i="4"/>
  <c r="B483" i="4"/>
  <c r="A483" i="4"/>
  <c r="P482" i="4"/>
  <c r="O482" i="4"/>
  <c r="N482" i="4"/>
  <c r="M482" i="4"/>
  <c r="L482" i="4"/>
  <c r="K482" i="4"/>
  <c r="J482" i="4"/>
  <c r="I482" i="4"/>
  <c r="H482" i="4"/>
  <c r="G482" i="4"/>
  <c r="F482" i="4"/>
  <c r="E482" i="4"/>
  <c r="D482" i="4"/>
  <c r="C482" i="4"/>
  <c r="B482" i="4"/>
  <c r="A482" i="4"/>
  <c r="P481" i="4"/>
  <c r="O481" i="4"/>
  <c r="N481" i="4"/>
  <c r="M481" i="4"/>
  <c r="L481" i="4"/>
  <c r="K481" i="4"/>
  <c r="J481" i="4"/>
  <c r="I481" i="4"/>
  <c r="H481" i="4"/>
  <c r="G481" i="4"/>
  <c r="F481" i="4"/>
  <c r="E481" i="4"/>
  <c r="D481" i="4"/>
  <c r="C481" i="4"/>
  <c r="B481" i="4"/>
  <c r="A481" i="4"/>
  <c r="P480" i="4"/>
  <c r="O480" i="4"/>
  <c r="N480" i="4"/>
  <c r="M480" i="4"/>
  <c r="L480" i="4"/>
  <c r="K480" i="4"/>
  <c r="J480" i="4"/>
  <c r="I480" i="4"/>
  <c r="H480" i="4"/>
  <c r="G480" i="4"/>
  <c r="F480" i="4"/>
  <c r="E480" i="4"/>
  <c r="D480" i="4"/>
  <c r="C480" i="4"/>
  <c r="B480" i="4"/>
  <c r="A480" i="4"/>
  <c r="P479" i="4"/>
  <c r="O479" i="4"/>
  <c r="N479" i="4"/>
  <c r="M479" i="4"/>
  <c r="L479" i="4"/>
  <c r="K479" i="4"/>
  <c r="J479" i="4"/>
  <c r="I479" i="4"/>
  <c r="H479" i="4"/>
  <c r="G479" i="4"/>
  <c r="F479" i="4"/>
  <c r="E479" i="4"/>
  <c r="D479" i="4"/>
  <c r="C479" i="4"/>
  <c r="B479" i="4"/>
  <c r="A479" i="4"/>
  <c r="P478" i="4"/>
  <c r="O478" i="4"/>
  <c r="N478" i="4"/>
  <c r="M478" i="4"/>
  <c r="L478" i="4"/>
  <c r="K478" i="4"/>
  <c r="J478" i="4"/>
  <c r="I478" i="4"/>
  <c r="H478" i="4"/>
  <c r="G478" i="4"/>
  <c r="F478" i="4"/>
  <c r="E478" i="4"/>
  <c r="D478" i="4"/>
  <c r="C478" i="4"/>
  <c r="B478" i="4"/>
  <c r="A478" i="4"/>
  <c r="P477" i="4"/>
  <c r="O477" i="4"/>
  <c r="N477" i="4"/>
  <c r="M477" i="4"/>
  <c r="L477" i="4"/>
  <c r="K477" i="4"/>
  <c r="J477" i="4"/>
  <c r="I477" i="4"/>
  <c r="H477" i="4"/>
  <c r="G477" i="4"/>
  <c r="F477" i="4"/>
  <c r="E477" i="4"/>
  <c r="D477" i="4"/>
  <c r="C477" i="4"/>
  <c r="B477" i="4"/>
  <c r="A477" i="4"/>
  <c r="P476" i="4"/>
  <c r="O476" i="4"/>
  <c r="N476" i="4"/>
  <c r="M476" i="4"/>
  <c r="L476" i="4"/>
  <c r="K476" i="4"/>
  <c r="J476" i="4"/>
  <c r="I476" i="4"/>
  <c r="H476" i="4"/>
  <c r="G476" i="4"/>
  <c r="F476" i="4"/>
  <c r="E476" i="4"/>
  <c r="D476" i="4"/>
  <c r="C476" i="4"/>
  <c r="B476" i="4"/>
  <c r="A476" i="4"/>
  <c r="P475" i="4"/>
  <c r="O475" i="4"/>
  <c r="N475" i="4"/>
  <c r="M475" i="4"/>
  <c r="L475" i="4"/>
  <c r="K475" i="4"/>
  <c r="J475" i="4"/>
  <c r="I475" i="4"/>
  <c r="H475" i="4"/>
  <c r="G475" i="4"/>
  <c r="F475" i="4"/>
  <c r="E475" i="4"/>
  <c r="D475" i="4"/>
  <c r="C475" i="4"/>
  <c r="B475" i="4"/>
  <c r="A475" i="4"/>
  <c r="P474" i="4"/>
  <c r="O474" i="4"/>
  <c r="N474" i="4"/>
  <c r="M474" i="4"/>
  <c r="L474" i="4"/>
  <c r="K474" i="4"/>
  <c r="J474" i="4"/>
  <c r="I474" i="4"/>
  <c r="H474" i="4"/>
  <c r="G474" i="4"/>
  <c r="F474" i="4"/>
  <c r="E474" i="4"/>
  <c r="D474" i="4"/>
  <c r="C474" i="4"/>
  <c r="B474" i="4"/>
  <c r="A474" i="4"/>
  <c r="P473" i="4"/>
  <c r="O473" i="4"/>
  <c r="N473" i="4"/>
  <c r="M473" i="4"/>
  <c r="L473" i="4"/>
  <c r="K473" i="4"/>
  <c r="J473" i="4"/>
  <c r="I473" i="4"/>
  <c r="H473" i="4"/>
  <c r="G473" i="4"/>
  <c r="F473" i="4"/>
  <c r="E473" i="4"/>
  <c r="D473" i="4"/>
  <c r="C473" i="4"/>
  <c r="B473" i="4"/>
  <c r="A473" i="4"/>
  <c r="P472" i="4"/>
  <c r="O472" i="4"/>
  <c r="N472" i="4"/>
  <c r="M472" i="4"/>
  <c r="L472" i="4"/>
  <c r="K472" i="4"/>
  <c r="J472" i="4"/>
  <c r="I472" i="4"/>
  <c r="H472" i="4"/>
  <c r="G472" i="4"/>
  <c r="F472" i="4"/>
  <c r="E472" i="4"/>
  <c r="D472" i="4"/>
  <c r="C472" i="4"/>
  <c r="B472" i="4"/>
  <c r="A472" i="4"/>
  <c r="P471" i="4"/>
  <c r="O471" i="4"/>
  <c r="N471" i="4"/>
  <c r="M471" i="4"/>
  <c r="L471" i="4"/>
  <c r="K471" i="4"/>
  <c r="J471" i="4"/>
  <c r="I471" i="4"/>
  <c r="H471" i="4"/>
  <c r="G471" i="4"/>
  <c r="F471" i="4"/>
  <c r="E471" i="4"/>
  <c r="D471" i="4"/>
  <c r="C471" i="4"/>
  <c r="B471" i="4"/>
  <c r="A471" i="4"/>
  <c r="P470" i="4"/>
  <c r="O470" i="4"/>
  <c r="N470" i="4"/>
  <c r="M470" i="4"/>
  <c r="L470" i="4"/>
  <c r="K470" i="4"/>
  <c r="J470" i="4"/>
  <c r="I470" i="4"/>
  <c r="H470" i="4"/>
  <c r="G470" i="4"/>
  <c r="F470" i="4"/>
  <c r="E470" i="4"/>
  <c r="D470" i="4"/>
  <c r="C470" i="4"/>
  <c r="B470" i="4"/>
  <c r="A470" i="4"/>
  <c r="P469" i="4"/>
  <c r="O469" i="4"/>
  <c r="N469" i="4"/>
  <c r="M469" i="4"/>
  <c r="L469" i="4"/>
  <c r="K469" i="4"/>
  <c r="J469" i="4"/>
  <c r="I469" i="4"/>
  <c r="H469" i="4"/>
  <c r="G469" i="4"/>
  <c r="F469" i="4"/>
  <c r="E469" i="4"/>
  <c r="D469" i="4"/>
  <c r="C469" i="4"/>
  <c r="B469" i="4"/>
  <c r="A469" i="4"/>
  <c r="P468" i="4"/>
  <c r="O468" i="4"/>
  <c r="N468" i="4"/>
  <c r="M468" i="4"/>
  <c r="L468" i="4"/>
  <c r="K468" i="4"/>
  <c r="J468" i="4"/>
  <c r="I468" i="4"/>
  <c r="H468" i="4"/>
  <c r="G468" i="4"/>
  <c r="F468" i="4"/>
  <c r="E468" i="4"/>
  <c r="D468" i="4"/>
  <c r="C468" i="4"/>
  <c r="B468" i="4"/>
  <c r="A468" i="4"/>
  <c r="P467" i="4"/>
  <c r="O467" i="4"/>
  <c r="N467" i="4"/>
  <c r="M467" i="4"/>
  <c r="L467" i="4"/>
  <c r="K467" i="4"/>
  <c r="J467" i="4"/>
  <c r="I467" i="4"/>
  <c r="H467" i="4"/>
  <c r="G467" i="4"/>
  <c r="F467" i="4"/>
  <c r="E467" i="4"/>
  <c r="D467" i="4"/>
  <c r="C467" i="4"/>
  <c r="B467" i="4"/>
  <c r="A467" i="4"/>
  <c r="P466" i="4"/>
  <c r="O466" i="4"/>
  <c r="N466" i="4"/>
  <c r="M466" i="4"/>
  <c r="L466" i="4"/>
  <c r="K466" i="4"/>
  <c r="J466" i="4"/>
  <c r="I466" i="4"/>
  <c r="H466" i="4"/>
  <c r="G466" i="4"/>
  <c r="F466" i="4"/>
  <c r="E466" i="4"/>
  <c r="D466" i="4"/>
  <c r="C466" i="4"/>
  <c r="B466" i="4"/>
  <c r="A466" i="4"/>
  <c r="P465" i="4"/>
  <c r="O465" i="4"/>
  <c r="N465" i="4"/>
  <c r="M465" i="4"/>
  <c r="L465" i="4"/>
  <c r="K465" i="4"/>
  <c r="J465" i="4"/>
  <c r="I465" i="4"/>
  <c r="H465" i="4"/>
  <c r="G465" i="4"/>
  <c r="F465" i="4"/>
  <c r="E465" i="4"/>
  <c r="D465" i="4"/>
  <c r="C465" i="4"/>
  <c r="B465" i="4"/>
  <c r="A465" i="4"/>
  <c r="P464" i="4"/>
  <c r="O464" i="4"/>
  <c r="N464" i="4"/>
  <c r="M464" i="4"/>
  <c r="L464" i="4"/>
  <c r="K464" i="4"/>
  <c r="J464" i="4"/>
  <c r="I464" i="4"/>
  <c r="H464" i="4"/>
  <c r="G464" i="4"/>
  <c r="F464" i="4"/>
  <c r="E464" i="4"/>
  <c r="D464" i="4"/>
  <c r="C464" i="4"/>
  <c r="B464" i="4"/>
  <c r="A464" i="4"/>
  <c r="P463" i="4"/>
  <c r="O463" i="4"/>
  <c r="N463" i="4"/>
  <c r="M463" i="4"/>
  <c r="L463" i="4"/>
  <c r="K463" i="4"/>
  <c r="J463" i="4"/>
  <c r="I463" i="4"/>
  <c r="H463" i="4"/>
  <c r="G463" i="4"/>
  <c r="F463" i="4"/>
  <c r="E463" i="4"/>
  <c r="D463" i="4"/>
  <c r="C463" i="4"/>
  <c r="B463" i="4"/>
  <c r="A463" i="4"/>
  <c r="P462" i="4"/>
  <c r="O462" i="4"/>
  <c r="N462" i="4"/>
  <c r="M462" i="4"/>
  <c r="L462" i="4"/>
  <c r="K462" i="4"/>
  <c r="J462" i="4"/>
  <c r="I462" i="4"/>
  <c r="H462" i="4"/>
  <c r="G462" i="4"/>
  <c r="F462" i="4"/>
  <c r="E462" i="4"/>
  <c r="D462" i="4"/>
  <c r="C462" i="4"/>
  <c r="B462" i="4"/>
  <c r="A462" i="4"/>
  <c r="P461" i="4"/>
  <c r="O461" i="4"/>
  <c r="N461" i="4"/>
  <c r="M461" i="4"/>
  <c r="L461" i="4"/>
  <c r="K461" i="4"/>
  <c r="J461" i="4"/>
  <c r="I461" i="4"/>
  <c r="H461" i="4"/>
  <c r="G461" i="4"/>
  <c r="F461" i="4"/>
  <c r="E461" i="4"/>
  <c r="D461" i="4"/>
  <c r="C461" i="4"/>
  <c r="B461" i="4"/>
  <c r="A461" i="4"/>
  <c r="P460" i="4"/>
  <c r="O460" i="4"/>
  <c r="N460" i="4"/>
  <c r="M460" i="4"/>
  <c r="L460" i="4"/>
  <c r="K460" i="4"/>
  <c r="J460" i="4"/>
  <c r="I460" i="4"/>
  <c r="H460" i="4"/>
  <c r="G460" i="4"/>
  <c r="F460" i="4"/>
  <c r="E460" i="4"/>
  <c r="D460" i="4"/>
  <c r="C460" i="4"/>
  <c r="B460" i="4"/>
  <c r="A460" i="4"/>
  <c r="P459" i="4"/>
  <c r="O459" i="4"/>
  <c r="N459" i="4"/>
  <c r="M459" i="4"/>
  <c r="L459" i="4"/>
  <c r="K459" i="4"/>
  <c r="J459" i="4"/>
  <c r="I459" i="4"/>
  <c r="H459" i="4"/>
  <c r="G459" i="4"/>
  <c r="F459" i="4"/>
  <c r="E459" i="4"/>
  <c r="D459" i="4"/>
  <c r="C459" i="4"/>
  <c r="B459" i="4"/>
  <c r="A459" i="4"/>
  <c r="P458" i="4"/>
  <c r="O458" i="4"/>
  <c r="N458" i="4"/>
  <c r="M458" i="4"/>
  <c r="L458" i="4"/>
  <c r="K458" i="4"/>
  <c r="J458" i="4"/>
  <c r="I458" i="4"/>
  <c r="H458" i="4"/>
  <c r="G458" i="4"/>
  <c r="F458" i="4"/>
  <c r="E458" i="4"/>
  <c r="D458" i="4"/>
  <c r="C458" i="4"/>
  <c r="B458" i="4"/>
  <c r="A458" i="4"/>
  <c r="P457" i="4"/>
  <c r="O457" i="4"/>
  <c r="N457" i="4"/>
  <c r="M457" i="4"/>
  <c r="L457" i="4"/>
  <c r="K457" i="4"/>
  <c r="J457" i="4"/>
  <c r="I457" i="4"/>
  <c r="H457" i="4"/>
  <c r="G457" i="4"/>
  <c r="F457" i="4"/>
  <c r="E457" i="4"/>
  <c r="D457" i="4"/>
  <c r="C457" i="4"/>
  <c r="B457" i="4"/>
  <c r="A457" i="4"/>
  <c r="P456" i="4"/>
  <c r="O456" i="4"/>
  <c r="N456" i="4"/>
  <c r="M456" i="4"/>
  <c r="L456" i="4"/>
  <c r="K456" i="4"/>
  <c r="J456" i="4"/>
  <c r="I456" i="4"/>
  <c r="H456" i="4"/>
  <c r="G456" i="4"/>
  <c r="F456" i="4"/>
  <c r="E456" i="4"/>
  <c r="D456" i="4"/>
  <c r="C456" i="4"/>
  <c r="B456" i="4"/>
  <c r="A456" i="4"/>
  <c r="P455" i="4"/>
  <c r="O455" i="4"/>
  <c r="N455" i="4"/>
  <c r="M455" i="4"/>
  <c r="L455" i="4"/>
  <c r="K455" i="4"/>
  <c r="J455" i="4"/>
  <c r="I455" i="4"/>
  <c r="H455" i="4"/>
  <c r="G455" i="4"/>
  <c r="F455" i="4"/>
  <c r="E455" i="4"/>
  <c r="D455" i="4"/>
  <c r="C455" i="4"/>
  <c r="B455" i="4"/>
  <c r="A455" i="4"/>
  <c r="P454" i="4"/>
  <c r="O454" i="4"/>
  <c r="N454" i="4"/>
  <c r="M454" i="4"/>
  <c r="L454" i="4"/>
  <c r="K454" i="4"/>
  <c r="J454" i="4"/>
  <c r="I454" i="4"/>
  <c r="H454" i="4"/>
  <c r="G454" i="4"/>
  <c r="F454" i="4"/>
  <c r="E454" i="4"/>
  <c r="D454" i="4"/>
  <c r="C454" i="4"/>
  <c r="B454" i="4"/>
  <c r="A454" i="4"/>
  <c r="P453" i="4"/>
  <c r="O453" i="4"/>
  <c r="N453" i="4"/>
  <c r="M453" i="4"/>
  <c r="L453" i="4"/>
  <c r="K453" i="4"/>
  <c r="J453" i="4"/>
  <c r="I453" i="4"/>
  <c r="H453" i="4"/>
  <c r="G453" i="4"/>
  <c r="F453" i="4"/>
  <c r="E453" i="4"/>
  <c r="D453" i="4"/>
  <c r="C453" i="4"/>
  <c r="B453" i="4"/>
  <c r="A453" i="4"/>
  <c r="P452" i="4"/>
  <c r="O452" i="4"/>
  <c r="N452" i="4"/>
  <c r="M452" i="4"/>
  <c r="L452" i="4"/>
  <c r="K452" i="4"/>
  <c r="J452" i="4"/>
  <c r="I452" i="4"/>
  <c r="H452" i="4"/>
  <c r="G452" i="4"/>
  <c r="F452" i="4"/>
  <c r="E452" i="4"/>
  <c r="D452" i="4"/>
  <c r="C452" i="4"/>
  <c r="B452" i="4"/>
  <c r="A452" i="4"/>
  <c r="P451" i="4"/>
  <c r="O451" i="4"/>
  <c r="N451" i="4"/>
  <c r="M451" i="4"/>
  <c r="L451" i="4"/>
  <c r="K451" i="4"/>
  <c r="J451" i="4"/>
  <c r="I451" i="4"/>
  <c r="H451" i="4"/>
  <c r="G451" i="4"/>
  <c r="F451" i="4"/>
  <c r="E451" i="4"/>
  <c r="D451" i="4"/>
  <c r="C451" i="4"/>
  <c r="B451" i="4"/>
  <c r="A451" i="4"/>
  <c r="P450" i="4"/>
  <c r="O450" i="4"/>
  <c r="N450" i="4"/>
  <c r="M450" i="4"/>
  <c r="L450" i="4"/>
  <c r="K450" i="4"/>
  <c r="J450" i="4"/>
  <c r="I450" i="4"/>
  <c r="H450" i="4"/>
  <c r="G450" i="4"/>
  <c r="F450" i="4"/>
  <c r="E450" i="4"/>
  <c r="D450" i="4"/>
  <c r="C450" i="4"/>
  <c r="B450" i="4"/>
  <c r="A450" i="4"/>
  <c r="P449" i="4"/>
  <c r="O449" i="4"/>
  <c r="N449" i="4"/>
  <c r="M449" i="4"/>
  <c r="L449" i="4"/>
  <c r="K449" i="4"/>
  <c r="J449" i="4"/>
  <c r="I449" i="4"/>
  <c r="H449" i="4"/>
  <c r="G449" i="4"/>
  <c r="F449" i="4"/>
  <c r="E449" i="4"/>
  <c r="D449" i="4"/>
  <c r="C449" i="4"/>
  <c r="B449" i="4"/>
  <c r="A449" i="4"/>
  <c r="P448" i="4"/>
  <c r="O448" i="4"/>
  <c r="N448" i="4"/>
  <c r="M448" i="4"/>
  <c r="L448" i="4"/>
  <c r="K448" i="4"/>
  <c r="J448" i="4"/>
  <c r="I448" i="4"/>
  <c r="H448" i="4"/>
  <c r="G448" i="4"/>
  <c r="F448" i="4"/>
  <c r="E448" i="4"/>
  <c r="D448" i="4"/>
  <c r="C448" i="4"/>
  <c r="B448" i="4"/>
  <c r="A448" i="4"/>
  <c r="P447" i="4"/>
  <c r="O447" i="4"/>
  <c r="N447" i="4"/>
  <c r="M447" i="4"/>
  <c r="L447" i="4"/>
  <c r="K447" i="4"/>
  <c r="J447" i="4"/>
  <c r="I447" i="4"/>
  <c r="H447" i="4"/>
  <c r="G447" i="4"/>
  <c r="F447" i="4"/>
  <c r="E447" i="4"/>
  <c r="D447" i="4"/>
  <c r="C447" i="4"/>
  <c r="B447" i="4"/>
  <c r="A447" i="4"/>
  <c r="P446" i="4"/>
  <c r="O446" i="4"/>
  <c r="N446" i="4"/>
  <c r="M446" i="4"/>
  <c r="L446" i="4"/>
  <c r="K446" i="4"/>
  <c r="J446" i="4"/>
  <c r="I446" i="4"/>
  <c r="H446" i="4"/>
  <c r="G446" i="4"/>
  <c r="F446" i="4"/>
  <c r="E446" i="4"/>
  <c r="D446" i="4"/>
  <c r="C446" i="4"/>
  <c r="B446" i="4"/>
  <c r="A446" i="4"/>
  <c r="P445" i="4"/>
  <c r="O445" i="4"/>
  <c r="N445" i="4"/>
  <c r="M445" i="4"/>
  <c r="L445" i="4"/>
  <c r="K445" i="4"/>
  <c r="J445" i="4"/>
  <c r="I445" i="4"/>
  <c r="H445" i="4"/>
  <c r="G445" i="4"/>
  <c r="F445" i="4"/>
  <c r="E445" i="4"/>
  <c r="D445" i="4"/>
  <c r="C445" i="4"/>
  <c r="B445" i="4"/>
  <c r="A445" i="4"/>
  <c r="P444" i="4"/>
  <c r="O444" i="4"/>
  <c r="N444" i="4"/>
  <c r="M444" i="4"/>
  <c r="L444" i="4"/>
  <c r="K444" i="4"/>
  <c r="J444" i="4"/>
  <c r="I444" i="4"/>
  <c r="H444" i="4"/>
  <c r="G444" i="4"/>
  <c r="F444" i="4"/>
  <c r="E444" i="4"/>
  <c r="D444" i="4"/>
  <c r="C444" i="4"/>
  <c r="B444" i="4"/>
  <c r="A444" i="4"/>
  <c r="P443" i="4"/>
  <c r="O443" i="4"/>
  <c r="N443" i="4"/>
  <c r="M443" i="4"/>
  <c r="L443" i="4"/>
  <c r="K443" i="4"/>
  <c r="J443" i="4"/>
  <c r="I443" i="4"/>
  <c r="H443" i="4"/>
  <c r="G443" i="4"/>
  <c r="F443" i="4"/>
  <c r="E443" i="4"/>
  <c r="D443" i="4"/>
  <c r="C443" i="4"/>
  <c r="B443" i="4"/>
  <c r="A443" i="4"/>
  <c r="P442" i="4"/>
  <c r="O442" i="4"/>
  <c r="N442" i="4"/>
  <c r="M442" i="4"/>
  <c r="L442" i="4"/>
  <c r="K442" i="4"/>
  <c r="J442" i="4"/>
  <c r="I442" i="4"/>
  <c r="H442" i="4"/>
  <c r="G442" i="4"/>
  <c r="F442" i="4"/>
  <c r="E442" i="4"/>
  <c r="D442" i="4"/>
  <c r="C442" i="4"/>
  <c r="B442" i="4"/>
  <c r="A442" i="4"/>
  <c r="P441" i="4"/>
  <c r="O441" i="4"/>
  <c r="N441" i="4"/>
  <c r="M441" i="4"/>
  <c r="L441" i="4"/>
  <c r="K441" i="4"/>
  <c r="J441" i="4"/>
  <c r="I441" i="4"/>
  <c r="H441" i="4"/>
  <c r="G441" i="4"/>
  <c r="F441" i="4"/>
  <c r="E441" i="4"/>
  <c r="D441" i="4"/>
  <c r="C441" i="4"/>
  <c r="B441" i="4"/>
  <c r="A441" i="4"/>
  <c r="P440" i="4"/>
  <c r="O440" i="4"/>
  <c r="N440" i="4"/>
  <c r="M440" i="4"/>
  <c r="L440" i="4"/>
  <c r="K440" i="4"/>
  <c r="J440" i="4"/>
  <c r="I440" i="4"/>
  <c r="H440" i="4"/>
  <c r="G440" i="4"/>
  <c r="F440" i="4"/>
  <c r="E440" i="4"/>
  <c r="D440" i="4"/>
  <c r="C440" i="4"/>
  <c r="B440" i="4"/>
  <c r="A440" i="4"/>
  <c r="P439" i="4"/>
  <c r="O439" i="4"/>
  <c r="N439" i="4"/>
  <c r="M439" i="4"/>
  <c r="L439" i="4"/>
  <c r="K439" i="4"/>
  <c r="J439" i="4"/>
  <c r="I439" i="4"/>
  <c r="H439" i="4"/>
  <c r="G439" i="4"/>
  <c r="F439" i="4"/>
  <c r="E439" i="4"/>
  <c r="D439" i="4"/>
  <c r="C439" i="4"/>
  <c r="B439" i="4"/>
  <c r="A439" i="4"/>
  <c r="P438" i="4"/>
  <c r="O438" i="4"/>
  <c r="N438" i="4"/>
  <c r="M438" i="4"/>
  <c r="L438" i="4"/>
  <c r="K438" i="4"/>
  <c r="J438" i="4"/>
  <c r="I438" i="4"/>
  <c r="H438" i="4"/>
  <c r="G438" i="4"/>
  <c r="F438" i="4"/>
  <c r="E438" i="4"/>
  <c r="D438" i="4"/>
  <c r="C438" i="4"/>
  <c r="B438" i="4"/>
  <c r="A438" i="4"/>
  <c r="P437" i="4"/>
  <c r="O437" i="4"/>
  <c r="N437" i="4"/>
  <c r="M437" i="4"/>
  <c r="L437" i="4"/>
  <c r="K437" i="4"/>
  <c r="J437" i="4"/>
  <c r="I437" i="4"/>
  <c r="H437" i="4"/>
  <c r="G437" i="4"/>
  <c r="F437" i="4"/>
  <c r="E437" i="4"/>
  <c r="D437" i="4"/>
  <c r="C437" i="4"/>
  <c r="B437" i="4"/>
  <c r="A437" i="4"/>
  <c r="P436" i="4"/>
  <c r="O436" i="4"/>
  <c r="N436" i="4"/>
  <c r="M436" i="4"/>
  <c r="L436" i="4"/>
  <c r="K436" i="4"/>
  <c r="J436" i="4"/>
  <c r="I436" i="4"/>
  <c r="H436" i="4"/>
  <c r="G436" i="4"/>
  <c r="F436" i="4"/>
  <c r="E436" i="4"/>
  <c r="D436" i="4"/>
  <c r="C436" i="4"/>
  <c r="B436" i="4"/>
  <c r="A436" i="4"/>
  <c r="P435" i="4"/>
  <c r="O435" i="4"/>
  <c r="N435" i="4"/>
  <c r="M435" i="4"/>
  <c r="L435" i="4"/>
  <c r="K435" i="4"/>
  <c r="J435" i="4"/>
  <c r="I435" i="4"/>
  <c r="H435" i="4"/>
  <c r="G435" i="4"/>
  <c r="F435" i="4"/>
  <c r="E435" i="4"/>
  <c r="D435" i="4"/>
  <c r="C435" i="4"/>
  <c r="B435" i="4"/>
  <c r="A435" i="4"/>
  <c r="P434" i="4"/>
  <c r="O434" i="4"/>
  <c r="N434" i="4"/>
  <c r="M434" i="4"/>
  <c r="L434" i="4"/>
  <c r="K434" i="4"/>
  <c r="J434" i="4"/>
  <c r="I434" i="4"/>
  <c r="H434" i="4"/>
  <c r="G434" i="4"/>
  <c r="F434" i="4"/>
  <c r="E434" i="4"/>
  <c r="D434" i="4"/>
  <c r="C434" i="4"/>
  <c r="B434" i="4"/>
  <c r="A434" i="4"/>
  <c r="P433" i="4"/>
  <c r="O433" i="4"/>
  <c r="N433" i="4"/>
  <c r="M433" i="4"/>
  <c r="L433" i="4"/>
  <c r="K433" i="4"/>
  <c r="J433" i="4"/>
  <c r="I433" i="4"/>
  <c r="H433" i="4"/>
  <c r="G433" i="4"/>
  <c r="F433" i="4"/>
  <c r="E433" i="4"/>
  <c r="D433" i="4"/>
  <c r="C433" i="4"/>
  <c r="B433" i="4"/>
  <c r="A433" i="4"/>
  <c r="P432" i="4"/>
  <c r="O432" i="4"/>
  <c r="N432" i="4"/>
  <c r="M432" i="4"/>
  <c r="L432" i="4"/>
  <c r="K432" i="4"/>
  <c r="J432" i="4"/>
  <c r="I432" i="4"/>
  <c r="H432" i="4"/>
  <c r="G432" i="4"/>
  <c r="F432" i="4"/>
  <c r="E432" i="4"/>
  <c r="D432" i="4"/>
  <c r="C432" i="4"/>
  <c r="B432" i="4"/>
  <c r="A432" i="4"/>
  <c r="P431" i="4"/>
  <c r="O431" i="4"/>
  <c r="N431" i="4"/>
  <c r="M431" i="4"/>
  <c r="L431" i="4"/>
  <c r="K431" i="4"/>
  <c r="J431" i="4"/>
  <c r="I431" i="4"/>
  <c r="H431" i="4"/>
  <c r="G431" i="4"/>
  <c r="F431" i="4"/>
  <c r="E431" i="4"/>
  <c r="D431" i="4"/>
  <c r="C431" i="4"/>
  <c r="B431" i="4"/>
  <c r="A431" i="4"/>
  <c r="P430" i="4"/>
  <c r="O430" i="4"/>
  <c r="N430" i="4"/>
  <c r="M430" i="4"/>
  <c r="L430" i="4"/>
  <c r="K430" i="4"/>
  <c r="J430" i="4"/>
  <c r="I430" i="4"/>
  <c r="H430" i="4"/>
  <c r="G430" i="4"/>
  <c r="F430" i="4"/>
  <c r="E430" i="4"/>
  <c r="D430" i="4"/>
  <c r="C430" i="4"/>
  <c r="B430" i="4"/>
  <c r="A430" i="4"/>
  <c r="P429" i="4"/>
  <c r="O429" i="4"/>
  <c r="N429" i="4"/>
  <c r="M429" i="4"/>
  <c r="L429" i="4"/>
  <c r="K429" i="4"/>
  <c r="J429" i="4"/>
  <c r="I429" i="4"/>
  <c r="H429" i="4"/>
  <c r="G429" i="4"/>
  <c r="F429" i="4"/>
  <c r="E429" i="4"/>
  <c r="D429" i="4"/>
  <c r="C429" i="4"/>
  <c r="B429" i="4"/>
  <c r="A429" i="4"/>
  <c r="P428" i="4"/>
  <c r="O428" i="4"/>
  <c r="N428" i="4"/>
  <c r="M428" i="4"/>
  <c r="L428" i="4"/>
  <c r="K428" i="4"/>
  <c r="J428" i="4"/>
  <c r="I428" i="4"/>
  <c r="H428" i="4"/>
  <c r="G428" i="4"/>
  <c r="F428" i="4"/>
  <c r="E428" i="4"/>
  <c r="D428" i="4"/>
  <c r="C428" i="4"/>
  <c r="B428" i="4"/>
  <c r="A428" i="4"/>
  <c r="P427" i="4"/>
  <c r="O427" i="4"/>
  <c r="N427" i="4"/>
  <c r="M427" i="4"/>
  <c r="L427" i="4"/>
  <c r="K427" i="4"/>
  <c r="J427" i="4"/>
  <c r="I427" i="4"/>
  <c r="H427" i="4"/>
  <c r="G427" i="4"/>
  <c r="F427" i="4"/>
  <c r="E427" i="4"/>
  <c r="D427" i="4"/>
  <c r="C427" i="4"/>
  <c r="B427" i="4"/>
  <c r="A427" i="4"/>
  <c r="P426" i="4"/>
  <c r="O426" i="4"/>
  <c r="N426" i="4"/>
  <c r="M426" i="4"/>
  <c r="L426" i="4"/>
  <c r="K426" i="4"/>
  <c r="J426" i="4"/>
  <c r="I426" i="4"/>
  <c r="H426" i="4"/>
  <c r="G426" i="4"/>
  <c r="F426" i="4"/>
  <c r="E426" i="4"/>
  <c r="D426" i="4"/>
  <c r="C426" i="4"/>
  <c r="B426" i="4"/>
  <c r="A426" i="4"/>
  <c r="P425" i="4"/>
  <c r="O425" i="4"/>
  <c r="N425" i="4"/>
  <c r="M425" i="4"/>
  <c r="L425" i="4"/>
  <c r="K425" i="4"/>
  <c r="J425" i="4"/>
  <c r="I425" i="4"/>
  <c r="H425" i="4"/>
  <c r="G425" i="4"/>
  <c r="F425" i="4"/>
  <c r="E425" i="4"/>
  <c r="D425" i="4"/>
  <c r="C425" i="4"/>
  <c r="B425" i="4"/>
  <c r="A425" i="4"/>
  <c r="P424" i="4"/>
  <c r="O424" i="4"/>
  <c r="N424" i="4"/>
  <c r="M424" i="4"/>
  <c r="L424" i="4"/>
  <c r="K424" i="4"/>
  <c r="J424" i="4"/>
  <c r="I424" i="4"/>
  <c r="H424" i="4"/>
  <c r="G424" i="4"/>
  <c r="F424" i="4"/>
  <c r="E424" i="4"/>
  <c r="D424" i="4"/>
  <c r="C424" i="4"/>
  <c r="B424" i="4"/>
  <c r="A424" i="4"/>
  <c r="P423" i="4"/>
  <c r="O423" i="4"/>
  <c r="N423" i="4"/>
  <c r="M423" i="4"/>
  <c r="L423" i="4"/>
  <c r="K423" i="4"/>
  <c r="J423" i="4"/>
  <c r="I423" i="4"/>
  <c r="H423" i="4"/>
  <c r="G423" i="4"/>
  <c r="F423" i="4"/>
  <c r="E423" i="4"/>
  <c r="D423" i="4"/>
  <c r="C423" i="4"/>
  <c r="B423" i="4"/>
  <c r="A423" i="4"/>
  <c r="P422" i="4"/>
  <c r="O422" i="4"/>
  <c r="N422" i="4"/>
  <c r="M422" i="4"/>
  <c r="L422" i="4"/>
  <c r="K422" i="4"/>
  <c r="J422" i="4"/>
  <c r="I422" i="4"/>
  <c r="H422" i="4"/>
  <c r="G422" i="4"/>
  <c r="F422" i="4"/>
  <c r="E422" i="4"/>
  <c r="D422" i="4"/>
  <c r="C422" i="4"/>
  <c r="B422" i="4"/>
  <c r="A422" i="4"/>
  <c r="P421" i="4"/>
  <c r="O421" i="4"/>
  <c r="N421" i="4"/>
  <c r="M421" i="4"/>
  <c r="L421" i="4"/>
  <c r="K421" i="4"/>
  <c r="J421" i="4"/>
  <c r="I421" i="4"/>
  <c r="H421" i="4"/>
  <c r="G421" i="4"/>
  <c r="F421" i="4"/>
  <c r="E421" i="4"/>
  <c r="D421" i="4"/>
  <c r="C421" i="4"/>
  <c r="B421" i="4"/>
  <c r="A421" i="4"/>
  <c r="P420" i="4"/>
  <c r="O420" i="4"/>
  <c r="N420" i="4"/>
  <c r="M420" i="4"/>
  <c r="L420" i="4"/>
  <c r="K420" i="4"/>
  <c r="J420" i="4"/>
  <c r="I420" i="4"/>
  <c r="H420" i="4"/>
  <c r="G420" i="4"/>
  <c r="F420" i="4"/>
  <c r="E420" i="4"/>
  <c r="D420" i="4"/>
  <c r="C420" i="4"/>
  <c r="B420" i="4"/>
  <c r="A420" i="4"/>
  <c r="P419" i="4"/>
  <c r="O419" i="4"/>
  <c r="N419" i="4"/>
  <c r="M419" i="4"/>
  <c r="L419" i="4"/>
  <c r="K419" i="4"/>
  <c r="J419" i="4"/>
  <c r="I419" i="4"/>
  <c r="H419" i="4"/>
  <c r="G419" i="4"/>
  <c r="F419" i="4"/>
  <c r="E419" i="4"/>
  <c r="D419" i="4"/>
  <c r="C419" i="4"/>
  <c r="B419" i="4"/>
  <c r="A419" i="4"/>
  <c r="P418" i="4"/>
  <c r="O418" i="4"/>
  <c r="N418" i="4"/>
  <c r="M418" i="4"/>
  <c r="L418" i="4"/>
  <c r="K418" i="4"/>
  <c r="J418" i="4"/>
  <c r="I418" i="4"/>
  <c r="H418" i="4"/>
  <c r="G418" i="4"/>
  <c r="F418" i="4"/>
  <c r="E418" i="4"/>
  <c r="D418" i="4"/>
  <c r="C418" i="4"/>
  <c r="B418" i="4"/>
  <c r="A418" i="4"/>
  <c r="P417" i="4"/>
  <c r="O417" i="4"/>
  <c r="N417" i="4"/>
  <c r="M417" i="4"/>
  <c r="L417" i="4"/>
  <c r="K417" i="4"/>
  <c r="J417" i="4"/>
  <c r="I417" i="4"/>
  <c r="H417" i="4"/>
  <c r="G417" i="4"/>
  <c r="F417" i="4"/>
  <c r="E417" i="4"/>
  <c r="D417" i="4"/>
  <c r="C417" i="4"/>
  <c r="B417" i="4"/>
  <c r="A417" i="4"/>
  <c r="P416" i="4"/>
  <c r="O416" i="4"/>
  <c r="N416" i="4"/>
  <c r="M416" i="4"/>
  <c r="L416" i="4"/>
  <c r="K416" i="4"/>
  <c r="J416" i="4"/>
  <c r="I416" i="4"/>
  <c r="H416" i="4"/>
  <c r="G416" i="4"/>
  <c r="F416" i="4"/>
  <c r="E416" i="4"/>
  <c r="D416" i="4"/>
  <c r="C416" i="4"/>
  <c r="B416" i="4"/>
  <c r="A416" i="4"/>
  <c r="P415" i="4"/>
  <c r="O415" i="4"/>
  <c r="N415" i="4"/>
  <c r="M415" i="4"/>
  <c r="L415" i="4"/>
  <c r="K415" i="4"/>
  <c r="J415" i="4"/>
  <c r="I415" i="4"/>
  <c r="H415" i="4"/>
  <c r="G415" i="4"/>
  <c r="F415" i="4"/>
  <c r="E415" i="4"/>
  <c r="D415" i="4"/>
  <c r="C415" i="4"/>
  <c r="B415" i="4"/>
  <c r="A415" i="4"/>
  <c r="P414" i="4"/>
  <c r="O414" i="4"/>
  <c r="N414" i="4"/>
  <c r="M414" i="4"/>
  <c r="L414" i="4"/>
  <c r="K414" i="4"/>
  <c r="J414" i="4"/>
  <c r="I414" i="4"/>
  <c r="H414" i="4"/>
  <c r="G414" i="4"/>
  <c r="F414" i="4"/>
  <c r="E414" i="4"/>
  <c r="D414" i="4"/>
  <c r="C414" i="4"/>
  <c r="B414" i="4"/>
  <c r="A414" i="4"/>
  <c r="P413" i="4"/>
  <c r="O413" i="4"/>
  <c r="N413" i="4"/>
  <c r="M413" i="4"/>
  <c r="L413" i="4"/>
  <c r="K413" i="4"/>
  <c r="J413" i="4"/>
  <c r="I413" i="4"/>
  <c r="H413" i="4"/>
  <c r="G413" i="4"/>
  <c r="F413" i="4"/>
  <c r="E413" i="4"/>
  <c r="D413" i="4"/>
  <c r="C413" i="4"/>
  <c r="B413" i="4"/>
  <c r="A413" i="4"/>
  <c r="P412" i="4"/>
  <c r="O412" i="4"/>
  <c r="N412" i="4"/>
  <c r="M412" i="4"/>
  <c r="L412" i="4"/>
  <c r="K412" i="4"/>
  <c r="J412" i="4"/>
  <c r="I412" i="4"/>
  <c r="H412" i="4"/>
  <c r="G412" i="4"/>
  <c r="F412" i="4"/>
  <c r="E412" i="4"/>
  <c r="D412" i="4"/>
  <c r="C412" i="4"/>
  <c r="B412" i="4"/>
  <c r="A412" i="4"/>
  <c r="P411" i="4"/>
  <c r="O411" i="4"/>
  <c r="N411" i="4"/>
  <c r="M411" i="4"/>
  <c r="L411" i="4"/>
  <c r="K411" i="4"/>
  <c r="J411" i="4"/>
  <c r="I411" i="4"/>
  <c r="H411" i="4"/>
  <c r="G411" i="4"/>
  <c r="F411" i="4"/>
  <c r="E411" i="4"/>
  <c r="D411" i="4"/>
  <c r="C411" i="4"/>
  <c r="B411" i="4"/>
  <c r="A411" i="4"/>
  <c r="P410" i="4"/>
  <c r="O410" i="4"/>
  <c r="N410" i="4"/>
  <c r="M410" i="4"/>
  <c r="L410" i="4"/>
  <c r="K410" i="4"/>
  <c r="J410" i="4"/>
  <c r="I410" i="4"/>
  <c r="H410" i="4"/>
  <c r="G410" i="4"/>
  <c r="F410" i="4"/>
  <c r="E410" i="4"/>
  <c r="D410" i="4"/>
  <c r="C410" i="4"/>
  <c r="B410" i="4"/>
  <c r="A410" i="4"/>
  <c r="P409" i="4"/>
  <c r="O409" i="4"/>
  <c r="N409" i="4"/>
  <c r="M409" i="4"/>
  <c r="L409" i="4"/>
  <c r="K409" i="4"/>
  <c r="J409" i="4"/>
  <c r="I409" i="4"/>
  <c r="H409" i="4"/>
  <c r="G409" i="4"/>
  <c r="F409" i="4"/>
  <c r="E409" i="4"/>
  <c r="D409" i="4"/>
  <c r="C409" i="4"/>
  <c r="B409" i="4"/>
  <c r="A409" i="4"/>
  <c r="P408" i="4"/>
  <c r="O408" i="4"/>
  <c r="N408" i="4"/>
  <c r="M408" i="4"/>
  <c r="L408" i="4"/>
  <c r="K408" i="4"/>
  <c r="J408" i="4"/>
  <c r="I408" i="4"/>
  <c r="H408" i="4"/>
  <c r="G408" i="4"/>
  <c r="F408" i="4"/>
  <c r="E408" i="4"/>
  <c r="D408" i="4"/>
  <c r="C408" i="4"/>
  <c r="B408" i="4"/>
  <c r="A408" i="4"/>
  <c r="P407" i="4"/>
  <c r="O407" i="4"/>
  <c r="N407" i="4"/>
  <c r="M407" i="4"/>
  <c r="L407" i="4"/>
  <c r="K407" i="4"/>
  <c r="J407" i="4"/>
  <c r="I407" i="4"/>
  <c r="H407" i="4"/>
  <c r="G407" i="4"/>
  <c r="F407" i="4"/>
  <c r="E407" i="4"/>
  <c r="D407" i="4"/>
  <c r="C407" i="4"/>
  <c r="B407" i="4"/>
  <c r="A407" i="4"/>
  <c r="P406" i="4"/>
  <c r="O406" i="4"/>
  <c r="N406" i="4"/>
  <c r="M406" i="4"/>
  <c r="L406" i="4"/>
  <c r="K406" i="4"/>
  <c r="J406" i="4"/>
  <c r="I406" i="4"/>
  <c r="H406" i="4"/>
  <c r="G406" i="4"/>
  <c r="F406" i="4"/>
  <c r="E406" i="4"/>
  <c r="D406" i="4"/>
  <c r="C406" i="4"/>
  <c r="B406" i="4"/>
  <c r="A406" i="4"/>
  <c r="P405" i="4"/>
  <c r="O405" i="4"/>
  <c r="N405" i="4"/>
  <c r="M405" i="4"/>
  <c r="L405" i="4"/>
  <c r="K405" i="4"/>
  <c r="J405" i="4"/>
  <c r="I405" i="4"/>
  <c r="H405" i="4"/>
  <c r="G405" i="4"/>
  <c r="F405" i="4"/>
  <c r="E405" i="4"/>
  <c r="D405" i="4"/>
  <c r="C405" i="4"/>
  <c r="B405" i="4"/>
  <c r="A405" i="4"/>
  <c r="P404" i="4"/>
  <c r="O404" i="4"/>
  <c r="N404" i="4"/>
  <c r="M404" i="4"/>
  <c r="L404" i="4"/>
  <c r="K404" i="4"/>
  <c r="J404" i="4"/>
  <c r="I404" i="4"/>
  <c r="H404" i="4"/>
  <c r="G404" i="4"/>
  <c r="F404" i="4"/>
  <c r="E404" i="4"/>
  <c r="D404" i="4"/>
  <c r="C404" i="4"/>
  <c r="B404" i="4"/>
  <c r="A404" i="4"/>
  <c r="P403" i="4"/>
  <c r="O403" i="4"/>
  <c r="N403" i="4"/>
  <c r="M403" i="4"/>
  <c r="L403" i="4"/>
  <c r="K403" i="4"/>
  <c r="J403" i="4"/>
  <c r="I403" i="4"/>
  <c r="H403" i="4"/>
  <c r="G403" i="4"/>
  <c r="F403" i="4"/>
  <c r="E403" i="4"/>
  <c r="D403" i="4"/>
  <c r="C403" i="4"/>
  <c r="B403" i="4"/>
  <c r="A403" i="4"/>
  <c r="P402" i="4"/>
  <c r="O402" i="4"/>
  <c r="N402" i="4"/>
  <c r="M402" i="4"/>
  <c r="L402" i="4"/>
  <c r="K402" i="4"/>
  <c r="J402" i="4"/>
  <c r="I402" i="4"/>
  <c r="H402" i="4"/>
  <c r="G402" i="4"/>
  <c r="F402" i="4"/>
  <c r="E402" i="4"/>
  <c r="D402" i="4"/>
  <c r="C402" i="4"/>
  <c r="B402" i="4"/>
  <c r="A402" i="4"/>
  <c r="P401" i="4"/>
  <c r="O401" i="4"/>
  <c r="N401" i="4"/>
  <c r="M401" i="4"/>
  <c r="L401" i="4"/>
  <c r="K401" i="4"/>
  <c r="J401" i="4"/>
  <c r="I401" i="4"/>
  <c r="H401" i="4"/>
  <c r="G401" i="4"/>
  <c r="F401" i="4"/>
  <c r="E401" i="4"/>
  <c r="D401" i="4"/>
  <c r="C401" i="4"/>
  <c r="B401" i="4"/>
  <c r="A401" i="4"/>
  <c r="P400" i="4"/>
  <c r="O400" i="4"/>
  <c r="N400" i="4"/>
  <c r="M400" i="4"/>
  <c r="L400" i="4"/>
  <c r="K400" i="4"/>
  <c r="J400" i="4"/>
  <c r="I400" i="4"/>
  <c r="H400" i="4"/>
  <c r="G400" i="4"/>
  <c r="F400" i="4"/>
  <c r="E400" i="4"/>
  <c r="D400" i="4"/>
  <c r="C400" i="4"/>
  <c r="B400" i="4"/>
  <c r="A400" i="4"/>
  <c r="P399" i="4"/>
  <c r="O399" i="4"/>
  <c r="N399" i="4"/>
  <c r="M399" i="4"/>
  <c r="L399" i="4"/>
  <c r="K399" i="4"/>
  <c r="J399" i="4"/>
  <c r="I399" i="4"/>
  <c r="H399" i="4"/>
  <c r="G399" i="4"/>
  <c r="F399" i="4"/>
  <c r="E399" i="4"/>
  <c r="D399" i="4"/>
  <c r="C399" i="4"/>
  <c r="B399" i="4"/>
  <c r="A399" i="4"/>
  <c r="P398" i="4"/>
  <c r="O398" i="4"/>
  <c r="N398" i="4"/>
  <c r="M398" i="4"/>
  <c r="L398" i="4"/>
  <c r="K398" i="4"/>
  <c r="J398" i="4"/>
  <c r="I398" i="4"/>
  <c r="H398" i="4"/>
  <c r="G398" i="4"/>
  <c r="F398" i="4"/>
  <c r="E398" i="4"/>
  <c r="D398" i="4"/>
  <c r="C398" i="4"/>
  <c r="B398" i="4"/>
  <c r="A398" i="4"/>
  <c r="P397" i="4"/>
  <c r="O397" i="4"/>
  <c r="N397" i="4"/>
  <c r="M397" i="4"/>
  <c r="L397" i="4"/>
  <c r="K397" i="4"/>
  <c r="J397" i="4"/>
  <c r="I397" i="4"/>
  <c r="H397" i="4"/>
  <c r="G397" i="4"/>
  <c r="F397" i="4"/>
  <c r="E397" i="4"/>
  <c r="D397" i="4"/>
  <c r="C397" i="4"/>
  <c r="B397" i="4"/>
  <c r="A397" i="4"/>
  <c r="P396" i="4"/>
  <c r="O396" i="4"/>
  <c r="N396" i="4"/>
  <c r="M396" i="4"/>
  <c r="L396" i="4"/>
  <c r="K396" i="4"/>
  <c r="J396" i="4"/>
  <c r="I396" i="4"/>
  <c r="H396" i="4"/>
  <c r="G396" i="4"/>
  <c r="F396" i="4"/>
  <c r="E396" i="4"/>
  <c r="D396" i="4"/>
  <c r="C396" i="4"/>
  <c r="B396" i="4"/>
  <c r="A396" i="4"/>
  <c r="P395" i="4"/>
  <c r="O395" i="4"/>
  <c r="N395" i="4"/>
  <c r="M395" i="4"/>
  <c r="L395" i="4"/>
  <c r="K395" i="4"/>
  <c r="J395" i="4"/>
  <c r="I395" i="4"/>
  <c r="H395" i="4"/>
  <c r="G395" i="4"/>
  <c r="F395" i="4"/>
  <c r="E395" i="4"/>
  <c r="D395" i="4"/>
  <c r="C395" i="4"/>
  <c r="B395" i="4"/>
  <c r="A395" i="4"/>
  <c r="P394" i="4"/>
  <c r="O394" i="4"/>
  <c r="N394" i="4"/>
  <c r="M394" i="4"/>
  <c r="L394" i="4"/>
  <c r="K394" i="4"/>
  <c r="J394" i="4"/>
  <c r="I394" i="4"/>
  <c r="H394" i="4"/>
  <c r="G394" i="4"/>
  <c r="F394" i="4"/>
  <c r="E394" i="4"/>
  <c r="D394" i="4"/>
  <c r="C394" i="4"/>
  <c r="B394" i="4"/>
  <c r="A394" i="4"/>
  <c r="P393" i="4"/>
  <c r="O393" i="4"/>
  <c r="N393" i="4"/>
  <c r="M393" i="4"/>
  <c r="L393" i="4"/>
  <c r="K393" i="4"/>
  <c r="J393" i="4"/>
  <c r="I393" i="4"/>
  <c r="H393" i="4"/>
  <c r="G393" i="4"/>
  <c r="F393" i="4"/>
  <c r="E393" i="4"/>
  <c r="D393" i="4"/>
  <c r="C393" i="4"/>
  <c r="B393" i="4"/>
  <c r="A393" i="4"/>
  <c r="P392" i="4"/>
  <c r="O392" i="4"/>
  <c r="N392" i="4"/>
  <c r="M392" i="4"/>
  <c r="L392" i="4"/>
  <c r="K392" i="4"/>
  <c r="J392" i="4"/>
  <c r="I392" i="4"/>
  <c r="H392" i="4"/>
  <c r="G392" i="4"/>
  <c r="F392" i="4"/>
  <c r="E392" i="4"/>
  <c r="D392" i="4"/>
  <c r="C392" i="4"/>
  <c r="B392" i="4"/>
  <c r="A392" i="4"/>
  <c r="P391" i="4"/>
  <c r="O391" i="4"/>
  <c r="N391" i="4"/>
  <c r="M391" i="4"/>
  <c r="L391" i="4"/>
  <c r="K391" i="4"/>
  <c r="J391" i="4"/>
  <c r="I391" i="4"/>
  <c r="H391" i="4"/>
  <c r="G391" i="4"/>
  <c r="F391" i="4"/>
  <c r="E391" i="4"/>
  <c r="D391" i="4"/>
  <c r="C391" i="4"/>
  <c r="B391" i="4"/>
  <c r="A391" i="4"/>
  <c r="P390" i="4"/>
  <c r="O390" i="4"/>
  <c r="N390" i="4"/>
  <c r="M390" i="4"/>
  <c r="L390" i="4"/>
  <c r="K390" i="4"/>
  <c r="J390" i="4"/>
  <c r="I390" i="4"/>
  <c r="H390" i="4"/>
  <c r="G390" i="4"/>
  <c r="F390" i="4"/>
  <c r="E390" i="4"/>
  <c r="D390" i="4"/>
  <c r="C390" i="4"/>
  <c r="B390" i="4"/>
  <c r="A390" i="4"/>
  <c r="P389" i="4"/>
  <c r="O389" i="4"/>
  <c r="N389" i="4"/>
  <c r="M389" i="4"/>
  <c r="L389" i="4"/>
  <c r="K389" i="4"/>
  <c r="J389" i="4"/>
  <c r="I389" i="4"/>
  <c r="H389" i="4"/>
  <c r="G389" i="4"/>
  <c r="F389" i="4"/>
  <c r="E389" i="4"/>
  <c r="D389" i="4"/>
  <c r="C389" i="4"/>
  <c r="B389" i="4"/>
  <c r="A389" i="4"/>
  <c r="P388" i="4"/>
  <c r="O388" i="4"/>
  <c r="N388" i="4"/>
  <c r="M388" i="4"/>
  <c r="L388" i="4"/>
  <c r="K388" i="4"/>
  <c r="J388" i="4"/>
  <c r="I388" i="4"/>
  <c r="H388" i="4"/>
  <c r="G388" i="4"/>
  <c r="F388" i="4"/>
  <c r="E388" i="4"/>
  <c r="D388" i="4"/>
  <c r="C388" i="4"/>
  <c r="B388" i="4"/>
  <c r="A388" i="4"/>
  <c r="P387" i="4"/>
  <c r="O387" i="4"/>
  <c r="N387" i="4"/>
  <c r="M387" i="4"/>
  <c r="L387" i="4"/>
  <c r="K387" i="4"/>
  <c r="J387" i="4"/>
  <c r="I387" i="4"/>
  <c r="H387" i="4"/>
  <c r="G387" i="4"/>
  <c r="F387" i="4"/>
  <c r="E387" i="4"/>
  <c r="D387" i="4"/>
  <c r="C387" i="4"/>
  <c r="B387" i="4"/>
  <c r="A387" i="4"/>
  <c r="P386" i="4"/>
  <c r="O386" i="4"/>
  <c r="N386" i="4"/>
  <c r="M386" i="4"/>
  <c r="L386" i="4"/>
  <c r="K386" i="4"/>
  <c r="J386" i="4"/>
  <c r="I386" i="4"/>
  <c r="H386" i="4"/>
  <c r="G386" i="4"/>
  <c r="F386" i="4"/>
  <c r="E386" i="4"/>
  <c r="D386" i="4"/>
  <c r="C386" i="4"/>
  <c r="B386" i="4"/>
  <c r="A386" i="4"/>
  <c r="P385" i="4"/>
  <c r="O385" i="4"/>
  <c r="N385" i="4"/>
  <c r="M385" i="4"/>
  <c r="L385" i="4"/>
  <c r="K385" i="4"/>
  <c r="J385" i="4"/>
  <c r="I385" i="4"/>
  <c r="H385" i="4"/>
  <c r="G385" i="4"/>
  <c r="F385" i="4"/>
  <c r="E385" i="4"/>
  <c r="D385" i="4"/>
  <c r="C385" i="4"/>
  <c r="B385" i="4"/>
  <c r="A385" i="4"/>
  <c r="P384" i="4"/>
  <c r="O384" i="4"/>
  <c r="N384" i="4"/>
  <c r="M384" i="4"/>
  <c r="L384" i="4"/>
  <c r="K384" i="4"/>
  <c r="J384" i="4"/>
  <c r="I384" i="4"/>
  <c r="H384" i="4"/>
  <c r="G384" i="4"/>
  <c r="F384" i="4"/>
  <c r="E384" i="4"/>
  <c r="D384" i="4"/>
  <c r="C384" i="4"/>
  <c r="B384" i="4"/>
  <c r="A384" i="4"/>
  <c r="P383" i="4"/>
  <c r="O383" i="4"/>
  <c r="N383" i="4"/>
  <c r="M383" i="4"/>
  <c r="L383" i="4"/>
  <c r="K383" i="4"/>
  <c r="J383" i="4"/>
  <c r="I383" i="4"/>
  <c r="H383" i="4"/>
  <c r="G383" i="4"/>
  <c r="F383" i="4"/>
  <c r="E383" i="4"/>
  <c r="D383" i="4"/>
  <c r="C383" i="4"/>
  <c r="B383" i="4"/>
  <c r="A383" i="4"/>
  <c r="P382" i="4"/>
  <c r="O382" i="4"/>
  <c r="N382" i="4"/>
  <c r="M382" i="4"/>
  <c r="L382" i="4"/>
  <c r="K382" i="4"/>
  <c r="J382" i="4"/>
  <c r="I382" i="4"/>
  <c r="H382" i="4"/>
  <c r="G382" i="4"/>
  <c r="F382" i="4"/>
  <c r="E382" i="4"/>
  <c r="D382" i="4"/>
  <c r="C382" i="4"/>
  <c r="B382" i="4"/>
  <c r="A382" i="4"/>
  <c r="P381" i="4"/>
  <c r="O381" i="4"/>
  <c r="N381" i="4"/>
  <c r="M381" i="4"/>
  <c r="L381" i="4"/>
  <c r="K381" i="4"/>
  <c r="J381" i="4"/>
  <c r="I381" i="4"/>
  <c r="H381" i="4"/>
  <c r="G381" i="4"/>
  <c r="F381" i="4"/>
  <c r="E381" i="4"/>
  <c r="D381" i="4"/>
  <c r="C381" i="4"/>
  <c r="B381" i="4"/>
  <c r="A381" i="4"/>
  <c r="P380" i="4"/>
  <c r="O380" i="4"/>
  <c r="N380" i="4"/>
  <c r="M380" i="4"/>
  <c r="L380" i="4"/>
  <c r="K380" i="4"/>
  <c r="J380" i="4"/>
  <c r="I380" i="4"/>
  <c r="H380" i="4"/>
  <c r="G380" i="4"/>
  <c r="F380" i="4"/>
  <c r="E380" i="4"/>
  <c r="D380" i="4"/>
  <c r="C380" i="4"/>
  <c r="B380" i="4"/>
  <c r="A380" i="4"/>
  <c r="P379" i="4"/>
  <c r="O379" i="4"/>
  <c r="N379" i="4"/>
  <c r="M379" i="4"/>
  <c r="L379" i="4"/>
  <c r="K379" i="4"/>
  <c r="J379" i="4"/>
  <c r="I379" i="4"/>
  <c r="H379" i="4"/>
  <c r="G379" i="4"/>
  <c r="F379" i="4"/>
  <c r="E379" i="4"/>
  <c r="D379" i="4"/>
  <c r="C379" i="4"/>
  <c r="B379" i="4"/>
  <c r="A379" i="4"/>
  <c r="P378" i="4"/>
  <c r="O378" i="4"/>
  <c r="N378" i="4"/>
  <c r="M378" i="4"/>
  <c r="L378" i="4"/>
  <c r="K378" i="4"/>
  <c r="J378" i="4"/>
  <c r="I378" i="4"/>
  <c r="H378" i="4"/>
  <c r="G378" i="4"/>
  <c r="F378" i="4"/>
  <c r="E378" i="4"/>
  <c r="D378" i="4"/>
  <c r="C378" i="4"/>
  <c r="B378" i="4"/>
  <c r="A378" i="4"/>
  <c r="P377" i="4"/>
  <c r="O377" i="4"/>
  <c r="N377" i="4"/>
  <c r="M377" i="4"/>
  <c r="L377" i="4"/>
  <c r="K377" i="4"/>
  <c r="J377" i="4"/>
  <c r="I377" i="4"/>
  <c r="H377" i="4"/>
  <c r="G377" i="4"/>
  <c r="F377" i="4"/>
  <c r="E377" i="4"/>
  <c r="D377" i="4"/>
  <c r="C377" i="4"/>
  <c r="B377" i="4"/>
  <c r="A377" i="4"/>
  <c r="P376" i="4"/>
  <c r="O376" i="4"/>
  <c r="N376" i="4"/>
  <c r="M376" i="4"/>
  <c r="L376" i="4"/>
  <c r="K376" i="4"/>
  <c r="J376" i="4"/>
  <c r="I376" i="4"/>
  <c r="H376" i="4"/>
  <c r="G376" i="4"/>
  <c r="F376" i="4"/>
  <c r="E376" i="4"/>
  <c r="D376" i="4"/>
  <c r="C376" i="4"/>
  <c r="B376" i="4"/>
  <c r="A376" i="4"/>
  <c r="P375" i="4"/>
  <c r="O375" i="4"/>
  <c r="N375" i="4"/>
  <c r="M375" i="4"/>
  <c r="L375" i="4"/>
  <c r="K375" i="4"/>
  <c r="J375" i="4"/>
  <c r="I375" i="4"/>
  <c r="H375" i="4"/>
  <c r="G375" i="4"/>
  <c r="F375" i="4"/>
  <c r="E375" i="4"/>
  <c r="D375" i="4"/>
  <c r="C375" i="4"/>
  <c r="B375" i="4"/>
  <c r="A375" i="4"/>
  <c r="P374" i="4"/>
  <c r="O374" i="4"/>
  <c r="N374" i="4"/>
  <c r="M374" i="4"/>
  <c r="L374" i="4"/>
  <c r="K374" i="4"/>
  <c r="J374" i="4"/>
  <c r="I374" i="4"/>
  <c r="H374" i="4"/>
  <c r="G374" i="4"/>
  <c r="F374" i="4"/>
  <c r="E374" i="4"/>
  <c r="D374" i="4"/>
  <c r="C374" i="4"/>
  <c r="B374" i="4"/>
  <c r="A374" i="4"/>
  <c r="P373" i="4"/>
  <c r="O373" i="4"/>
  <c r="N373" i="4"/>
  <c r="M373" i="4"/>
  <c r="L373" i="4"/>
  <c r="K373" i="4"/>
  <c r="J373" i="4"/>
  <c r="I373" i="4"/>
  <c r="H373" i="4"/>
  <c r="G373" i="4"/>
  <c r="F373" i="4"/>
  <c r="E373" i="4"/>
  <c r="D373" i="4"/>
  <c r="C373" i="4"/>
  <c r="B373" i="4"/>
  <c r="A373" i="4"/>
  <c r="P372" i="4"/>
  <c r="O372" i="4"/>
  <c r="N372" i="4"/>
  <c r="M372" i="4"/>
  <c r="L372" i="4"/>
  <c r="K372" i="4"/>
  <c r="J372" i="4"/>
  <c r="I372" i="4"/>
  <c r="H372" i="4"/>
  <c r="G372" i="4"/>
  <c r="F372" i="4"/>
  <c r="E372" i="4"/>
  <c r="D372" i="4"/>
  <c r="C372" i="4"/>
  <c r="B372" i="4"/>
  <c r="A372" i="4"/>
  <c r="P371" i="4"/>
  <c r="O371" i="4"/>
  <c r="N371" i="4"/>
  <c r="M371" i="4"/>
  <c r="L371" i="4"/>
  <c r="K371" i="4"/>
  <c r="J371" i="4"/>
  <c r="I371" i="4"/>
  <c r="H371" i="4"/>
  <c r="G371" i="4"/>
  <c r="F371" i="4"/>
  <c r="E371" i="4"/>
  <c r="D371" i="4"/>
  <c r="C371" i="4"/>
  <c r="B371" i="4"/>
  <c r="A371" i="4"/>
  <c r="P370" i="4"/>
  <c r="O370" i="4"/>
  <c r="N370" i="4"/>
  <c r="M370" i="4"/>
  <c r="L370" i="4"/>
  <c r="K370" i="4"/>
  <c r="J370" i="4"/>
  <c r="I370" i="4"/>
  <c r="H370" i="4"/>
  <c r="G370" i="4"/>
  <c r="F370" i="4"/>
  <c r="E370" i="4"/>
  <c r="D370" i="4"/>
  <c r="C370" i="4"/>
  <c r="B370" i="4"/>
  <c r="A370" i="4"/>
  <c r="P369" i="4"/>
  <c r="O369" i="4"/>
  <c r="N369" i="4"/>
  <c r="M369" i="4"/>
  <c r="L369" i="4"/>
  <c r="K369" i="4"/>
  <c r="J369" i="4"/>
  <c r="I369" i="4"/>
  <c r="H369" i="4"/>
  <c r="G369" i="4"/>
  <c r="F369" i="4"/>
  <c r="E369" i="4"/>
  <c r="D369" i="4"/>
  <c r="C369" i="4"/>
  <c r="B369" i="4"/>
  <c r="A369" i="4"/>
  <c r="P368" i="4"/>
  <c r="O368" i="4"/>
  <c r="N368" i="4"/>
  <c r="M368" i="4"/>
  <c r="L368" i="4"/>
  <c r="K368" i="4"/>
  <c r="J368" i="4"/>
  <c r="I368" i="4"/>
  <c r="H368" i="4"/>
  <c r="G368" i="4"/>
  <c r="F368" i="4"/>
  <c r="E368" i="4"/>
  <c r="D368" i="4"/>
  <c r="C368" i="4"/>
  <c r="B368" i="4"/>
  <c r="A368" i="4"/>
  <c r="P367" i="4"/>
  <c r="O367" i="4"/>
  <c r="N367" i="4"/>
  <c r="M367" i="4"/>
  <c r="L367" i="4"/>
  <c r="K367" i="4"/>
  <c r="J367" i="4"/>
  <c r="I367" i="4"/>
  <c r="H367" i="4"/>
  <c r="G367" i="4"/>
  <c r="F367" i="4"/>
  <c r="E367" i="4"/>
  <c r="D367" i="4"/>
  <c r="C367" i="4"/>
  <c r="B367" i="4"/>
  <c r="A367" i="4"/>
  <c r="P366" i="4"/>
  <c r="O366" i="4"/>
  <c r="N366" i="4"/>
  <c r="M366" i="4"/>
  <c r="L366" i="4"/>
  <c r="K366" i="4"/>
  <c r="J366" i="4"/>
  <c r="I366" i="4"/>
  <c r="H366" i="4"/>
  <c r="G366" i="4"/>
  <c r="F366" i="4"/>
  <c r="E366" i="4"/>
  <c r="D366" i="4"/>
  <c r="C366" i="4"/>
  <c r="B366" i="4"/>
  <c r="A366" i="4"/>
  <c r="P365" i="4"/>
  <c r="O365" i="4"/>
  <c r="N365" i="4"/>
  <c r="M365" i="4"/>
  <c r="L365" i="4"/>
  <c r="K365" i="4"/>
  <c r="J365" i="4"/>
  <c r="I365" i="4"/>
  <c r="H365" i="4"/>
  <c r="G365" i="4"/>
  <c r="F365" i="4"/>
  <c r="E365" i="4"/>
  <c r="D365" i="4"/>
  <c r="C365" i="4"/>
  <c r="B365" i="4"/>
  <c r="A365" i="4"/>
  <c r="P364" i="4"/>
  <c r="O364" i="4"/>
  <c r="N364" i="4"/>
  <c r="M364" i="4"/>
  <c r="L364" i="4"/>
  <c r="K364" i="4"/>
  <c r="J364" i="4"/>
  <c r="I364" i="4"/>
  <c r="H364" i="4"/>
  <c r="G364" i="4"/>
  <c r="F364" i="4"/>
  <c r="E364" i="4"/>
  <c r="D364" i="4"/>
  <c r="C364" i="4"/>
  <c r="B364" i="4"/>
  <c r="A364" i="4"/>
  <c r="P363" i="4"/>
  <c r="O363" i="4"/>
  <c r="N363" i="4"/>
  <c r="M363" i="4"/>
  <c r="L363" i="4"/>
  <c r="K363" i="4"/>
  <c r="J363" i="4"/>
  <c r="I363" i="4"/>
  <c r="H363" i="4"/>
  <c r="G363" i="4"/>
  <c r="F363" i="4"/>
  <c r="E363" i="4"/>
  <c r="D363" i="4"/>
  <c r="C363" i="4"/>
  <c r="B363" i="4"/>
  <c r="A363" i="4"/>
  <c r="P362" i="4"/>
  <c r="O362" i="4"/>
  <c r="N362" i="4"/>
  <c r="M362" i="4"/>
  <c r="L362" i="4"/>
  <c r="K362" i="4"/>
  <c r="J362" i="4"/>
  <c r="I362" i="4"/>
  <c r="H362" i="4"/>
  <c r="G362" i="4"/>
  <c r="F362" i="4"/>
  <c r="E362" i="4"/>
  <c r="D362" i="4"/>
  <c r="C362" i="4"/>
  <c r="B362" i="4"/>
  <c r="A362" i="4"/>
  <c r="P361" i="4"/>
  <c r="O361" i="4"/>
  <c r="N361" i="4"/>
  <c r="M361" i="4"/>
  <c r="L361" i="4"/>
  <c r="K361" i="4"/>
  <c r="J361" i="4"/>
  <c r="I361" i="4"/>
  <c r="H361" i="4"/>
  <c r="G361" i="4"/>
  <c r="F361" i="4"/>
  <c r="E361" i="4"/>
  <c r="D361" i="4"/>
  <c r="C361" i="4"/>
  <c r="B361" i="4"/>
  <c r="A361" i="4"/>
  <c r="P360" i="4"/>
  <c r="O360" i="4"/>
  <c r="N360" i="4"/>
  <c r="M360" i="4"/>
  <c r="L360" i="4"/>
  <c r="K360" i="4"/>
  <c r="J360" i="4"/>
  <c r="I360" i="4"/>
  <c r="H360" i="4"/>
  <c r="G360" i="4"/>
  <c r="F360" i="4"/>
  <c r="E360" i="4"/>
  <c r="D360" i="4"/>
  <c r="C360" i="4"/>
  <c r="B360" i="4"/>
  <c r="A360" i="4"/>
  <c r="P359" i="4"/>
  <c r="O359" i="4"/>
  <c r="N359" i="4"/>
  <c r="M359" i="4"/>
  <c r="L359" i="4"/>
  <c r="K359" i="4"/>
  <c r="J359" i="4"/>
  <c r="I359" i="4"/>
  <c r="H359" i="4"/>
  <c r="G359" i="4"/>
  <c r="F359" i="4"/>
  <c r="E359" i="4"/>
  <c r="D359" i="4"/>
  <c r="C359" i="4"/>
  <c r="B359" i="4"/>
  <c r="A359" i="4"/>
  <c r="P358" i="4"/>
  <c r="O358" i="4"/>
  <c r="N358" i="4"/>
  <c r="M358" i="4"/>
  <c r="L358" i="4"/>
  <c r="K358" i="4"/>
  <c r="J358" i="4"/>
  <c r="I358" i="4"/>
  <c r="H358" i="4"/>
  <c r="G358" i="4"/>
  <c r="F358" i="4"/>
  <c r="E358" i="4"/>
  <c r="D358" i="4"/>
  <c r="C358" i="4"/>
  <c r="B358" i="4"/>
  <c r="A358" i="4"/>
  <c r="P357" i="4"/>
  <c r="O357" i="4"/>
  <c r="N357" i="4"/>
  <c r="M357" i="4"/>
  <c r="L357" i="4"/>
  <c r="K357" i="4"/>
  <c r="J357" i="4"/>
  <c r="I357" i="4"/>
  <c r="H357" i="4"/>
  <c r="G357" i="4"/>
  <c r="F357" i="4"/>
  <c r="E357" i="4"/>
  <c r="D357" i="4"/>
  <c r="C357" i="4"/>
  <c r="B357" i="4"/>
  <c r="A357" i="4"/>
  <c r="P356" i="4"/>
  <c r="O356" i="4"/>
  <c r="N356" i="4"/>
  <c r="M356" i="4"/>
  <c r="L356" i="4"/>
  <c r="K356" i="4"/>
  <c r="J356" i="4"/>
  <c r="I356" i="4"/>
  <c r="H356" i="4"/>
  <c r="G356" i="4"/>
  <c r="F356" i="4"/>
  <c r="E356" i="4"/>
  <c r="D356" i="4"/>
  <c r="C356" i="4"/>
  <c r="B356" i="4"/>
  <c r="A356" i="4"/>
  <c r="P355" i="4"/>
  <c r="O355" i="4"/>
  <c r="N355" i="4"/>
  <c r="M355" i="4"/>
  <c r="L355" i="4"/>
  <c r="K355" i="4"/>
  <c r="J355" i="4"/>
  <c r="I355" i="4"/>
  <c r="H355" i="4"/>
  <c r="G355" i="4"/>
  <c r="F355" i="4"/>
  <c r="E355" i="4"/>
  <c r="D355" i="4"/>
  <c r="C355" i="4"/>
  <c r="B355" i="4"/>
  <c r="A355" i="4"/>
  <c r="P354" i="4"/>
  <c r="O354" i="4"/>
  <c r="N354" i="4"/>
  <c r="M354" i="4"/>
  <c r="L354" i="4"/>
  <c r="K354" i="4"/>
  <c r="J354" i="4"/>
  <c r="I354" i="4"/>
  <c r="H354" i="4"/>
  <c r="G354" i="4"/>
  <c r="F354" i="4"/>
  <c r="E354" i="4"/>
  <c r="D354" i="4"/>
  <c r="C354" i="4"/>
  <c r="B354" i="4"/>
  <c r="A354" i="4"/>
  <c r="P353" i="4"/>
  <c r="O353" i="4"/>
  <c r="N353" i="4"/>
  <c r="M353" i="4"/>
  <c r="L353" i="4"/>
  <c r="K353" i="4"/>
  <c r="J353" i="4"/>
  <c r="I353" i="4"/>
  <c r="H353" i="4"/>
  <c r="G353" i="4"/>
  <c r="F353" i="4"/>
  <c r="E353" i="4"/>
  <c r="D353" i="4"/>
  <c r="C353" i="4"/>
  <c r="B353" i="4"/>
  <c r="A353" i="4"/>
  <c r="P352" i="4"/>
  <c r="O352" i="4"/>
  <c r="N352" i="4"/>
  <c r="M352" i="4"/>
  <c r="L352" i="4"/>
  <c r="K352" i="4"/>
  <c r="J352" i="4"/>
  <c r="I352" i="4"/>
  <c r="H352" i="4"/>
  <c r="G352" i="4"/>
  <c r="F352" i="4"/>
  <c r="E352" i="4"/>
  <c r="D352" i="4"/>
  <c r="C352" i="4"/>
  <c r="B352" i="4"/>
  <c r="A352" i="4"/>
  <c r="P351" i="4"/>
  <c r="O351" i="4"/>
  <c r="N351" i="4"/>
  <c r="M351" i="4"/>
  <c r="L351" i="4"/>
  <c r="K351" i="4"/>
  <c r="J351" i="4"/>
  <c r="I351" i="4"/>
  <c r="H351" i="4"/>
  <c r="G351" i="4"/>
  <c r="F351" i="4"/>
  <c r="E351" i="4"/>
  <c r="D351" i="4"/>
  <c r="C351" i="4"/>
  <c r="B351" i="4"/>
  <c r="A351" i="4"/>
  <c r="P350" i="4"/>
  <c r="O350" i="4"/>
  <c r="N350" i="4"/>
  <c r="M350" i="4"/>
  <c r="L350" i="4"/>
  <c r="K350" i="4"/>
  <c r="J350" i="4"/>
  <c r="I350" i="4"/>
  <c r="H350" i="4"/>
  <c r="G350" i="4"/>
  <c r="F350" i="4"/>
  <c r="E350" i="4"/>
  <c r="D350" i="4"/>
  <c r="C350" i="4"/>
  <c r="B350" i="4"/>
  <c r="A350" i="4"/>
  <c r="P349" i="4"/>
  <c r="O349" i="4"/>
  <c r="N349" i="4"/>
  <c r="M349" i="4"/>
  <c r="L349" i="4"/>
  <c r="K349" i="4"/>
  <c r="J349" i="4"/>
  <c r="I349" i="4"/>
  <c r="H349" i="4"/>
  <c r="G349" i="4"/>
  <c r="F349" i="4"/>
  <c r="E349" i="4"/>
  <c r="D349" i="4"/>
  <c r="C349" i="4"/>
  <c r="B349" i="4"/>
  <c r="A349" i="4"/>
  <c r="P348" i="4"/>
  <c r="O348" i="4"/>
  <c r="N348" i="4"/>
  <c r="M348" i="4"/>
  <c r="L348" i="4"/>
  <c r="K348" i="4"/>
  <c r="J348" i="4"/>
  <c r="I348" i="4"/>
  <c r="H348" i="4"/>
  <c r="G348" i="4"/>
  <c r="F348" i="4"/>
  <c r="E348" i="4"/>
  <c r="D348" i="4"/>
  <c r="C348" i="4"/>
  <c r="B348" i="4"/>
  <c r="A348" i="4"/>
  <c r="P347" i="4"/>
  <c r="O347" i="4"/>
  <c r="N347" i="4"/>
  <c r="M347" i="4"/>
  <c r="L347" i="4"/>
  <c r="K347" i="4"/>
  <c r="J347" i="4"/>
  <c r="I347" i="4"/>
  <c r="H347" i="4"/>
  <c r="G347" i="4"/>
  <c r="F347" i="4"/>
  <c r="E347" i="4"/>
  <c r="D347" i="4"/>
  <c r="C347" i="4"/>
  <c r="B347" i="4"/>
  <c r="A347" i="4"/>
  <c r="P346" i="4"/>
  <c r="O346" i="4"/>
  <c r="N346" i="4"/>
  <c r="M346" i="4"/>
  <c r="L346" i="4"/>
  <c r="K346" i="4"/>
  <c r="J346" i="4"/>
  <c r="I346" i="4"/>
  <c r="H346" i="4"/>
  <c r="G346" i="4"/>
  <c r="F346" i="4"/>
  <c r="E346" i="4"/>
  <c r="D346" i="4"/>
  <c r="C346" i="4"/>
  <c r="B346" i="4"/>
  <c r="A346" i="4"/>
  <c r="P345" i="4"/>
  <c r="O345" i="4"/>
  <c r="N345" i="4"/>
  <c r="M345" i="4"/>
  <c r="L345" i="4"/>
  <c r="K345" i="4"/>
  <c r="J345" i="4"/>
  <c r="I345" i="4"/>
  <c r="H345" i="4"/>
  <c r="G345" i="4"/>
  <c r="F345" i="4"/>
  <c r="E345" i="4"/>
  <c r="D345" i="4"/>
  <c r="C345" i="4"/>
  <c r="B345" i="4"/>
  <c r="A345" i="4"/>
  <c r="P344" i="4"/>
  <c r="O344" i="4"/>
  <c r="N344" i="4"/>
  <c r="M344" i="4"/>
  <c r="L344" i="4"/>
  <c r="K344" i="4"/>
  <c r="J344" i="4"/>
  <c r="I344" i="4"/>
  <c r="H344" i="4"/>
  <c r="G344" i="4"/>
  <c r="F344" i="4"/>
  <c r="E344" i="4"/>
  <c r="D344" i="4"/>
  <c r="C344" i="4"/>
  <c r="B344" i="4"/>
  <c r="A344" i="4"/>
  <c r="P343" i="4"/>
  <c r="O343" i="4"/>
  <c r="N343" i="4"/>
  <c r="M343" i="4"/>
  <c r="L343" i="4"/>
  <c r="K343" i="4"/>
  <c r="J343" i="4"/>
  <c r="I343" i="4"/>
  <c r="H343" i="4"/>
  <c r="G343" i="4"/>
  <c r="F343" i="4"/>
  <c r="E343" i="4"/>
  <c r="D343" i="4"/>
  <c r="C343" i="4"/>
  <c r="B343" i="4"/>
  <c r="A343" i="4"/>
  <c r="P342" i="4"/>
  <c r="O342" i="4"/>
  <c r="N342" i="4"/>
  <c r="M342" i="4"/>
  <c r="L342" i="4"/>
  <c r="K342" i="4"/>
  <c r="J342" i="4"/>
  <c r="I342" i="4"/>
  <c r="H342" i="4"/>
  <c r="G342" i="4"/>
  <c r="F342" i="4"/>
  <c r="E342" i="4"/>
  <c r="D342" i="4"/>
  <c r="C342" i="4"/>
  <c r="B342" i="4"/>
  <c r="A342" i="4"/>
  <c r="P341" i="4"/>
  <c r="O341" i="4"/>
  <c r="N341" i="4"/>
  <c r="M341" i="4"/>
  <c r="L341" i="4"/>
  <c r="K341" i="4"/>
  <c r="J341" i="4"/>
  <c r="I341" i="4"/>
  <c r="H341" i="4"/>
  <c r="G341" i="4"/>
  <c r="F341" i="4"/>
  <c r="E341" i="4"/>
  <c r="D341" i="4"/>
  <c r="C341" i="4"/>
  <c r="B341" i="4"/>
  <c r="A341" i="4"/>
  <c r="P340" i="4"/>
  <c r="O340" i="4"/>
  <c r="N340" i="4"/>
  <c r="M340" i="4"/>
  <c r="L340" i="4"/>
  <c r="K340" i="4"/>
  <c r="J340" i="4"/>
  <c r="I340" i="4"/>
  <c r="H340" i="4"/>
  <c r="G340" i="4"/>
  <c r="F340" i="4"/>
  <c r="E340" i="4"/>
  <c r="D340" i="4"/>
  <c r="C340" i="4"/>
  <c r="B340" i="4"/>
  <c r="A340" i="4"/>
  <c r="P339" i="4"/>
  <c r="O339" i="4"/>
  <c r="N339" i="4"/>
  <c r="M339" i="4"/>
  <c r="L339" i="4"/>
  <c r="K339" i="4"/>
  <c r="J339" i="4"/>
  <c r="I339" i="4"/>
  <c r="H339" i="4"/>
  <c r="G339" i="4"/>
  <c r="F339" i="4"/>
  <c r="E339" i="4"/>
  <c r="D339" i="4"/>
  <c r="C339" i="4"/>
  <c r="B339" i="4"/>
  <c r="A339" i="4"/>
  <c r="P338" i="4"/>
  <c r="O338" i="4"/>
  <c r="N338" i="4"/>
  <c r="M338" i="4"/>
  <c r="L338" i="4"/>
  <c r="K338" i="4"/>
  <c r="J338" i="4"/>
  <c r="I338" i="4"/>
  <c r="H338" i="4"/>
  <c r="G338" i="4"/>
  <c r="F338" i="4"/>
  <c r="E338" i="4"/>
  <c r="D338" i="4"/>
  <c r="C338" i="4"/>
  <c r="B338" i="4"/>
  <c r="A338" i="4"/>
  <c r="P337" i="4"/>
  <c r="O337" i="4"/>
  <c r="N337" i="4"/>
  <c r="M337" i="4"/>
  <c r="L337" i="4"/>
  <c r="K337" i="4"/>
  <c r="J337" i="4"/>
  <c r="I337" i="4"/>
  <c r="H337" i="4"/>
  <c r="G337" i="4"/>
  <c r="F337" i="4"/>
  <c r="E337" i="4"/>
  <c r="D337" i="4"/>
  <c r="C337" i="4"/>
  <c r="B337" i="4"/>
  <c r="A337" i="4"/>
  <c r="P336" i="4"/>
  <c r="O336" i="4"/>
  <c r="N336" i="4"/>
  <c r="M336" i="4"/>
  <c r="L336" i="4"/>
  <c r="K336" i="4"/>
  <c r="J336" i="4"/>
  <c r="I336" i="4"/>
  <c r="H336" i="4"/>
  <c r="G336" i="4"/>
  <c r="F336" i="4"/>
  <c r="E336" i="4"/>
  <c r="D336" i="4"/>
  <c r="C336" i="4"/>
  <c r="B336" i="4"/>
  <c r="A336" i="4"/>
  <c r="P335" i="4"/>
  <c r="O335" i="4"/>
  <c r="N335" i="4"/>
  <c r="M335" i="4"/>
  <c r="L335" i="4"/>
  <c r="K335" i="4"/>
  <c r="J335" i="4"/>
  <c r="I335" i="4"/>
  <c r="H335" i="4"/>
  <c r="G335" i="4"/>
  <c r="F335" i="4"/>
  <c r="E335" i="4"/>
  <c r="D335" i="4"/>
  <c r="C335" i="4"/>
  <c r="B335" i="4"/>
  <c r="A335" i="4"/>
  <c r="P334" i="4"/>
  <c r="O334" i="4"/>
  <c r="N334" i="4"/>
  <c r="M334" i="4"/>
  <c r="L334" i="4"/>
  <c r="K334" i="4"/>
  <c r="J334" i="4"/>
  <c r="I334" i="4"/>
  <c r="H334" i="4"/>
  <c r="G334" i="4"/>
  <c r="F334" i="4"/>
  <c r="E334" i="4"/>
  <c r="D334" i="4"/>
  <c r="C334" i="4"/>
  <c r="B334" i="4"/>
  <c r="A334" i="4"/>
  <c r="P333" i="4"/>
  <c r="O333" i="4"/>
  <c r="N333" i="4"/>
  <c r="M333" i="4"/>
  <c r="L333" i="4"/>
  <c r="K333" i="4"/>
  <c r="J333" i="4"/>
  <c r="I333" i="4"/>
  <c r="H333" i="4"/>
  <c r="G333" i="4"/>
  <c r="F333" i="4"/>
  <c r="E333" i="4"/>
  <c r="D333" i="4"/>
  <c r="C333" i="4"/>
  <c r="B333" i="4"/>
  <c r="A333" i="4"/>
  <c r="P332" i="4"/>
  <c r="O332" i="4"/>
  <c r="N332" i="4"/>
  <c r="M332" i="4"/>
  <c r="L332" i="4"/>
  <c r="K332" i="4"/>
  <c r="J332" i="4"/>
  <c r="I332" i="4"/>
  <c r="H332" i="4"/>
  <c r="G332" i="4"/>
  <c r="F332" i="4"/>
  <c r="E332" i="4"/>
  <c r="D332" i="4"/>
  <c r="C332" i="4"/>
  <c r="B332" i="4"/>
  <c r="A332" i="4"/>
  <c r="P331" i="4"/>
  <c r="O331" i="4"/>
  <c r="N331" i="4"/>
  <c r="M331" i="4"/>
  <c r="L331" i="4"/>
  <c r="K331" i="4"/>
  <c r="J331" i="4"/>
  <c r="I331" i="4"/>
  <c r="H331" i="4"/>
  <c r="G331" i="4"/>
  <c r="F331" i="4"/>
  <c r="E331" i="4"/>
  <c r="D331" i="4"/>
  <c r="C331" i="4"/>
  <c r="B331" i="4"/>
  <c r="A331" i="4"/>
  <c r="P330" i="4"/>
  <c r="O330" i="4"/>
  <c r="N330" i="4"/>
  <c r="M330" i="4"/>
  <c r="L330" i="4"/>
  <c r="K330" i="4"/>
  <c r="J330" i="4"/>
  <c r="I330" i="4"/>
  <c r="H330" i="4"/>
  <c r="G330" i="4"/>
  <c r="F330" i="4"/>
  <c r="E330" i="4"/>
  <c r="D330" i="4"/>
  <c r="C330" i="4"/>
  <c r="B330" i="4"/>
  <c r="A330" i="4"/>
  <c r="P329" i="4"/>
  <c r="O329" i="4"/>
  <c r="N329" i="4"/>
  <c r="M329" i="4"/>
  <c r="L329" i="4"/>
  <c r="K329" i="4"/>
  <c r="J329" i="4"/>
  <c r="I329" i="4"/>
  <c r="H329" i="4"/>
  <c r="G329" i="4"/>
  <c r="F329" i="4"/>
  <c r="E329" i="4"/>
  <c r="D329" i="4"/>
  <c r="C329" i="4"/>
  <c r="B329" i="4"/>
  <c r="A329" i="4"/>
  <c r="P328" i="4"/>
  <c r="O328" i="4"/>
  <c r="N328" i="4"/>
  <c r="M328" i="4"/>
  <c r="L328" i="4"/>
  <c r="K328" i="4"/>
  <c r="J328" i="4"/>
  <c r="I328" i="4"/>
  <c r="H328" i="4"/>
  <c r="G328" i="4"/>
  <c r="F328" i="4"/>
  <c r="E328" i="4"/>
  <c r="D328" i="4"/>
  <c r="C328" i="4"/>
  <c r="B328" i="4"/>
  <c r="A328" i="4"/>
  <c r="P327" i="4"/>
  <c r="O327" i="4"/>
  <c r="N327" i="4"/>
  <c r="M327" i="4"/>
  <c r="L327" i="4"/>
  <c r="K327" i="4"/>
  <c r="J327" i="4"/>
  <c r="I327" i="4"/>
  <c r="H327" i="4"/>
  <c r="G327" i="4"/>
  <c r="F327" i="4"/>
  <c r="E327" i="4"/>
  <c r="D327" i="4"/>
  <c r="C327" i="4"/>
  <c r="B327" i="4"/>
  <c r="A327" i="4"/>
  <c r="P326" i="4"/>
  <c r="O326" i="4"/>
  <c r="N326" i="4"/>
  <c r="M326" i="4"/>
  <c r="L326" i="4"/>
  <c r="K326" i="4"/>
  <c r="J326" i="4"/>
  <c r="I326" i="4"/>
  <c r="H326" i="4"/>
  <c r="G326" i="4"/>
  <c r="F326" i="4"/>
  <c r="E326" i="4"/>
  <c r="D326" i="4"/>
  <c r="C326" i="4"/>
  <c r="B326" i="4"/>
  <c r="A326" i="4"/>
  <c r="P325" i="4"/>
  <c r="O325" i="4"/>
  <c r="N325" i="4"/>
  <c r="M325" i="4"/>
  <c r="L325" i="4"/>
  <c r="K325" i="4"/>
  <c r="J325" i="4"/>
  <c r="I325" i="4"/>
  <c r="H325" i="4"/>
  <c r="G325" i="4"/>
  <c r="F325" i="4"/>
  <c r="E325" i="4"/>
  <c r="D325" i="4"/>
  <c r="C325" i="4"/>
  <c r="B325" i="4"/>
  <c r="A325" i="4"/>
  <c r="P324" i="4"/>
  <c r="O324" i="4"/>
  <c r="N324" i="4"/>
  <c r="M324" i="4"/>
  <c r="L324" i="4"/>
  <c r="K324" i="4"/>
  <c r="J324" i="4"/>
  <c r="I324" i="4"/>
  <c r="H324" i="4"/>
  <c r="G324" i="4"/>
  <c r="F324" i="4"/>
  <c r="E324" i="4"/>
  <c r="D324" i="4"/>
  <c r="C324" i="4"/>
  <c r="B324" i="4"/>
  <c r="A324" i="4"/>
  <c r="P323" i="4"/>
  <c r="O323" i="4"/>
  <c r="N323" i="4"/>
  <c r="M323" i="4"/>
  <c r="L323" i="4"/>
  <c r="K323" i="4"/>
  <c r="J323" i="4"/>
  <c r="I323" i="4"/>
  <c r="H323" i="4"/>
  <c r="G323" i="4"/>
  <c r="F323" i="4"/>
  <c r="E323" i="4"/>
  <c r="D323" i="4"/>
  <c r="C323" i="4"/>
  <c r="B323" i="4"/>
  <c r="A323" i="4"/>
  <c r="P322" i="4"/>
  <c r="O322" i="4"/>
  <c r="N322" i="4"/>
  <c r="M322" i="4"/>
  <c r="L322" i="4"/>
  <c r="K322" i="4"/>
  <c r="J322" i="4"/>
  <c r="I322" i="4"/>
  <c r="H322" i="4"/>
  <c r="G322" i="4"/>
  <c r="F322" i="4"/>
  <c r="E322" i="4"/>
  <c r="D322" i="4"/>
  <c r="C322" i="4"/>
  <c r="B322" i="4"/>
  <c r="A322" i="4"/>
  <c r="P321" i="4"/>
  <c r="O321" i="4"/>
  <c r="N321" i="4"/>
  <c r="M321" i="4"/>
  <c r="L321" i="4"/>
  <c r="K321" i="4"/>
  <c r="J321" i="4"/>
  <c r="I321" i="4"/>
  <c r="H321" i="4"/>
  <c r="G321" i="4"/>
  <c r="F321" i="4"/>
  <c r="E321" i="4"/>
  <c r="D321" i="4"/>
  <c r="C321" i="4"/>
  <c r="B321" i="4"/>
  <c r="A321" i="4"/>
  <c r="P320" i="4"/>
  <c r="O320" i="4"/>
  <c r="N320" i="4"/>
  <c r="M320" i="4"/>
  <c r="L320" i="4"/>
  <c r="K320" i="4"/>
  <c r="J320" i="4"/>
  <c r="I320" i="4"/>
  <c r="H320" i="4"/>
  <c r="G320" i="4"/>
  <c r="F320" i="4"/>
  <c r="E320" i="4"/>
  <c r="D320" i="4"/>
  <c r="C320" i="4"/>
  <c r="B320" i="4"/>
  <c r="A320" i="4"/>
  <c r="P319" i="4"/>
  <c r="O319" i="4"/>
  <c r="N319" i="4"/>
  <c r="M319" i="4"/>
  <c r="L319" i="4"/>
  <c r="K319" i="4"/>
  <c r="J319" i="4"/>
  <c r="I319" i="4"/>
  <c r="H319" i="4"/>
  <c r="G319" i="4"/>
  <c r="F319" i="4"/>
  <c r="E319" i="4"/>
  <c r="D319" i="4"/>
  <c r="C319" i="4"/>
  <c r="B319" i="4"/>
  <c r="A319" i="4"/>
  <c r="P318" i="4"/>
  <c r="O318" i="4"/>
  <c r="N318" i="4"/>
  <c r="M318" i="4"/>
  <c r="L318" i="4"/>
  <c r="K318" i="4"/>
  <c r="J318" i="4"/>
  <c r="I318" i="4"/>
  <c r="H318" i="4"/>
  <c r="G318" i="4"/>
  <c r="F318" i="4"/>
  <c r="E318" i="4"/>
  <c r="D318" i="4"/>
  <c r="C318" i="4"/>
  <c r="B318" i="4"/>
  <c r="A318" i="4"/>
  <c r="P317" i="4"/>
  <c r="O317" i="4"/>
  <c r="N317" i="4"/>
  <c r="M317" i="4"/>
  <c r="L317" i="4"/>
  <c r="K317" i="4"/>
  <c r="J317" i="4"/>
  <c r="I317" i="4"/>
  <c r="H317" i="4"/>
  <c r="G317" i="4"/>
  <c r="F317" i="4"/>
  <c r="E317" i="4"/>
  <c r="D317" i="4"/>
  <c r="C317" i="4"/>
  <c r="B317" i="4"/>
  <c r="A317" i="4"/>
  <c r="P316" i="4"/>
  <c r="O316" i="4"/>
  <c r="N316" i="4"/>
  <c r="M316" i="4"/>
  <c r="L316" i="4"/>
  <c r="K316" i="4"/>
  <c r="J316" i="4"/>
  <c r="I316" i="4"/>
  <c r="H316" i="4"/>
  <c r="G316" i="4"/>
  <c r="F316" i="4"/>
  <c r="E316" i="4"/>
  <c r="D316" i="4"/>
  <c r="C316" i="4"/>
  <c r="B316" i="4"/>
  <c r="A316" i="4"/>
  <c r="P315" i="4"/>
  <c r="O315" i="4"/>
  <c r="N315" i="4"/>
  <c r="M315" i="4"/>
  <c r="L315" i="4"/>
  <c r="K315" i="4"/>
  <c r="J315" i="4"/>
  <c r="I315" i="4"/>
  <c r="H315" i="4"/>
  <c r="G315" i="4"/>
  <c r="F315" i="4"/>
  <c r="E315" i="4"/>
  <c r="D315" i="4"/>
  <c r="C315" i="4"/>
  <c r="B315" i="4"/>
  <c r="A315" i="4"/>
  <c r="P314" i="4"/>
  <c r="O314" i="4"/>
  <c r="N314" i="4"/>
  <c r="M314" i="4"/>
  <c r="L314" i="4"/>
  <c r="K314" i="4"/>
  <c r="J314" i="4"/>
  <c r="I314" i="4"/>
  <c r="H314" i="4"/>
  <c r="G314" i="4"/>
  <c r="F314" i="4"/>
  <c r="E314" i="4"/>
  <c r="D314" i="4"/>
  <c r="C314" i="4"/>
  <c r="B314" i="4"/>
  <c r="A314" i="4"/>
  <c r="P313" i="4"/>
  <c r="O313" i="4"/>
  <c r="N313" i="4"/>
  <c r="M313" i="4"/>
  <c r="L313" i="4"/>
  <c r="K313" i="4"/>
  <c r="J313" i="4"/>
  <c r="I313" i="4"/>
  <c r="H313" i="4"/>
  <c r="G313" i="4"/>
  <c r="F313" i="4"/>
  <c r="E313" i="4"/>
  <c r="D313" i="4"/>
  <c r="C313" i="4"/>
  <c r="B313" i="4"/>
  <c r="A313" i="4"/>
  <c r="P312" i="4"/>
  <c r="O312" i="4"/>
  <c r="N312" i="4"/>
  <c r="M312" i="4"/>
  <c r="L312" i="4"/>
  <c r="K312" i="4"/>
  <c r="J312" i="4"/>
  <c r="I312" i="4"/>
  <c r="H312" i="4"/>
  <c r="G312" i="4"/>
  <c r="F312" i="4"/>
  <c r="E312" i="4"/>
  <c r="D312" i="4"/>
  <c r="C312" i="4"/>
  <c r="B312" i="4"/>
  <c r="A312" i="4"/>
  <c r="P311" i="4"/>
  <c r="O311" i="4"/>
  <c r="N311" i="4"/>
  <c r="M311" i="4"/>
  <c r="L311" i="4"/>
  <c r="K311" i="4"/>
  <c r="J311" i="4"/>
  <c r="I311" i="4"/>
  <c r="H311" i="4"/>
  <c r="G311" i="4"/>
  <c r="F311" i="4"/>
  <c r="E311" i="4"/>
  <c r="D311" i="4"/>
  <c r="C311" i="4"/>
  <c r="B311" i="4"/>
  <c r="A311" i="4"/>
  <c r="P310" i="4"/>
  <c r="O310" i="4"/>
  <c r="N310" i="4"/>
  <c r="M310" i="4"/>
  <c r="L310" i="4"/>
  <c r="K310" i="4"/>
  <c r="J310" i="4"/>
  <c r="I310" i="4"/>
  <c r="H310" i="4"/>
  <c r="G310" i="4"/>
  <c r="F310" i="4"/>
  <c r="E310" i="4"/>
  <c r="D310" i="4"/>
  <c r="C310" i="4"/>
  <c r="B310" i="4"/>
  <c r="A310" i="4"/>
  <c r="P309" i="4"/>
  <c r="O309" i="4"/>
  <c r="N309" i="4"/>
  <c r="M309" i="4"/>
  <c r="L309" i="4"/>
  <c r="K309" i="4"/>
  <c r="J309" i="4"/>
  <c r="I309" i="4"/>
  <c r="H309" i="4"/>
  <c r="G309" i="4"/>
  <c r="F309" i="4"/>
  <c r="E309" i="4"/>
  <c r="D309" i="4"/>
  <c r="C309" i="4"/>
  <c r="B309" i="4"/>
  <c r="A309" i="4"/>
  <c r="P308" i="4"/>
  <c r="O308" i="4"/>
  <c r="N308" i="4"/>
  <c r="M308" i="4"/>
  <c r="L308" i="4"/>
  <c r="K308" i="4"/>
  <c r="J308" i="4"/>
  <c r="I308" i="4"/>
  <c r="H308" i="4"/>
  <c r="G308" i="4"/>
  <c r="F308" i="4"/>
  <c r="E308" i="4"/>
  <c r="D308" i="4"/>
  <c r="C308" i="4"/>
  <c r="B308" i="4"/>
  <c r="A308" i="4"/>
  <c r="P307" i="4"/>
  <c r="O307" i="4"/>
  <c r="N307" i="4"/>
  <c r="M307" i="4"/>
  <c r="L307" i="4"/>
  <c r="K307" i="4"/>
  <c r="J307" i="4"/>
  <c r="I307" i="4"/>
  <c r="H307" i="4"/>
  <c r="G307" i="4"/>
  <c r="F307" i="4"/>
  <c r="E307" i="4"/>
  <c r="D307" i="4"/>
  <c r="C307" i="4"/>
  <c r="B307" i="4"/>
  <c r="A307" i="4"/>
  <c r="P306" i="4"/>
  <c r="O306" i="4"/>
  <c r="N306" i="4"/>
  <c r="M306" i="4"/>
  <c r="L306" i="4"/>
  <c r="K306" i="4"/>
  <c r="J306" i="4"/>
  <c r="I306" i="4"/>
  <c r="H306" i="4"/>
  <c r="G306" i="4"/>
  <c r="F306" i="4"/>
  <c r="E306" i="4"/>
  <c r="D306" i="4"/>
  <c r="C306" i="4"/>
  <c r="B306" i="4"/>
  <c r="A306" i="4"/>
  <c r="P305" i="4"/>
  <c r="O305" i="4"/>
  <c r="N305" i="4"/>
  <c r="M305" i="4"/>
  <c r="L305" i="4"/>
  <c r="K305" i="4"/>
  <c r="J305" i="4"/>
  <c r="I305" i="4"/>
  <c r="H305" i="4"/>
  <c r="G305" i="4"/>
  <c r="F305" i="4"/>
  <c r="E305" i="4"/>
  <c r="D305" i="4"/>
  <c r="C305" i="4"/>
  <c r="B305" i="4"/>
  <c r="A305" i="4"/>
  <c r="P304" i="4"/>
  <c r="O304" i="4"/>
  <c r="N304" i="4"/>
  <c r="M304" i="4"/>
  <c r="L304" i="4"/>
  <c r="K304" i="4"/>
  <c r="J304" i="4"/>
  <c r="I304" i="4"/>
  <c r="H304" i="4"/>
  <c r="G304" i="4"/>
  <c r="F304" i="4"/>
  <c r="E304" i="4"/>
  <c r="D304" i="4"/>
  <c r="C304" i="4"/>
  <c r="B304" i="4"/>
  <c r="A304" i="4"/>
  <c r="P303" i="4"/>
  <c r="O303" i="4"/>
  <c r="N303" i="4"/>
  <c r="M303" i="4"/>
  <c r="L303" i="4"/>
  <c r="K303" i="4"/>
  <c r="J303" i="4"/>
  <c r="I303" i="4"/>
  <c r="H303" i="4"/>
  <c r="G303" i="4"/>
  <c r="F303" i="4"/>
  <c r="E303" i="4"/>
  <c r="D303" i="4"/>
  <c r="C303" i="4"/>
  <c r="B303" i="4"/>
  <c r="A303" i="4"/>
  <c r="P302" i="4"/>
  <c r="O302" i="4"/>
  <c r="N302" i="4"/>
  <c r="M302" i="4"/>
  <c r="L302" i="4"/>
  <c r="K302" i="4"/>
  <c r="J302" i="4"/>
  <c r="I302" i="4"/>
  <c r="H302" i="4"/>
  <c r="G302" i="4"/>
  <c r="F302" i="4"/>
  <c r="E302" i="4"/>
  <c r="D302" i="4"/>
  <c r="C302" i="4"/>
  <c r="B302" i="4"/>
  <c r="A302" i="4"/>
  <c r="P301" i="4"/>
  <c r="O301" i="4"/>
  <c r="N301" i="4"/>
  <c r="M301" i="4"/>
  <c r="L301" i="4"/>
  <c r="K301" i="4"/>
  <c r="J301" i="4"/>
  <c r="I301" i="4"/>
  <c r="H301" i="4"/>
  <c r="G301" i="4"/>
  <c r="F301" i="4"/>
  <c r="E301" i="4"/>
  <c r="D301" i="4"/>
  <c r="C301" i="4"/>
  <c r="B301" i="4"/>
  <c r="A301" i="4"/>
  <c r="P300" i="4"/>
  <c r="O300" i="4"/>
  <c r="N300" i="4"/>
  <c r="M300" i="4"/>
  <c r="L300" i="4"/>
  <c r="K300" i="4"/>
  <c r="J300" i="4"/>
  <c r="I300" i="4"/>
  <c r="H300" i="4"/>
  <c r="G300" i="4"/>
  <c r="F300" i="4"/>
  <c r="E300" i="4"/>
  <c r="D300" i="4"/>
  <c r="C300" i="4"/>
  <c r="B300" i="4"/>
  <c r="A300" i="4"/>
  <c r="P299" i="4"/>
  <c r="O299" i="4"/>
  <c r="N299" i="4"/>
  <c r="M299" i="4"/>
  <c r="L299" i="4"/>
  <c r="K299" i="4"/>
  <c r="J299" i="4"/>
  <c r="I299" i="4"/>
  <c r="H299" i="4"/>
  <c r="G299" i="4"/>
  <c r="F299" i="4"/>
  <c r="E299" i="4"/>
  <c r="D299" i="4"/>
  <c r="C299" i="4"/>
  <c r="B299" i="4"/>
  <c r="A299" i="4"/>
  <c r="P298" i="4"/>
  <c r="O298" i="4"/>
  <c r="N298" i="4"/>
  <c r="M298" i="4"/>
  <c r="L298" i="4"/>
  <c r="K298" i="4"/>
  <c r="J298" i="4"/>
  <c r="I298" i="4"/>
  <c r="H298" i="4"/>
  <c r="G298" i="4"/>
  <c r="F298" i="4"/>
  <c r="E298" i="4"/>
  <c r="D298" i="4"/>
  <c r="C298" i="4"/>
  <c r="B298" i="4"/>
  <c r="A298" i="4"/>
  <c r="P297" i="4"/>
  <c r="O297" i="4"/>
  <c r="N297" i="4"/>
  <c r="M297" i="4"/>
  <c r="L297" i="4"/>
  <c r="K297" i="4"/>
  <c r="J297" i="4"/>
  <c r="I297" i="4"/>
  <c r="H297" i="4"/>
  <c r="G297" i="4"/>
  <c r="F297" i="4"/>
  <c r="E297" i="4"/>
  <c r="D297" i="4"/>
  <c r="C297" i="4"/>
  <c r="B297" i="4"/>
  <c r="A297" i="4"/>
  <c r="P296" i="4"/>
  <c r="O296" i="4"/>
  <c r="N296" i="4"/>
  <c r="M296" i="4"/>
  <c r="L296" i="4"/>
  <c r="K296" i="4"/>
  <c r="J296" i="4"/>
  <c r="I296" i="4"/>
  <c r="H296" i="4"/>
  <c r="G296" i="4"/>
  <c r="F296" i="4"/>
  <c r="E296" i="4"/>
  <c r="D296" i="4"/>
  <c r="C296" i="4"/>
  <c r="B296" i="4"/>
  <c r="A296" i="4"/>
  <c r="P295" i="4"/>
  <c r="O295" i="4"/>
  <c r="N295" i="4"/>
  <c r="M295" i="4"/>
  <c r="L295" i="4"/>
  <c r="K295" i="4"/>
  <c r="J295" i="4"/>
  <c r="I295" i="4"/>
  <c r="H295" i="4"/>
  <c r="G295" i="4"/>
  <c r="F295" i="4"/>
  <c r="E295" i="4"/>
  <c r="D295" i="4"/>
  <c r="C295" i="4"/>
  <c r="B295" i="4"/>
  <c r="A295" i="4"/>
  <c r="P294" i="4"/>
  <c r="O294" i="4"/>
  <c r="N294" i="4"/>
  <c r="M294" i="4"/>
  <c r="L294" i="4"/>
  <c r="K294" i="4"/>
  <c r="J294" i="4"/>
  <c r="I294" i="4"/>
  <c r="H294" i="4"/>
  <c r="G294" i="4"/>
  <c r="F294" i="4"/>
  <c r="E294" i="4"/>
  <c r="D294" i="4"/>
  <c r="C294" i="4"/>
  <c r="B294" i="4"/>
  <c r="A294" i="4"/>
  <c r="P293" i="4"/>
  <c r="O293" i="4"/>
  <c r="N293" i="4"/>
  <c r="M293" i="4"/>
  <c r="L293" i="4"/>
  <c r="K293" i="4"/>
  <c r="J293" i="4"/>
  <c r="I293" i="4"/>
  <c r="H293" i="4"/>
  <c r="G293" i="4"/>
  <c r="F293" i="4"/>
  <c r="E293" i="4"/>
  <c r="D293" i="4"/>
  <c r="C293" i="4"/>
  <c r="B293" i="4"/>
  <c r="A293" i="4"/>
  <c r="P292" i="4"/>
  <c r="O292" i="4"/>
  <c r="N292" i="4"/>
  <c r="M292" i="4"/>
  <c r="L292" i="4"/>
  <c r="K292" i="4"/>
  <c r="J292" i="4"/>
  <c r="I292" i="4"/>
  <c r="H292" i="4"/>
  <c r="G292" i="4"/>
  <c r="F292" i="4"/>
  <c r="E292" i="4"/>
  <c r="D292" i="4"/>
  <c r="C292" i="4"/>
  <c r="B292" i="4"/>
  <c r="A292" i="4"/>
  <c r="P291" i="4"/>
  <c r="O291" i="4"/>
  <c r="N291" i="4"/>
  <c r="M291" i="4"/>
  <c r="L291" i="4"/>
  <c r="K291" i="4"/>
  <c r="J291" i="4"/>
  <c r="I291" i="4"/>
  <c r="H291" i="4"/>
  <c r="G291" i="4"/>
  <c r="F291" i="4"/>
  <c r="E291" i="4"/>
  <c r="D291" i="4"/>
  <c r="C291" i="4"/>
  <c r="B291" i="4"/>
  <c r="A291" i="4"/>
  <c r="P290" i="4"/>
  <c r="O290" i="4"/>
  <c r="N290" i="4"/>
  <c r="M290" i="4"/>
  <c r="L290" i="4"/>
  <c r="K290" i="4"/>
  <c r="J290" i="4"/>
  <c r="I290" i="4"/>
  <c r="H290" i="4"/>
  <c r="G290" i="4"/>
  <c r="F290" i="4"/>
  <c r="E290" i="4"/>
  <c r="D290" i="4"/>
  <c r="C290" i="4"/>
  <c r="B290" i="4"/>
  <c r="A290" i="4"/>
  <c r="P289" i="4"/>
  <c r="O289" i="4"/>
  <c r="N289" i="4"/>
  <c r="M289" i="4"/>
  <c r="L289" i="4"/>
  <c r="K289" i="4"/>
  <c r="J289" i="4"/>
  <c r="I289" i="4"/>
  <c r="H289" i="4"/>
  <c r="G289" i="4"/>
  <c r="F289" i="4"/>
  <c r="E289" i="4"/>
  <c r="D289" i="4"/>
  <c r="C289" i="4"/>
  <c r="B289" i="4"/>
  <c r="A289" i="4"/>
  <c r="P288" i="4"/>
  <c r="O288" i="4"/>
  <c r="N288" i="4"/>
  <c r="M288" i="4"/>
  <c r="L288" i="4"/>
  <c r="K288" i="4"/>
  <c r="J288" i="4"/>
  <c r="I288" i="4"/>
  <c r="H288" i="4"/>
  <c r="G288" i="4"/>
  <c r="F288" i="4"/>
  <c r="E288" i="4"/>
  <c r="D288" i="4"/>
  <c r="C288" i="4"/>
  <c r="B288" i="4"/>
  <c r="A288" i="4"/>
  <c r="P287" i="4"/>
  <c r="O287" i="4"/>
  <c r="N287" i="4"/>
  <c r="M287" i="4"/>
  <c r="L287" i="4"/>
  <c r="K287" i="4"/>
  <c r="J287" i="4"/>
  <c r="I287" i="4"/>
  <c r="H287" i="4"/>
  <c r="G287" i="4"/>
  <c r="F287" i="4"/>
  <c r="E287" i="4"/>
  <c r="D287" i="4"/>
  <c r="C287" i="4"/>
  <c r="B287" i="4"/>
  <c r="A287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B286" i="4"/>
  <c r="A286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B285" i="4"/>
  <c r="A285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B284" i="4"/>
  <c r="A284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B283" i="4"/>
  <c r="A283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B282" i="4"/>
  <c r="A282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B281" i="4"/>
  <c r="A281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B280" i="4"/>
  <c r="A280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B279" i="4"/>
  <c r="A279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B278" i="4"/>
  <c r="A278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B277" i="4"/>
  <c r="A277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B276" i="4"/>
  <c r="A276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B275" i="4"/>
  <c r="A275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B274" i="4"/>
  <c r="A274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B273" i="4"/>
  <c r="A273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B272" i="4"/>
  <c r="A272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B271" i="4"/>
  <c r="A271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B270" i="4"/>
  <c r="A270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B269" i="4"/>
  <c r="A269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B268" i="4"/>
  <c r="A268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B267" i="4"/>
  <c r="A267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B266" i="4"/>
  <c r="A266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B265" i="4"/>
  <c r="A265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B264" i="4"/>
  <c r="A264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B263" i="4"/>
  <c r="A263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B262" i="4"/>
  <c r="A262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B261" i="4"/>
  <c r="A261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B260" i="4"/>
  <c r="A260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B259" i="4"/>
  <c r="A259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B258" i="4"/>
  <c r="A258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B257" i="4"/>
  <c r="A257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B256" i="4"/>
  <c r="A256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B255" i="4"/>
  <c r="A255" i="4"/>
  <c r="P254" i="4"/>
  <c r="O254" i="4"/>
  <c r="N254" i="4"/>
  <c r="M254" i="4"/>
  <c r="L254" i="4"/>
  <c r="K254" i="4"/>
  <c r="I254" i="4"/>
  <c r="H254" i="4"/>
  <c r="G254" i="4"/>
  <c r="F254" i="4"/>
  <c r="C254" i="4"/>
  <c r="A254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B253" i="4"/>
  <c r="A253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B252" i="4"/>
  <c r="A252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B251" i="4"/>
  <c r="A251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B250" i="4"/>
  <c r="A250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B249" i="4"/>
  <c r="A249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B248" i="4"/>
  <c r="A248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B247" i="4"/>
  <c r="A247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B246" i="4"/>
  <c r="A246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B245" i="4"/>
  <c r="A245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B244" i="4"/>
  <c r="A244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B243" i="4"/>
  <c r="A243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B242" i="4"/>
  <c r="A242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B241" i="4"/>
  <c r="A241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B240" i="4"/>
  <c r="A240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B239" i="4"/>
  <c r="A239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B238" i="4"/>
  <c r="A238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B237" i="4"/>
  <c r="A237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B236" i="4"/>
  <c r="A236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B235" i="4"/>
  <c r="A235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B234" i="4"/>
  <c r="A234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B233" i="4"/>
  <c r="A233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B232" i="4"/>
  <c r="A232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B231" i="4"/>
  <c r="A231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B230" i="4"/>
  <c r="A230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B229" i="4"/>
  <c r="A229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B228" i="4"/>
  <c r="A228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B227" i="4"/>
  <c r="A227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B226" i="4"/>
  <c r="A226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B225" i="4"/>
  <c r="A225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B224" i="4"/>
  <c r="A224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B223" i="4"/>
  <c r="A223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B222" i="4"/>
  <c r="A222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B221" i="4"/>
  <c r="A221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B220" i="4"/>
  <c r="A220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B219" i="4"/>
  <c r="A219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B218" i="4"/>
  <c r="A218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B217" i="4"/>
  <c r="A217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B216" i="4"/>
  <c r="A216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B215" i="4"/>
  <c r="A215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B214" i="4"/>
  <c r="A214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B213" i="4"/>
  <c r="A213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B212" i="4"/>
  <c r="A212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B211" i="4"/>
  <c r="A211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B210" i="4"/>
  <c r="A210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B209" i="4"/>
  <c r="A209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B208" i="4"/>
  <c r="A208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B207" i="4"/>
  <c r="A207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B206" i="4"/>
  <c r="A206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B205" i="4"/>
  <c r="A205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B204" i="4"/>
  <c r="A204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B203" i="4"/>
  <c r="A203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B202" i="4"/>
  <c r="A202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B201" i="4"/>
  <c r="A201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B200" i="4"/>
  <c r="A200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B199" i="4"/>
  <c r="A199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B198" i="4"/>
  <c r="A198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B197" i="4"/>
  <c r="A197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B196" i="4"/>
  <c r="A196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B195" i="4"/>
  <c r="A195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B194" i="4"/>
  <c r="A194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B193" i="4"/>
  <c r="A193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B192" i="4"/>
  <c r="A192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B191" i="4"/>
  <c r="A191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B190" i="4"/>
  <c r="A190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B189" i="4"/>
  <c r="A189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B188" i="4"/>
  <c r="A188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B187" i="4"/>
  <c r="A187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B186" i="4"/>
  <c r="A186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B185" i="4"/>
  <c r="A185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B184" i="4"/>
  <c r="A184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B183" i="4"/>
  <c r="A183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B182" i="4"/>
  <c r="A182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B181" i="4"/>
  <c r="A181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B180" i="4"/>
  <c r="A180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B179" i="4"/>
  <c r="A179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B178" i="4"/>
  <c r="A178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B177" i="4"/>
  <c r="A177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B176" i="4"/>
  <c r="A176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B175" i="4"/>
  <c r="A175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B174" i="4"/>
  <c r="A174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B173" i="4"/>
  <c r="A173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172" i="4"/>
  <c r="A172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B171" i="4"/>
  <c r="A171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B170" i="4"/>
  <c r="A170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A169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B168" i="4"/>
  <c r="A168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B167" i="4"/>
  <c r="A167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B166" i="4"/>
  <c r="A166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B165" i="4"/>
  <c r="A165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B164" i="4"/>
  <c r="A164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B163" i="4"/>
  <c r="A163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B162" i="4"/>
  <c r="A162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B161" i="4"/>
  <c r="A161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B160" i="4"/>
  <c r="A160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B159" i="4"/>
  <c r="A159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B158" i="4"/>
  <c r="A158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B157" i="4"/>
  <c r="A157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A156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B155" i="4"/>
  <c r="A155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B154" i="4"/>
  <c r="A154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B153" i="4"/>
  <c r="A153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B152" i="4"/>
  <c r="A152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A151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B150" i="4"/>
  <c r="A150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B149" i="4"/>
  <c r="A149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B148" i="4"/>
  <c r="A148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A147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B146" i="4"/>
  <c r="A146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A145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B144" i="4"/>
  <c r="A144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B143" i="4"/>
  <c r="A143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B142" i="4"/>
  <c r="A142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B141" i="4"/>
  <c r="A141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A140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B139" i="4"/>
  <c r="A139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C138" i="4"/>
  <c r="B138" i="4"/>
  <c r="A138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B137" i="4"/>
  <c r="A137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B136" i="4"/>
  <c r="A136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B135" i="4"/>
  <c r="A135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A134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B133" i="4"/>
  <c r="A133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A132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A131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A130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A129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A128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B127" i="4"/>
  <c r="A127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A126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B125" i="4"/>
  <c r="A125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B124" i="4"/>
  <c r="A124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A123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A122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B121" i="4"/>
  <c r="A121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B120" i="4"/>
  <c r="A120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A119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A118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B117" i="4"/>
  <c r="A117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A116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A115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A114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A113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A112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A111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A110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A109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A108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A107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A106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A105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A104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A103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A102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A101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A100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A99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A98" i="4"/>
  <c r="P97" i="4"/>
  <c r="O97" i="4"/>
  <c r="N97" i="4"/>
  <c r="M97" i="4"/>
  <c r="L97" i="4"/>
  <c r="K97" i="4"/>
  <c r="I97" i="4"/>
  <c r="H97" i="4"/>
  <c r="G97" i="4"/>
  <c r="F97" i="4"/>
  <c r="C97" i="4"/>
  <c r="B97" i="4"/>
  <c r="A97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A96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A95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A94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A93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A92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A91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A90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A89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A88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A87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A86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A85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A84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A83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A82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A81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A80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A79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A78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A77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A76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A75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A74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A73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A72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71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70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69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68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67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66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65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64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63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62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61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60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59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58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57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56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55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54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53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52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51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50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49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48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47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46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45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44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43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42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41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40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P338" i="2" l="1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P298" i="2"/>
  <c r="O298" i="2"/>
  <c r="N298" i="2"/>
  <c r="M298" i="2"/>
  <c r="L298" i="2"/>
  <c r="K298" i="2"/>
  <c r="I298" i="2"/>
  <c r="H298" i="2"/>
  <c r="G298" i="2"/>
  <c r="F298" i="2"/>
  <c r="C298" i="2"/>
  <c r="A298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</calcChain>
</file>

<file path=xl/sharedStrings.xml><?xml version="1.0" encoding="utf-8"?>
<sst xmlns="http://schemas.openxmlformats.org/spreadsheetml/2006/main" count="158" uniqueCount="55">
  <si>
    <t>币种</t>
  </si>
  <si>
    <t>证券名称</t>
  </si>
  <si>
    <t>成交日期</t>
  </si>
  <si>
    <t>成交价格</t>
  </si>
  <si>
    <t>成交数量</t>
  </si>
  <si>
    <t>发生金额</t>
  </si>
  <si>
    <t>资金余额</t>
  </si>
  <si>
    <t>剩余数量</t>
  </si>
  <si>
    <t>合同编号</t>
  </si>
  <si>
    <t>业务名称</t>
  </si>
  <si>
    <t>手续费</t>
  </si>
  <si>
    <t>印花税</t>
  </si>
  <si>
    <t>过户费</t>
  </si>
  <si>
    <t>结算费</t>
  </si>
  <si>
    <t>证券代码</t>
  </si>
  <si>
    <t>股东代码</t>
  </si>
  <si>
    <t xml:space="preserve">   </t>
    <phoneticPr fontId="18" type="noConversion"/>
  </si>
  <si>
    <t>中国人保</t>
    <phoneticPr fontId="18" type="noConversion"/>
  </si>
  <si>
    <t>人民币</t>
  </si>
  <si>
    <t>我武生物</t>
  </si>
  <si>
    <t>证券卖出(我武生物)</t>
  </si>
  <si>
    <t>麦克奥迪</t>
  </si>
  <si>
    <t>证券卖出(麦克奥迪)</t>
  </si>
  <si>
    <t>香山股份</t>
  </si>
  <si>
    <t>证券卖出(香山股份)</t>
  </si>
  <si>
    <t>神州数码</t>
  </si>
  <si>
    <t>证券买入(神州数码)</t>
  </si>
  <si>
    <t>华培动力</t>
  </si>
  <si>
    <t>证券买入(华培动力)</t>
  </si>
  <si>
    <t>A400948245</t>
  </si>
  <si>
    <t>四川金顶</t>
  </si>
  <si>
    <t>证券买入(四川金顶)</t>
  </si>
  <si>
    <t>证券卖出(神州数码)</t>
  </si>
  <si>
    <t>苏奥传感</t>
  </si>
  <si>
    <t>证券买入(苏奥传感)</t>
  </si>
  <si>
    <t>证券买入(麦克奥迪)</t>
  </si>
  <si>
    <t>---</t>
  </si>
  <si>
    <t>银行转取</t>
  </si>
  <si>
    <t>证券卖出(苏奥传感)</t>
  </si>
  <si>
    <t>上海新阳</t>
  </si>
  <si>
    <t>证券买入(上海新阳)</t>
  </si>
  <si>
    <t>科蓝软件</t>
  </si>
  <si>
    <t>证券买入(科蓝软件)</t>
  </si>
  <si>
    <t>易尚展示</t>
  </si>
  <si>
    <t>证券买入(易尚展示)</t>
  </si>
  <si>
    <t>证券卖出(华培动力)</t>
  </si>
  <si>
    <t>科安达</t>
  </si>
  <si>
    <t>申购配号(科安达)</t>
  </si>
  <si>
    <t>证券卖出(易尚展示)</t>
  </si>
  <si>
    <t>隆基股份</t>
  </si>
  <si>
    <t>证券买入(隆基股份)</t>
  </si>
  <si>
    <t>神驰配号</t>
  </si>
  <si>
    <t>申购配号(神驰配号)</t>
  </si>
  <si>
    <t>铂科新材</t>
  </si>
  <si>
    <t>申购配号(铂科新材)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</si>
</sst>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9"/>
  <sheetViews>
    <sheetView topLeftCell="A193" workbookViewId="0">
      <selection activeCell="A389" sqref="A389"/>
    </sheetView>
  </sheetViews>
  <sheetFormatPr defaultRowHeight="13.8" x14ac:dyDescent="0.25"/>
  <cols>
    <col min="6" max="6" width="17.21875" customWidth="1"/>
    <col min="7" max="7" width="15.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tr">
        <f t="shared" ref="A2:A65" si="0">"人民币"</f>
        <v>人民币</v>
      </c>
      <c r="B2" t="str">
        <f>" "</f>
        <v xml:space="preserve"> </v>
      </c>
      <c r="C2" t="str">
        <f>"20170227"</f>
        <v>20170227</v>
      </c>
      <c r="D2" t="str">
        <f>"---"</f>
        <v>---</v>
      </c>
      <c r="E2" t="str">
        <f>"---"</f>
        <v>---</v>
      </c>
      <c r="F2" t="str">
        <f>"19000.00"</f>
        <v>19000.00</v>
      </c>
      <c r="G2" t="str">
        <f>"19000.50"</f>
        <v>19000.50</v>
      </c>
      <c r="H2" t="str">
        <f>"---"</f>
        <v>---</v>
      </c>
      <c r="I2" t="str">
        <f>"---"</f>
        <v>---</v>
      </c>
      <c r="J2" t="str">
        <f>"银行转存"</f>
        <v>银行转存</v>
      </c>
      <c r="K2" t="str">
        <f t="shared" ref="K2:P2" si="1">"---"</f>
        <v>---</v>
      </c>
      <c r="L2" t="str">
        <f t="shared" si="1"/>
        <v>---</v>
      </c>
      <c r="M2" t="str">
        <f t="shared" si="1"/>
        <v>---</v>
      </c>
      <c r="N2" t="str">
        <f t="shared" si="1"/>
        <v>---</v>
      </c>
      <c r="O2" t="str">
        <f t="shared" si="1"/>
        <v>---</v>
      </c>
      <c r="P2" t="str">
        <f t="shared" si="1"/>
        <v>---</v>
      </c>
    </row>
    <row r="3" spans="1:16" x14ac:dyDescent="0.25">
      <c r="A3" t="str">
        <f t="shared" si="0"/>
        <v>人民币</v>
      </c>
      <c r="B3" t="str">
        <f>"东北制药"</f>
        <v>东北制药</v>
      </c>
      <c r="C3" t="str">
        <f>"20170227"</f>
        <v>20170227</v>
      </c>
      <c r="D3" t="str">
        <f>"11.250"</f>
        <v>11.250</v>
      </c>
      <c r="E3" t="str">
        <f>"200.00"</f>
        <v>200.00</v>
      </c>
      <c r="F3" t="str">
        <f>"-2255.00"</f>
        <v>-2255.00</v>
      </c>
      <c r="G3" t="str">
        <f>"16745.50"</f>
        <v>16745.50</v>
      </c>
      <c r="H3" t="str">
        <f>"200.00"</f>
        <v>200.00</v>
      </c>
      <c r="I3" t="str">
        <f>"2"</f>
        <v>2</v>
      </c>
      <c r="J3" t="str">
        <f>"证券买入(东北制药)"</f>
        <v>证券买入(东北制药)</v>
      </c>
      <c r="K3" t="str">
        <f t="shared" ref="K3:K9" si="2">"5.00"</f>
        <v>5.00</v>
      </c>
      <c r="L3" t="str">
        <f t="shared" ref="L3:N7" si="3">"0.00"</f>
        <v>0.00</v>
      </c>
      <c r="M3" t="str">
        <f t="shared" si="3"/>
        <v>0.00</v>
      </c>
      <c r="N3" t="str">
        <f t="shared" si="3"/>
        <v>0.00</v>
      </c>
      <c r="O3" t="str">
        <f>"000597"</f>
        <v>000597</v>
      </c>
      <c r="P3" t="str">
        <f t="shared" ref="P3:P9" si="4">"0153613480"</f>
        <v>0153613480</v>
      </c>
    </row>
    <row r="4" spans="1:16" x14ac:dyDescent="0.25">
      <c r="A4" t="str">
        <f t="shared" si="0"/>
        <v>人民币</v>
      </c>
      <c r="B4" t="str">
        <f>"东北制药"</f>
        <v>东北制药</v>
      </c>
      <c r="C4" t="str">
        <f>"20170227"</f>
        <v>20170227</v>
      </c>
      <c r="D4" t="str">
        <f>"11.200"</f>
        <v>11.200</v>
      </c>
      <c r="E4" t="str">
        <f>"300.00"</f>
        <v>300.00</v>
      </c>
      <c r="F4" t="str">
        <f>"-3365.00"</f>
        <v>-3365.00</v>
      </c>
      <c r="G4" t="str">
        <f>"13380.50"</f>
        <v>13380.50</v>
      </c>
      <c r="H4" t="str">
        <f>"500.00"</f>
        <v>500.00</v>
      </c>
      <c r="I4" t="str">
        <f>"5"</f>
        <v>5</v>
      </c>
      <c r="J4" t="str">
        <f>"证券买入(东北制药)"</f>
        <v>证券买入(东北制药)</v>
      </c>
      <c r="K4" t="str">
        <f t="shared" si="2"/>
        <v>5.00</v>
      </c>
      <c r="L4" t="str">
        <f t="shared" si="3"/>
        <v>0.00</v>
      </c>
      <c r="M4" t="str">
        <f t="shared" si="3"/>
        <v>0.00</v>
      </c>
      <c r="N4" t="str">
        <f t="shared" si="3"/>
        <v>0.00</v>
      </c>
      <c r="O4" t="str">
        <f>"000597"</f>
        <v>000597</v>
      </c>
      <c r="P4" t="str">
        <f t="shared" si="4"/>
        <v>0153613480</v>
      </c>
    </row>
    <row r="5" spans="1:16" x14ac:dyDescent="0.25">
      <c r="A5" t="str">
        <f t="shared" si="0"/>
        <v>人民币</v>
      </c>
      <c r="B5" t="str">
        <f>"东北制药"</f>
        <v>东北制药</v>
      </c>
      <c r="C5" t="str">
        <f>"20170228"</f>
        <v>20170228</v>
      </c>
      <c r="D5" t="str">
        <f>"11.050"</f>
        <v>11.050</v>
      </c>
      <c r="E5" t="str">
        <f>"500.00"</f>
        <v>500.00</v>
      </c>
      <c r="F5" t="str">
        <f>"-5530.00"</f>
        <v>-5530.00</v>
      </c>
      <c r="G5" t="str">
        <f>"7850.50"</f>
        <v>7850.50</v>
      </c>
      <c r="H5" t="str">
        <f>"1000.00"</f>
        <v>1000.00</v>
      </c>
      <c r="I5" t="str">
        <f>"1"</f>
        <v>1</v>
      </c>
      <c r="J5" t="str">
        <f>"证券买入(东北制药)"</f>
        <v>证券买入(东北制药)</v>
      </c>
      <c r="K5" t="str">
        <f t="shared" si="2"/>
        <v>5.00</v>
      </c>
      <c r="L5" t="str">
        <f t="shared" si="3"/>
        <v>0.00</v>
      </c>
      <c r="M5" t="str">
        <f t="shared" si="3"/>
        <v>0.00</v>
      </c>
      <c r="N5" t="str">
        <f t="shared" si="3"/>
        <v>0.00</v>
      </c>
      <c r="O5" t="str">
        <f>"000597"</f>
        <v>000597</v>
      </c>
      <c r="P5" t="str">
        <f t="shared" si="4"/>
        <v>0153613480</v>
      </c>
    </row>
    <row r="6" spans="1:16" x14ac:dyDescent="0.25">
      <c r="A6" t="str">
        <f t="shared" si="0"/>
        <v>人民币</v>
      </c>
      <c r="B6" t="str">
        <f>"*ST舜船"</f>
        <v>*ST舜船</v>
      </c>
      <c r="C6" t="str">
        <f>"20170301"</f>
        <v>20170301</v>
      </c>
      <c r="D6" t="str">
        <f>"11.810"</f>
        <v>11.810</v>
      </c>
      <c r="E6" t="str">
        <f>"200.00"</f>
        <v>200.00</v>
      </c>
      <c r="F6" t="str">
        <f>"-2367.00"</f>
        <v>-2367.00</v>
      </c>
      <c r="G6" t="str">
        <f>"5483.50"</f>
        <v>5483.50</v>
      </c>
      <c r="H6" t="str">
        <f>"200.00"</f>
        <v>200.00</v>
      </c>
      <c r="I6" t="str">
        <f>"5"</f>
        <v>5</v>
      </c>
      <c r="J6" t="str">
        <f>"证券买入(*ST舜船)"</f>
        <v>证券买入(*ST舜船)</v>
      </c>
      <c r="K6" t="str">
        <f t="shared" si="2"/>
        <v>5.00</v>
      </c>
      <c r="L6" t="str">
        <f t="shared" si="3"/>
        <v>0.00</v>
      </c>
      <c r="M6" t="str">
        <f t="shared" si="3"/>
        <v>0.00</v>
      </c>
      <c r="N6" t="str">
        <f t="shared" si="3"/>
        <v>0.00</v>
      </c>
      <c r="O6" t="str">
        <f>"002608"</f>
        <v>002608</v>
      </c>
      <c r="P6" t="str">
        <f t="shared" si="4"/>
        <v>0153613480</v>
      </c>
    </row>
    <row r="7" spans="1:16" x14ac:dyDescent="0.25">
      <c r="A7" t="str">
        <f t="shared" si="0"/>
        <v>人民币</v>
      </c>
      <c r="B7" t="str">
        <f>"*ST舜船"</f>
        <v>*ST舜船</v>
      </c>
      <c r="C7" t="str">
        <f>"20170301"</f>
        <v>20170301</v>
      </c>
      <c r="D7" t="str">
        <f>"11.600"</f>
        <v>11.600</v>
      </c>
      <c r="E7" t="str">
        <f>"200.00"</f>
        <v>200.00</v>
      </c>
      <c r="F7" t="str">
        <f>"-2325.00"</f>
        <v>-2325.00</v>
      </c>
      <c r="G7" t="str">
        <f>"3158.50"</f>
        <v>3158.50</v>
      </c>
      <c r="H7" t="str">
        <f>"400.00"</f>
        <v>400.00</v>
      </c>
      <c r="I7" t="str">
        <f>"8"</f>
        <v>8</v>
      </c>
      <c r="J7" t="str">
        <f>"证券买入(*ST舜船)"</f>
        <v>证券买入(*ST舜船)</v>
      </c>
      <c r="K7" t="str">
        <f t="shared" si="2"/>
        <v>5.00</v>
      </c>
      <c r="L7" t="str">
        <f t="shared" si="3"/>
        <v>0.00</v>
      </c>
      <c r="M7" t="str">
        <f t="shared" si="3"/>
        <v>0.00</v>
      </c>
      <c r="N7" t="str">
        <f t="shared" si="3"/>
        <v>0.00</v>
      </c>
      <c r="O7" t="str">
        <f>"002608"</f>
        <v>002608</v>
      </c>
      <c r="P7" t="str">
        <f t="shared" si="4"/>
        <v>0153613480</v>
      </c>
    </row>
    <row r="8" spans="1:16" x14ac:dyDescent="0.25">
      <c r="A8" t="str">
        <f t="shared" si="0"/>
        <v>人民币</v>
      </c>
      <c r="B8" t="str">
        <f>"*ST舜船"</f>
        <v>*ST舜船</v>
      </c>
      <c r="C8" t="str">
        <f>"20170302"</f>
        <v>20170302</v>
      </c>
      <c r="D8" t="str">
        <f>"12.480"</f>
        <v>12.480</v>
      </c>
      <c r="E8" t="str">
        <f>"-400.00"</f>
        <v>-400.00</v>
      </c>
      <c r="F8" t="str">
        <f>"4982.01"</f>
        <v>4982.01</v>
      </c>
      <c r="G8" t="str">
        <f>"8140.51"</f>
        <v>8140.51</v>
      </c>
      <c r="H8" t="str">
        <f>"0.00"</f>
        <v>0.00</v>
      </c>
      <c r="I8" t="str">
        <f>"13"</f>
        <v>13</v>
      </c>
      <c r="J8" t="str">
        <f>"证券卖出(*ST舜船)"</f>
        <v>证券卖出(*ST舜船)</v>
      </c>
      <c r="K8" t="str">
        <f t="shared" si="2"/>
        <v>5.00</v>
      </c>
      <c r="L8" t="str">
        <f>"4.99"</f>
        <v>4.99</v>
      </c>
      <c r="M8" t="str">
        <f>"0.00"</f>
        <v>0.00</v>
      </c>
      <c r="N8" t="str">
        <f>"0.00"</f>
        <v>0.00</v>
      </c>
      <c r="O8" t="str">
        <f>"002608"</f>
        <v>002608</v>
      </c>
      <c r="P8" t="str">
        <f t="shared" si="4"/>
        <v>0153613480</v>
      </c>
    </row>
    <row r="9" spans="1:16" x14ac:dyDescent="0.25">
      <c r="A9" t="str">
        <f t="shared" si="0"/>
        <v>人民币</v>
      </c>
      <c r="B9" t="str">
        <f>"合肥城建"</f>
        <v>合肥城建</v>
      </c>
      <c r="C9" t="str">
        <f>"20170302"</f>
        <v>20170302</v>
      </c>
      <c r="D9" t="str">
        <f>"17.380"</f>
        <v>17.380</v>
      </c>
      <c r="E9" t="str">
        <f>"300.00"</f>
        <v>300.00</v>
      </c>
      <c r="F9" t="str">
        <f>"-5219.00"</f>
        <v>-5219.00</v>
      </c>
      <c r="G9" t="str">
        <f>"2921.51"</f>
        <v>2921.51</v>
      </c>
      <c r="H9" t="str">
        <f>"300.00"</f>
        <v>300.00</v>
      </c>
      <c r="I9" t="str">
        <f>"16"</f>
        <v>16</v>
      </c>
      <c r="J9" t="str">
        <f>"证券买入(合肥城建)"</f>
        <v>证券买入(合肥城建)</v>
      </c>
      <c r="K9" t="str">
        <f t="shared" si="2"/>
        <v>5.00</v>
      </c>
      <c r="L9" t="str">
        <f>"0.00"</f>
        <v>0.00</v>
      </c>
      <c r="M9" t="str">
        <f>"0.00"</f>
        <v>0.00</v>
      </c>
      <c r="N9" t="str">
        <f>"0.00"</f>
        <v>0.00</v>
      </c>
      <c r="O9" t="str">
        <f>"002208"</f>
        <v>002208</v>
      </c>
      <c r="P9" t="str">
        <f t="shared" si="4"/>
        <v>0153613480</v>
      </c>
    </row>
    <row r="10" spans="1:16" x14ac:dyDescent="0.25">
      <c r="A10" t="str">
        <f t="shared" si="0"/>
        <v>人民币</v>
      </c>
      <c r="B10" t="str">
        <f>" "</f>
        <v xml:space="preserve"> </v>
      </c>
      <c r="C10" t="str">
        <f>"20170303"</f>
        <v>20170303</v>
      </c>
      <c r="D10" t="str">
        <f>"---"</f>
        <v>---</v>
      </c>
      <c r="E10" t="str">
        <f>"---"</f>
        <v>---</v>
      </c>
      <c r="F10" t="str">
        <f>"9000.00"</f>
        <v>9000.00</v>
      </c>
      <c r="G10" t="str">
        <f>"11921.51"</f>
        <v>11921.51</v>
      </c>
      <c r="H10" t="str">
        <f>"---"</f>
        <v>---</v>
      </c>
      <c r="I10" t="str">
        <f>"---"</f>
        <v>---</v>
      </c>
      <c r="J10" t="str">
        <f>"银行转存"</f>
        <v>银行转存</v>
      </c>
      <c r="K10" t="str">
        <f t="shared" ref="K10:P10" si="5">"---"</f>
        <v>---</v>
      </c>
      <c r="L10" t="str">
        <f t="shared" si="5"/>
        <v>---</v>
      </c>
      <c r="M10" t="str">
        <f t="shared" si="5"/>
        <v>---</v>
      </c>
      <c r="N10" t="str">
        <f t="shared" si="5"/>
        <v>---</v>
      </c>
      <c r="O10" t="str">
        <f t="shared" si="5"/>
        <v>---</v>
      </c>
      <c r="P10" t="str">
        <f t="shared" si="5"/>
        <v>---</v>
      </c>
    </row>
    <row r="11" spans="1:16" x14ac:dyDescent="0.25">
      <c r="A11" t="str">
        <f t="shared" si="0"/>
        <v>人民币</v>
      </c>
      <c r="B11" t="str">
        <f>"合肥城建"</f>
        <v>合肥城建</v>
      </c>
      <c r="C11" t="str">
        <f>"20170303"</f>
        <v>20170303</v>
      </c>
      <c r="D11" t="str">
        <f>"17.380"</f>
        <v>17.380</v>
      </c>
      <c r="E11" t="str">
        <f>"300.00"</f>
        <v>300.00</v>
      </c>
      <c r="F11" t="str">
        <f>"-5219.00"</f>
        <v>-5219.00</v>
      </c>
      <c r="G11" t="str">
        <f>"6702.51"</f>
        <v>6702.51</v>
      </c>
      <c r="H11" t="str">
        <f>"600.00"</f>
        <v>600.00</v>
      </c>
      <c r="I11" t="str">
        <f>"23"</f>
        <v>23</v>
      </c>
      <c r="J11" t="str">
        <f>"证券买入(合肥城建)"</f>
        <v>证券买入(合肥城建)</v>
      </c>
      <c r="K11" t="str">
        <f t="shared" ref="K11:K17" si="6">"5.00"</f>
        <v>5.00</v>
      </c>
      <c r="L11" t="str">
        <f t="shared" ref="L11:N12" si="7">"0.00"</f>
        <v>0.00</v>
      </c>
      <c r="M11" t="str">
        <f t="shared" si="7"/>
        <v>0.00</v>
      </c>
      <c r="N11" t="str">
        <f t="shared" si="7"/>
        <v>0.00</v>
      </c>
      <c r="O11" t="str">
        <f>"002208"</f>
        <v>002208</v>
      </c>
      <c r="P11" t="str">
        <f>"0153613480"</f>
        <v>0153613480</v>
      </c>
    </row>
    <row r="12" spans="1:16" x14ac:dyDescent="0.25">
      <c r="A12" t="str">
        <f t="shared" si="0"/>
        <v>人民币</v>
      </c>
      <c r="B12" t="str">
        <f>"合肥城建"</f>
        <v>合肥城建</v>
      </c>
      <c r="C12" t="str">
        <f>"20170303"</f>
        <v>20170303</v>
      </c>
      <c r="D12" t="str">
        <f>"17.100"</f>
        <v>17.100</v>
      </c>
      <c r="E12" t="str">
        <f>"300.00"</f>
        <v>300.00</v>
      </c>
      <c r="F12" t="str">
        <f>"-5135.00"</f>
        <v>-5135.00</v>
      </c>
      <c r="G12" t="str">
        <f>"1567.51"</f>
        <v>1567.51</v>
      </c>
      <c r="H12" t="str">
        <f>"900.00"</f>
        <v>900.00</v>
      </c>
      <c r="I12" t="str">
        <f>"26"</f>
        <v>26</v>
      </c>
      <c r="J12" t="str">
        <f>"证券买入(合肥城建)"</f>
        <v>证券买入(合肥城建)</v>
      </c>
      <c r="K12" t="str">
        <f t="shared" si="6"/>
        <v>5.00</v>
      </c>
      <c r="L12" t="str">
        <f t="shared" si="7"/>
        <v>0.00</v>
      </c>
      <c r="M12" t="str">
        <f t="shared" si="7"/>
        <v>0.00</v>
      </c>
      <c r="N12" t="str">
        <f t="shared" si="7"/>
        <v>0.00</v>
      </c>
      <c r="O12" t="str">
        <f>"002208"</f>
        <v>002208</v>
      </c>
      <c r="P12" t="str">
        <f>"0153613480"</f>
        <v>0153613480</v>
      </c>
    </row>
    <row r="13" spans="1:16" x14ac:dyDescent="0.25">
      <c r="A13" t="str">
        <f t="shared" si="0"/>
        <v>人民币</v>
      </c>
      <c r="B13" t="str">
        <f>"均胜电子"</f>
        <v>均胜电子</v>
      </c>
      <c r="C13" t="str">
        <f>"20170307"</f>
        <v>20170307</v>
      </c>
      <c r="D13" t="str">
        <f>"31.980"</f>
        <v>31.980</v>
      </c>
      <c r="E13" t="str">
        <f>"200.00"</f>
        <v>200.00</v>
      </c>
      <c r="F13" t="str">
        <f>"-6401.13"</f>
        <v>-6401.13</v>
      </c>
      <c r="G13" t="str">
        <f>"-4833.62"</f>
        <v>-4833.62</v>
      </c>
      <c r="H13" t="str">
        <f>"200.00"</f>
        <v>200.00</v>
      </c>
      <c r="I13" t="str">
        <f>"37"</f>
        <v>37</v>
      </c>
      <c r="J13" t="str">
        <f>"证券买入(均胜电子)"</f>
        <v>证券买入(均胜电子)</v>
      </c>
      <c r="K13" t="str">
        <f t="shared" si="6"/>
        <v>5.00</v>
      </c>
      <c r="L13" t="str">
        <f>"0.00"</f>
        <v>0.00</v>
      </c>
      <c r="M13" t="str">
        <f>"0.13"</f>
        <v>0.13</v>
      </c>
      <c r="N13" t="str">
        <f t="shared" ref="N13:N19" si="8">"0.00"</f>
        <v>0.00</v>
      </c>
      <c r="O13" t="str">
        <f>"600699"</f>
        <v>600699</v>
      </c>
      <c r="P13" t="str">
        <f>"A400948245"</f>
        <v>A400948245</v>
      </c>
    </row>
    <row r="14" spans="1:16" x14ac:dyDescent="0.25">
      <c r="A14" t="str">
        <f t="shared" si="0"/>
        <v>人民币</v>
      </c>
      <c r="B14" t="str">
        <f>"东北制药"</f>
        <v>东北制药</v>
      </c>
      <c r="C14" t="str">
        <f>"20170307"</f>
        <v>20170307</v>
      </c>
      <c r="D14" t="str">
        <f>"11.170"</f>
        <v>11.170</v>
      </c>
      <c r="E14" t="str">
        <f>"-1000.00"</f>
        <v>-1000.00</v>
      </c>
      <c r="F14" t="str">
        <f>"11153.83"</f>
        <v>11153.83</v>
      </c>
      <c r="G14" t="str">
        <f>"6320.21"</f>
        <v>6320.21</v>
      </c>
      <c r="H14" t="str">
        <f>"0.00"</f>
        <v>0.00</v>
      </c>
      <c r="I14" t="str">
        <f>"34"</f>
        <v>34</v>
      </c>
      <c r="J14" t="str">
        <f>"证券卖出(东北制药)"</f>
        <v>证券卖出(东北制药)</v>
      </c>
      <c r="K14" t="str">
        <f t="shared" si="6"/>
        <v>5.00</v>
      </c>
      <c r="L14" t="str">
        <f>"11.17"</f>
        <v>11.17</v>
      </c>
      <c r="M14" t="str">
        <f>"0.00"</f>
        <v>0.00</v>
      </c>
      <c r="N14" t="str">
        <f t="shared" si="8"/>
        <v>0.00</v>
      </c>
      <c r="O14" t="str">
        <f>"000597"</f>
        <v>000597</v>
      </c>
      <c r="P14" t="str">
        <f>"0153613480"</f>
        <v>0153613480</v>
      </c>
    </row>
    <row r="15" spans="1:16" x14ac:dyDescent="0.25">
      <c r="A15" t="str">
        <f t="shared" si="0"/>
        <v>人民币</v>
      </c>
      <c r="B15" t="str">
        <f>"合肥城建"</f>
        <v>合肥城建</v>
      </c>
      <c r="C15" t="str">
        <f>"20170307"</f>
        <v>20170307</v>
      </c>
      <c r="D15" t="str">
        <f>"17.080"</f>
        <v>17.080</v>
      </c>
      <c r="E15" t="str">
        <f>"300.00"</f>
        <v>300.00</v>
      </c>
      <c r="F15" t="str">
        <f>"-5129.00"</f>
        <v>-5129.00</v>
      </c>
      <c r="G15" t="str">
        <f>"1191.21"</f>
        <v>1191.21</v>
      </c>
      <c r="H15" t="str">
        <f>"1200.00"</f>
        <v>1200.00</v>
      </c>
      <c r="I15" t="str">
        <f>"40"</f>
        <v>40</v>
      </c>
      <c r="J15" t="str">
        <f>"证券买入(合肥城建)"</f>
        <v>证券买入(合肥城建)</v>
      </c>
      <c r="K15" t="str">
        <f t="shared" si="6"/>
        <v>5.00</v>
      </c>
      <c r="L15" t="str">
        <f>"0.00"</f>
        <v>0.00</v>
      </c>
      <c r="M15" t="str">
        <f>"0.00"</f>
        <v>0.00</v>
      </c>
      <c r="N15" t="str">
        <f t="shared" si="8"/>
        <v>0.00</v>
      </c>
      <c r="O15" t="str">
        <f>"002208"</f>
        <v>002208</v>
      </c>
      <c r="P15" t="str">
        <f>"0153613480"</f>
        <v>0153613480</v>
      </c>
    </row>
    <row r="16" spans="1:16" x14ac:dyDescent="0.25">
      <c r="A16" t="str">
        <f t="shared" si="0"/>
        <v>人民币</v>
      </c>
      <c r="B16" t="str">
        <f>"均胜电子"</f>
        <v>均胜电子</v>
      </c>
      <c r="C16" t="str">
        <f>"20170314"</f>
        <v>20170314</v>
      </c>
      <c r="D16" t="str">
        <f>"32.900"</f>
        <v>32.900</v>
      </c>
      <c r="E16" t="str">
        <f>"-200.00"</f>
        <v>-200.00</v>
      </c>
      <c r="F16" t="str">
        <f>"6568.29"</f>
        <v>6568.29</v>
      </c>
      <c r="G16" t="str">
        <f>"7759.50"</f>
        <v>7759.50</v>
      </c>
      <c r="H16" t="str">
        <f>"0.00"</f>
        <v>0.00</v>
      </c>
      <c r="I16" t="str">
        <f>"46"</f>
        <v>46</v>
      </c>
      <c r="J16" t="str">
        <f>"证券卖出(均胜电子)"</f>
        <v>证券卖出(均胜电子)</v>
      </c>
      <c r="K16" t="str">
        <f t="shared" si="6"/>
        <v>5.00</v>
      </c>
      <c r="L16" t="str">
        <f>"6.58"</f>
        <v>6.58</v>
      </c>
      <c r="M16" t="str">
        <f>"0.13"</f>
        <v>0.13</v>
      </c>
      <c r="N16" t="str">
        <f t="shared" si="8"/>
        <v>0.00</v>
      </c>
      <c r="O16" t="str">
        <f>"600699"</f>
        <v>600699</v>
      </c>
      <c r="P16" t="str">
        <f>"A400948245"</f>
        <v>A400948245</v>
      </c>
    </row>
    <row r="17" spans="1:16" x14ac:dyDescent="0.25">
      <c r="A17" t="str">
        <f t="shared" si="0"/>
        <v>人民币</v>
      </c>
      <c r="B17" t="str">
        <f>"合肥城建"</f>
        <v>合肥城建</v>
      </c>
      <c r="C17" t="str">
        <f>"20170315"</f>
        <v>20170315</v>
      </c>
      <c r="D17" t="str">
        <f>"16.820"</f>
        <v>16.820</v>
      </c>
      <c r="E17" t="str">
        <f>"400.00"</f>
        <v>400.00</v>
      </c>
      <c r="F17" t="str">
        <f>"-6733.00"</f>
        <v>-6733.00</v>
      </c>
      <c r="G17" t="str">
        <f>"1026.50"</f>
        <v>1026.50</v>
      </c>
      <c r="H17" t="str">
        <f>"1600.00"</f>
        <v>1600.00</v>
      </c>
      <c r="I17" t="str">
        <f>"54"</f>
        <v>54</v>
      </c>
      <c r="J17" t="str">
        <f>"证券买入(合肥城建)"</f>
        <v>证券买入(合肥城建)</v>
      </c>
      <c r="K17" t="str">
        <f t="shared" si="6"/>
        <v>5.00</v>
      </c>
      <c r="L17" t="str">
        <f t="shared" ref="L17:M19" si="9">"0.00"</f>
        <v>0.00</v>
      </c>
      <c r="M17" t="str">
        <f t="shared" si="9"/>
        <v>0.00</v>
      </c>
      <c r="N17" t="str">
        <f t="shared" si="8"/>
        <v>0.00</v>
      </c>
      <c r="O17" t="str">
        <f>"002208"</f>
        <v>002208</v>
      </c>
      <c r="P17" t="str">
        <f>"0153613480"</f>
        <v>0153613480</v>
      </c>
    </row>
    <row r="18" spans="1:16" x14ac:dyDescent="0.25">
      <c r="A18" t="str">
        <f t="shared" si="0"/>
        <v>人民币</v>
      </c>
      <c r="B18" t="str">
        <f>"快意电梯"</f>
        <v>快意电梯</v>
      </c>
      <c r="C18" t="str">
        <f>"20170315"</f>
        <v>20170315</v>
      </c>
      <c r="D18" t="str">
        <f>"0.000"</f>
        <v>0.000</v>
      </c>
      <c r="E18" t="str">
        <f>"2.00"</f>
        <v>2.00</v>
      </c>
      <c r="F18" t="str">
        <f>"0.00"</f>
        <v>0.00</v>
      </c>
      <c r="G18" t="str">
        <f>"1026.50"</f>
        <v>1026.50</v>
      </c>
      <c r="H18" t="str">
        <f>"0.00"</f>
        <v>0.00</v>
      </c>
      <c r="I18" t="str">
        <f>"50"</f>
        <v>50</v>
      </c>
      <c r="J18" t="str">
        <f>"申购配号(快意电梯)"</f>
        <v>申购配号(快意电梯)</v>
      </c>
      <c r="K18" t="str">
        <f>"0.00"</f>
        <v>0.00</v>
      </c>
      <c r="L18" t="str">
        <f t="shared" si="9"/>
        <v>0.00</v>
      </c>
      <c r="M18" t="str">
        <f t="shared" si="9"/>
        <v>0.00</v>
      </c>
      <c r="N18" t="str">
        <f t="shared" si="8"/>
        <v>0.00</v>
      </c>
      <c r="O18" t="str">
        <f>"002774"</f>
        <v>002774</v>
      </c>
      <c r="P18" t="str">
        <f>"0153613480"</f>
        <v>0153613480</v>
      </c>
    </row>
    <row r="19" spans="1:16" x14ac:dyDescent="0.25">
      <c r="A19" t="str">
        <f t="shared" si="0"/>
        <v>人民币</v>
      </c>
      <c r="B19" t="str">
        <f>"力盛赛车"</f>
        <v>力盛赛车</v>
      </c>
      <c r="C19" t="str">
        <f>"20170315"</f>
        <v>20170315</v>
      </c>
      <c r="D19" t="str">
        <f>"0.000"</f>
        <v>0.000</v>
      </c>
      <c r="E19" t="str">
        <f>"2.00"</f>
        <v>2.00</v>
      </c>
      <c r="F19" t="str">
        <f>"0.00"</f>
        <v>0.00</v>
      </c>
      <c r="G19" t="str">
        <f>"1026.50"</f>
        <v>1026.50</v>
      </c>
      <c r="H19" t="str">
        <f>"0.00"</f>
        <v>0.00</v>
      </c>
      <c r="I19" t="str">
        <f>"52"</f>
        <v>52</v>
      </c>
      <c r="J19" t="str">
        <f>"申购配号(力盛赛车)"</f>
        <v>申购配号(力盛赛车)</v>
      </c>
      <c r="K19" t="str">
        <f>"0.00"</f>
        <v>0.00</v>
      </c>
      <c r="L19" t="str">
        <f t="shared" si="9"/>
        <v>0.00</v>
      </c>
      <c r="M19" t="str">
        <f t="shared" si="9"/>
        <v>0.00</v>
      </c>
      <c r="N19" t="str">
        <f t="shared" si="8"/>
        <v>0.00</v>
      </c>
      <c r="O19" t="str">
        <f>"002858"</f>
        <v>002858</v>
      </c>
      <c r="P19" t="str">
        <f>"0153613480"</f>
        <v>0153613480</v>
      </c>
    </row>
    <row r="20" spans="1:16" x14ac:dyDescent="0.25">
      <c r="A20" t="str">
        <f t="shared" si="0"/>
        <v>人民币</v>
      </c>
      <c r="B20" t="str">
        <f>" "</f>
        <v xml:space="preserve"> </v>
      </c>
      <c r="C20" t="str">
        <f>"20170320"</f>
        <v>20170320</v>
      </c>
      <c r="D20" t="str">
        <f>"---"</f>
        <v>---</v>
      </c>
      <c r="E20" t="str">
        <f>"---"</f>
        <v>---</v>
      </c>
      <c r="F20" t="str">
        <f>"0.53"</f>
        <v>0.53</v>
      </c>
      <c r="G20" t="str">
        <f>"1027.03"</f>
        <v>1027.03</v>
      </c>
      <c r="H20" t="str">
        <f>"---"</f>
        <v>---</v>
      </c>
      <c r="I20" t="str">
        <f>"---"</f>
        <v>---</v>
      </c>
      <c r="J20" t="str">
        <f>"批量利息归本"</f>
        <v>批量利息归本</v>
      </c>
      <c r="K20" t="str">
        <f t="shared" ref="K20:P21" si="10">"---"</f>
        <v>---</v>
      </c>
      <c r="L20" t="str">
        <f t="shared" si="10"/>
        <v>---</v>
      </c>
      <c r="M20" t="str">
        <f t="shared" si="10"/>
        <v>---</v>
      </c>
      <c r="N20" t="str">
        <f t="shared" si="10"/>
        <v>---</v>
      </c>
      <c r="O20" t="str">
        <f t="shared" si="10"/>
        <v>---</v>
      </c>
      <c r="P20" t="str">
        <f t="shared" si="10"/>
        <v>---</v>
      </c>
    </row>
    <row r="21" spans="1:16" x14ac:dyDescent="0.25">
      <c r="A21" t="str">
        <f t="shared" si="0"/>
        <v>人民币</v>
      </c>
      <c r="B21" t="str">
        <f>" "</f>
        <v xml:space="preserve"> </v>
      </c>
      <c r="C21" t="str">
        <f>"20170322"</f>
        <v>20170322</v>
      </c>
      <c r="D21" t="str">
        <f>"---"</f>
        <v>---</v>
      </c>
      <c r="E21" t="str">
        <f>"---"</f>
        <v>---</v>
      </c>
      <c r="F21" t="str">
        <f>"8000.00"</f>
        <v>8000.00</v>
      </c>
      <c r="G21" t="str">
        <f>"9027.03"</f>
        <v>9027.03</v>
      </c>
      <c r="H21" t="str">
        <f>"---"</f>
        <v>---</v>
      </c>
      <c r="I21" t="str">
        <f>"---"</f>
        <v>---</v>
      </c>
      <c r="J21" t="str">
        <f>"银行转存"</f>
        <v>银行转存</v>
      </c>
      <c r="K21" t="str">
        <f t="shared" si="10"/>
        <v>---</v>
      </c>
      <c r="L21" t="str">
        <f t="shared" si="10"/>
        <v>---</v>
      </c>
      <c r="M21" t="str">
        <f t="shared" si="10"/>
        <v>---</v>
      </c>
      <c r="N21" t="str">
        <f t="shared" si="10"/>
        <v>---</v>
      </c>
      <c r="O21" t="str">
        <f t="shared" si="10"/>
        <v>---</v>
      </c>
      <c r="P21" t="str">
        <f t="shared" si="10"/>
        <v>---</v>
      </c>
    </row>
    <row r="22" spans="1:16" x14ac:dyDescent="0.25">
      <c r="A22" t="str">
        <f t="shared" si="0"/>
        <v>人民币</v>
      </c>
      <c r="B22" t="str">
        <f>"合肥城建"</f>
        <v>合肥城建</v>
      </c>
      <c r="C22" t="str">
        <f>"20170322"</f>
        <v>20170322</v>
      </c>
      <c r="D22" t="str">
        <f>"16.300"</f>
        <v>16.300</v>
      </c>
      <c r="E22" t="str">
        <f>"500.00"</f>
        <v>500.00</v>
      </c>
      <c r="F22" t="str">
        <f>"-8155.00"</f>
        <v>-8155.00</v>
      </c>
      <c r="G22" t="str">
        <f>"872.03"</f>
        <v>872.03</v>
      </c>
      <c r="H22" t="str">
        <f>"2100.00"</f>
        <v>2100.00</v>
      </c>
      <c r="I22" t="str">
        <f>"65"</f>
        <v>65</v>
      </c>
      <c r="J22" t="str">
        <f>"证券买入(合肥城建)"</f>
        <v>证券买入(合肥城建)</v>
      </c>
      <c r="K22" t="str">
        <f>"5.00"</f>
        <v>5.00</v>
      </c>
      <c r="L22" t="str">
        <f t="shared" ref="L22:N23" si="11">"0.00"</f>
        <v>0.00</v>
      </c>
      <c r="M22" t="str">
        <f t="shared" si="11"/>
        <v>0.00</v>
      </c>
      <c r="N22" t="str">
        <f t="shared" si="11"/>
        <v>0.00</v>
      </c>
      <c r="O22" t="str">
        <f>"002208"</f>
        <v>002208</v>
      </c>
      <c r="P22" t="str">
        <f t="shared" ref="P22:P31" si="12">"0153613480"</f>
        <v>0153613480</v>
      </c>
    </row>
    <row r="23" spans="1:16" x14ac:dyDescent="0.25">
      <c r="A23" t="str">
        <f t="shared" si="0"/>
        <v>人民币</v>
      </c>
      <c r="B23" t="str">
        <f>"达安股份"</f>
        <v>达安股份</v>
      </c>
      <c r="C23" t="str">
        <f>"20170323"</f>
        <v>20170323</v>
      </c>
      <c r="D23" t="str">
        <f>"0.000"</f>
        <v>0.000</v>
      </c>
      <c r="E23" t="str">
        <f>"3.00"</f>
        <v>3.00</v>
      </c>
      <c r="F23" t="str">
        <f>"0.00"</f>
        <v>0.00</v>
      </c>
      <c r="G23" t="str">
        <f>"872.03"</f>
        <v>872.03</v>
      </c>
      <c r="H23" t="str">
        <f>"0.00"</f>
        <v>0.00</v>
      </c>
      <c r="I23" t="str">
        <f>"69"</f>
        <v>69</v>
      </c>
      <c r="J23" t="str">
        <f>"申购配号(达安股份)"</f>
        <v>申购配号(达安股份)</v>
      </c>
      <c r="K23" t="str">
        <f>"0.00"</f>
        <v>0.00</v>
      </c>
      <c r="L23" t="str">
        <f t="shared" si="11"/>
        <v>0.00</v>
      </c>
      <c r="M23" t="str">
        <f t="shared" si="11"/>
        <v>0.00</v>
      </c>
      <c r="N23" t="str">
        <f t="shared" si="11"/>
        <v>0.00</v>
      </c>
      <c r="O23" t="str">
        <f>"300635"</f>
        <v>300635</v>
      </c>
      <c r="P23" t="str">
        <f t="shared" si="12"/>
        <v>0153613480</v>
      </c>
    </row>
    <row r="24" spans="1:16" x14ac:dyDescent="0.25">
      <c r="A24" t="str">
        <f t="shared" si="0"/>
        <v>人民币</v>
      </c>
      <c r="B24" t="str">
        <f>"合肥城建"</f>
        <v>合肥城建</v>
      </c>
      <c r="C24" t="str">
        <f>"20170324"</f>
        <v>20170324</v>
      </c>
      <c r="D24" t="str">
        <f>"17.480"</f>
        <v>17.480</v>
      </c>
      <c r="E24" t="str">
        <f>"-500.00"</f>
        <v>-500.00</v>
      </c>
      <c r="F24" t="str">
        <f>"8726.26"</f>
        <v>8726.26</v>
      </c>
      <c r="G24" t="str">
        <f>"9598.29"</f>
        <v>9598.29</v>
      </c>
      <c r="H24" t="str">
        <f>"1600.00"</f>
        <v>1600.00</v>
      </c>
      <c r="I24" t="str">
        <f>"74"</f>
        <v>74</v>
      </c>
      <c r="J24" t="str">
        <f>"证券卖出(合肥城建)"</f>
        <v>证券卖出(合肥城建)</v>
      </c>
      <c r="K24" t="str">
        <f>"5.00"</f>
        <v>5.00</v>
      </c>
      <c r="L24" t="str">
        <f>"8.74"</f>
        <v>8.74</v>
      </c>
      <c r="M24" t="str">
        <f t="shared" ref="M24:N31" si="13">"0.00"</f>
        <v>0.00</v>
      </c>
      <c r="N24" t="str">
        <f t="shared" si="13"/>
        <v>0.00</v>
      </c>
      <c r="O24" t="str">
        <f>"002208"</f>
        <v>002208</v>
      </c>
      <c r="P24" t="str">
        <f t="shared" si="12"/>
        <v>0153613480</v>
      </c>
    </row>
    <row r="25" spans="1:16" x14ac:dyDescent="0.25">
      <c r="A25" t="str">
        <f t="shared" si="0"/>
        <v>人民币</v>
      </c>
      <c r="B25" t="str">
        <f>"合肥城建"</f>
        <v>合肥城建</v>
      </c>
      <c r="C25" t="str">
        <f>"20170327"</f>
        <v>20170327</v>
      </c>
      <c r="D25" t="str">
        <f>"16.830"</f>
        <v>16.830</v>
      </c>
      <c r="E25" t="str">
        <f>"400.00"</f>
        <v>400.00</v>
      </c>
      <c r="F25" t="str">
        <f>"-6737.00"</f>
        <v>-6737.00</v>
      </c>
      <c r="G25" t="str">
        <f>"2861.29"</f>
        <v>2861.29</v>
      </c>
      <c r="H25" t="str">
        <f>"2000.00"</f>
        <v>2000.00</v>
      </c>
      <c r="I25" t="str">
        <f>"78"</f>
        <v>78</v>
      </c>
      <c r="J25" t="str">
        <f>"证券买入(合肥城建)"</f>
        <v>证券买入(合肥城建)</v>
      </c>
      <c r="K25" t="str">
        <f>"5.00"</f>
        <v>5.00</v>
      </c>
      <c r="L25" t="str">
        <f t="shared" ref="L25:L31" si="14">"0.00"</f>
        <v>0.00</v>
      </c>
      <c r="M25" t="str">
        <f t="shared" si="13"/>
        <v>0.00</v>
      </c>
      <c r="N25" t="str">
        <f t="shared" si="13"/>
        <v>0.00</v>
      </c>
      <c r="O25" t="str">
        <f>"002208"</f>
        <v>002208</v>
      </c>
      <c r="P25" t="str">
        <f t="shared" si="12"/>
        <v>0153613480</v>
      </c>
    </row>
    <row r="26" spans="1:16" x14ac:dyDescent="0.25">
      <c r="A26" t="str">
        <f t="shared" si="0"/>
        <v>人民币</v>
      </c>
      <c r="B26" t="str">
        <f>"广和通"</f>
        <v>广和通</v>
      </c>
      <c r="C26" t="str">
        <f>"20170327"</f>
        <v>20170327</v>
      </c>
      <c r="D26" t="str">
        <f>"0.000"</f>
        <v>0.000</v>
      </c>
      <c r="E26" t="str">
        <f>"4.00"</f>
        <v>4.00</v>
      </c>
      <c r="F26" t="str">
        <f>"0.00"</f>
        <v>0.00</v>
      </c>
      <c r="G26" t="str">
        <f>"2861.29"</f>
        <v>2861.29</v>
      </c>
      <c r="H26" t="str">
        <f>"0.00"</f>
        <v>0.00</v>
      </c>
      <c r="I26" t="str">
        <f>"81"</f>
        <v>81</v>
      </c>
      <c r="J26" t="str">
        <f>"申购配号(广和通)"</f>
        <v>申购配号(广和通)</v>
      </c>
      <c r="K26" t="str">
        <f>"0.00"</f>
        <v>0.00</v>
      </c>
      <c r="L26" t="str">
        <f t="shared" si="14"/>
        <v>0.00</v>
      </c>
      <c r="M26" t="str">
        <f t="shared" si="13"/>
        <v>0.00</v>
      </c>
      <c r="N26" t="str">
        <f t="shared" si="13"/>
        <v>0.00</v>
      </c>
      <c r="O26" t="str">
        <f>"300638"</f>
        <v>300638</v>
      </c>
      <c r="P26" t="str">
        <f t="shared" si="12"/>
        <v>0153613480</v>
      </c>
    </row>
    <row r="27" spans="1:16" x14ac:dyDescent="0.25">
      <c r="A27" t="str">
        <f t="shared" si="0"/>
        <v>人民币</v>
      </c>
      <c r="B27" t="str">
        <f>"星帅尔"</f>
        <v>星帅尔</v>
      </c>
      <c r="C27" t="str">
        <f>"20170329"</f>
        <v>20170329</v>
      </c>
      <c r="D27" t="str">
        <f>"0.000"</f>
        <v>0.000</v>
      </c>
      <c r="E27" t="str">
        <f>"4.00"</f>
        <v>4.00</v>
      </c>
      <c r="F27" t="str">
        <f>"0.00"</f>
        <v>0.00</v>
      </c>
      <c r="G27" t="str">
        <f>"2861.29"</f>
        <v>2861.29</v>
      </c>
      <c r="H27" t="str">
        <f>"0.00"</f>
        <v>0.00</v>
      </c>
      <c r="I27" t="str">
        <f>"85"</f>
        <v>85</v>
      </c>
      <c r="J27" t="str">
        <f>"申购配号(星帅尔)"</f>
        <v>申购配号(星帅尔)</v>
      </c>
      <c r="K27" t="str">
        <f>"0.00"</f>
        <v>0.00</v>
      </c>
      <c r="L27" t="str">
        <f t="shared" si="14"/>
        <v>0.00</v>
      </c>
      <c r="M27" t="str">
        <f t="shared" si="13"/>
        <v>0.00</v>
      </c>
      <c r="N27" t="str">
        <f t="shared" si="13"/>
        <v>0.00</v>
      </c>
      <c r="O27" t="str">
        <f>"002860"</f>
        <v>002860</v>
      </c>
      <c r="P27" t="str">
        <f t="shared" si="12"/>
        <v>0153613480</v>
      </c>
    </row>
    <row r="28" spans="1:16" x14ac:dyDescent="0.25">
      <c r="A28" t="str">
        <f t="shared" si="0"/>
        <v>人民币</v>
      </c>
      <c r="B28" t="str">
        <f>"实丰文化"</f>
        <v>实丰文化</v>
      </c>
      <c r="C28" t="str">
        <f>"20170329"</f>
        <v>20170329</v>
      </c>
      <c r="D28" t="str">
        <f>"0.000"</f>
        <v>0.000</v>
      </c>
      <c r="E28" t="str">
        <f>"4.00"</f>
        <v>4.00</v>
      </c>
      <c r="F28" t="str">
        <f>"0.00"</f>
        <v>0.00</v>
      </c>
      <c r="G28" t="str">
        <f>"2861.29"</f>
        <v>2861.29</v>
      </c>
      <c r="H28" t="str">
        <f>"0.00"</f>
        <v>0.00</v>
      </c>
      <c r="I28" t="str">
        <f>"87"</f>
        <v>87</v>
      </c>
      <c r="J28" t="str">
        <f>"申购配号(实丰文化)"</f>
        <v>申购配号(实丰文化)</v>
      </c>
      <c r="K28" t="str">
        <f>"0.00"</f>
        <v>0.00</v>
      </c>
      <c r="L28" t="str">
        <f t="shared" si="14"/>
        <v>0.00</v>
      </c>
      <c r="M28" t="str">
        <f t="shared" si="13"/>
        <v>0.00</v>
      </c>
      <c r="N28" t="str">
        <f t="shared" si="13"/>
        <v>0.00</v>
      </c>
      <c r="O28" t="str">
        <f>"002862"</f>
        <v>002862</v>
      </c>
      <c r="P28" t="str">
        <f t="shared" si="12"/>
        <v>0153613480</v>
      </c>
    </row>
    <row r="29" spans="1:16" x14ac:dyDescent="0.25">
      <c r="A29" t="str">
        <f t="shared" si="0"/>
        <v>人民币</v>
      </c>
      <c r="B29" t="str">
        <f>"合肥城建"</f>
        <v>合肥城建</v>
      </c>
      <c r="C29" t="str">
        <f>"20170330"</f>
        <v>20170330</v>
      </c>
      <c r="D29" t="str">
        <f>"16.180"</f>
        <v>16.180</v>
      </c>
      <c r="E29" t="str">
        <f>"100.00"</f>
        <v>100.00</v>
      </c>
      <c r="F29" t="str">
        <f>"-1623.00"</f>
        <v>-1623.00</v>
      </c>
      <c r="G29" t="str">
        <f>"1238.29"</f>
        <v>1238.29</v>
      </c>
      <c r="H29" t="str">
        <f>"2100.00"</f>
        <v>2100.00</v>
      </c>
      <c r="I29" t="str">
        <f>"99"</f>
        <v>99</v>
      </c>
      <c r="J29" t="str">
        <f>"证券买入(合肥城建)"</f>
        <v>证券买入(合肥城建)</v>
      </c>
      <c r="K29" t="str">
        <f>"5.00"</f>
        <v>5.00</v>
      </c>
      <c r="L29" t="str">
        <f t="shared" si="14"/>
        <v>0.00</v>
      </c>
      <c r="M29" t="str">
        <f t="shared" si="13"/>
        <v>0.00</v>
      </c>
      <c r="N29" t="str">
        <f t="shared" si="13"/>
        <v>0.00</v>
      </c>
      <c r="O29" t="str">
        <f>"002208"</f>
        <v>002208</v>
      </c>
      <c r="P29" t="str">
        <f t="shared" si="12"/>
        <v>0153613480</v>
      </c>
    </row>
    <row r="30" spans="1:16" x14ac:dyDescent="0.25">
      <c r="A30" t="str">
        <f t="shared" si="0"/>
        <v>人民币</v>
      </c>
      <c r="B30" t="str">
        <f>"扬帆新材"</f>
        <v>扬帆新材</v>
      </c>
      <c r="C30" t="str">
        <f>"20170330"</f>
        <v>20170330</v>
      </c>
      <c r="D30" t="str">
        <f>"0.000"</f>
        <v>0.000</v>
      </c>
      <c r="E30" t="str">
        <f>"5.00"</f>
        <v>5.00</v>
      </c>
      <c r="F30" t="str">
        <f>"0.00"</f>
        <v>0.00</v>
      </c>
      <c r="G30" t="str">
        <f>"1238.29"</f>
        <v>1238.29</v>
      </c>
      <c r="H30" t="str">
        <f>"0.00"</f>
        <v>0.00</v>
      </c>
      <c r="I30" t="str">
        <f>"91"</f>
        <v>91</v>
      </c>
      <c r="J30" t="str">
        <f>"申购配号(扬帆新材)"</f>
        <v>申购配号(扬帆新材)</v>
      </c>
      <c r="K30" t="str">
        <f>"0.00"</f>
        <v>0.00</v>
      </c>
      <c r="L30" t="str">
        <f t="shared" si="14"/>
        <v>0.00</v>
      </c>
      <c r="M30" t="str">
        <f t="shared" si="13"/>
        <v>0.00</v>
      </c>
      <c r="N30" t="str">
        <f t="shared" si="13"/>
        <v>0.00</v>
      </c>
      <c r="O30" t="str">
        <f>"300637"</f>
        <v>300637</v>
      </c>
      <c r="P30" t="str">
        <f t="shared" si="12"/>
        <v>0153613480</v>
      </c>
    </row>
    <row r="31" spans="1:16" x14ac:dyDescent="0.25">
      <c r="A31" t="str">
        <f t="shared" si="0"/>
        <v>人民币</v>
      </c>
      <c r="B31" t="str">
        <f>"凯普生物"</f>
        <v>凯普生物</v>
      </c>
      <c r="C31" t="str">
        <f>"20170330"</f>
        <v>20170330</v>
      </c>
      <c r="D31" t="str">
        <f>"0.000"</f>
        <v>0.000</v>
      </c>
      <c r="E31" t="str">
        <f>"5.00"</f>
        <v>5.00</v>
      </c>
      <c r="F31" t="str">
        <f>"0.00"</f>
        <v>0.00</v>
      </c>
      <c r="G31" t="str">
        <f>"1238.29"</f>
        <v>1238.29</v>
      </c>
      <c r="H31" t="str">
        <f>"0.00"</f>
        <v>0.00</v>
      </c>
      <c r="I31" t="str">
        <f>"93"</f>
        <v>93</v>
      </c>
      <c r="J31" t="str">
        <f>"申购配号(凯普生物)"</f>
        <v>申购配号(凯普生物)</v>
      </c>
      <c r="K31" t="str">
        <f>"0.00"</f>
        <v>0.00</v>
      </c>
      <c r="L31" t="str">
        <f t="shared" si="14"/>
        <v>0.00</v>
      </c>
      <c r="M31" t="str">
        <f t="shared" si="13"/>
        <v>0.00</v>
      </c>
      <c r="N31" t="str">
        <f t="shared" si="13"/>
        <v>0.00</v>
      </c>
      <c r="O31" t="str">
        <f>"300639"</f>
        <v>300639</v>
      </c>
      <c r="P31" t="str">
        <f t="shared" si="12"/>
        <v>0153613480</v>
      </c>
    </row>
    <row r="32" spans="1:16" x14ac:dyDescent="0.25">
      <c r="A32" t="str">
        <f t="shared" si="0"/>
        <v>人民币</v>
      </c>
      <c r="B32" t="str">
        <f>" "</f>
        <v xml:space="preserve"> </v>
      </c>
      <c r="C32" t="str">
        <f>"20170331"</f>
        <v>20170331</v>
      </c>
      <c r="D32" t="str">
        <f>"---"</f>
        <v>---</v>
      </c>
      <c r="E32" t="str">
        <f>"---"</f>
        <v>---</v>
      </c>
      <c r="F32" t="str">
        <f>"6000.00"</f>
        <v>6000.00</v>
      </c>
      <c r="G32" t="str">
        <f>"7238.29"</f>
        <v>7238.29</v>
      </c>
      <c r="H32" t="str">
        <f>"---"</f>
        <v>---</v>
      </c>
      <c r="I32" t="str">
        <f>"---"</f>
        <v>---</v>
      </c>
      <c r="J32" t="str">
        <f>"银行转存"</f>
        <v>银行转存</v>
      </c>
      <c r="K32" t="str">
        <f t="shared" ref="K32:P32" si="15">"---"</f>
        <v>---</v>
      </c>
      <c r="L32" t="str">
        <f t="shared" si="15"/>
        <v>---</v>
      </c>
      <c r="M32" t="str">
        <f t="shared" si="15"/>
        <v>---</v>
      </c>
      <c r="N32" t="str">
        <f t="shared" si="15"/>
        <v>---</v>
      </c>
      <c r="O32" t="str">
        <f t="shared" si="15"/>
        <v>---</v>
      </c>
      <c r="P32" t="str">
        <f t="shared" si="15"/>
        <v>---</v>
      </c>
    </row>
    <row r="33" spans="1:16" x14ac:dyDescent="0.25">
      <c r="A33" t="str">
        <f t="shared" si="0"/>
        <v>人民币</v>
      </c>
      <c r="B33" t="str">
        <f>"合肥城建"</f>
        <v>合肥城建</v>
      </c>
      <c r="C33" t="str">
        <f>"20170331"</f>
        <v>20170331</v>
      </c>
      <c r="D33" t="str">
        <f>"15.880"</f>
        <v>15.880</v>
      </c>
      <c r="E33" t="str">
        <f>"400.00"</f>
        <v>400.00</v>
      </c>
      <c r="F33" t="str">
        <f>"-6357.00"</f>
        <v>-6357.00</v>
      </c>
      <c r="G33" t="str">
        <f t="shared" ref="G33:G38" si="16">"881.29"</f>
        <v>881.29</v>
      </c>
      <c r="H33" t="str">
        <f>"2500.00"</f>
        <v>2500.00</v>
      </c>
      <c r="I33" t="str">
        <f>"119"</f>
        <v>119</v>
      </c>
      <c r="J33" t="str">
        <f>"证券买入(合肥城建)"</f>
        <v>证券买入(合肥城建)</v>
      </c>
      <c r="K33" t="str">
        <f>"5.00"</f>
        <v>5.00</v>
      </c>
      <c r="L33" t="str">
        <f t="shared" ref="L33:N38" si="17">"0.00"</f>
        <v>0.00</v>
      </c>
      <c r="M33" t="str">
        <f t="shared" si="17"/>
        <v>0.00</v>
      </c>
      <c r="N33" t="str">
        <f t="shared" si="17"/>
        <v>0.00</v>
      </c>
      <c r="O33" t="str">
        <f>"002208"</f>
        <v>002208</v>
      </c>
      <c r="P33" t="str">
        <f t="shared" ref="P33:P38" si="18">"0153613480"</f>
        <v>0153613480</v>
      </c>
    </row>
    <row r="34" spans="1:16" x14ac:dyDescent="0.25">
      <c r="A34" t="str">
        <f t="shared" si="0"/>
        <v>人民币</v>
      </c>
      <c r="B34" t="str">
        <f>"瀛通通讯"</f>
        <v>瀛通通讯</v>
      </c>
      <c r="C34" t="str">
        <f>"20170331"</f>
        <v>20170331</v>
      </c>
      <c r="D34" t="str">
        <f>"0.000"</f>
        <v>0.000</v>
      </c>
      <c r="E34" t="str">
        <f>"5.00"</f>
        <v>5.00</v>
      </c>
      <c r="F34" t="str">
        <f>"0.00"</f>
        <v>0.00</v>
      </c>
      <c r="G34" t="str">
        <f t="shared" si="16"/>
        <v>881.29</v>
      </c>
      <c r="H34" t="str">
        <f>"0.00"</f>
        <v>0.00</v>
      </c>
      <c r="I34" t="str">
        <f>"109"</f>
        <v>109</v>
      </c>
      <c r="J34" t="str">
        <f>"申购配号(瀛通通讯)"</f>
        <v>申购配号(瀛通通讯)</v>
      </c>
      <c r="K34" t="str">
        <f>"0.00"</f>
        <v>0.00</v>
      </c>
      <c r="L34" t="str">
        <f t="shared" si="17"/>
        <v>0.00</v>
      </c>
      <c r="M34" t="str">
        <f t="shared" si="17"/>
        <v>0.00</v>
      </c>
      <c r="N34" t="str">
        <f t="shared" si="17"/>
        <v>0.00</v>
      </c>
      <c r="O34" t="str">
        <f>"002861"</f>
        <v>002861</v>
      </c>
      <c r="P34" t="str">
        <f t="shared" si="18"/>
        <v>0153613480</v>
      </c>
    </row>
    <row r="35" spans="1:16" x14ac:dyDescent="0.25">
      <c r="A35" t="str">
        <f t="shared" si="0"/>
        <v>人民币</v>
      </c>
      <c r="B35" t="str">
        <f>"德艺文创"</f>
        <v>德艺文创</v>
      </c>
      <c r="C35" t="str">
        <f>"20170405"</f>
        <v>20170405</v>
      </c>
      <c r="D35" t="str">
        <f>"0.000"</f>
        <v>0.000</v>
      </c>
      <c r="E35" t="str">
        <f>"5.00"</f>
        <v>5.00</v>
      </c>
      <c r="F35" t="str">
        <f>"0.00"</f>
        <v>0.00</v>
      </c>
      <c r="G35" t="str">
        <f t="shared" si="16"/>
        <v>881.29</v>
      </c>
      <c r="H35" t="str">
        <f>"0.00"</f>
        <v>0.00</v>
      </c>
      <c r="I35" t="str">
        <f>"126"</f>
        <v>126</v>
      </c>
      <c r="J35" t="str">
        <f>"申购配号(德艺文创)"</f>
        <v>申购配号(德艺文创)</v>
      </c>
      <c r="K35" t="str">
        <f>"0.00"</f>
        <v>0.00</v>
      </c>
      <c r="L35" t="str">
        <f t="shared" si="17"/>
        <v>0.00</v>
      </c>
      <c r="M35" t="str">
        <f t="shared" si="17"/>
        <v>0.00</v>
      </c>
      <c r="N35" t="str">
        <f t="shared" si="17"/>
        <v>0.00</v>
      </c>
      <c r="O35" t="str">
        <f>"300640"</f>
        <v>300640</v>
      </c>
      <c r="P35" t="str">
        <f t="shared" si="18"/>
        <v>0153613480</v>
      </c>
    </row>
    <row r="36" spans="1:16" x14ac:dyDescent="0.25">
      <c r="A36" t="str">
        <f t="shared" si="0"/>
        <v>人民币</v>
      </c>
      <c r="B36" t="str">
        <f>"长川科技"</f>
        <v>长川科技</v>
      </c>
      <c r="C36" t="str">
        <f>"20170405"</f>
        <v>20170405</v>
      </c>
      <c r="D36" t="str">
        <f>"0.000"</f>
        <v>0.000</v>
      </c>
      <c r="E36" t="str">
        <f>"5.00"</f>
        <v>5.00</v>
      </c>
      <c r="F36" t="str">
        <f>"0.00"</f>
        <v>0.00</v>
      </c>
      <c r="G36" t="str">
        <f t="shared" si="16"/>
        <v>881.29</v>
      </c>
      <c r="H36" t="str">
        <f>"0.00"</f>
        <v>0.00</v>
      </c>
      <c r="I36" t="str">
        <f>"124"</f>
        <v>124</v>
      </c>
      <c r="J36" t="str">
        <f>"申购配号(长川科技)"</f>
        <v>申购配号(长川科技)</v>
      </c>
      <c r="K36" t="str">
        <f>"0.00"</f>
        <v>0.00</v>
      </c>
      <c r="L36" t="str">
        <f t="shared" si="17"/>
        <v>0.00</v>
      </c>
      <c r="M36" t="str">
        <f t="shared" si="17"/>
        <v>0.00</v>
      </c>
      <c r="N36" t="str">
        <f t="shared" si="17"/>
        <v>0.00</v>
      </c>
      <c r="O36" t="str">
        <f>"300604"</f>
        <v>300604</v>
      </c>
      <c r="P36" t="str">
        <f t="shared" si="18"/>
        <v>0153613480</v>
      </c>
    </row>
    <row r="37" spans="1:16" x14ac:dyDescent="0.25">
      <c r="A37" t="str">
        <f t="shared" si="0"/>
        <v>人民币</v>
      </c>
      <c r="B37" t="str">
        <f>"今飞凯达"</f>
        <v>今飞凯达</v>
      </c>
      <c r="C37" t="str">
        <f>"20170406"</f>
        <v>20170406</v>
      </c>
      <c r="D37" t="str">
        <f>"0.000"</f>
        <v>0.000</v>
      </c>
      <c r="E37" t="str">
        <f>"5.00"</f>
        <v>5.00</v>
      </c>
      <c r="F37" t="str">
        <f>"0.00"</f>
        <v>0.00</v>
      </c>
      <c r="G37" t="str">
        <f t="shared" si="16"/>
        <v>881.29</v>
      </c>
      <c r="H37" t="str">
        <f>"0.00"</f>
        <v>0.00</v>
      </c>
      <c r="I37" t="str">
        <f>"130"</f>
        <v>130</v>
      </c>
      <c r="J37" t="str">
        <f>"申购配号(今飞凯达)"</f>
        <v>申购配号(今飞凯达)</v>
      </c>
      <c r="K37" t="str">
        <f>"0.00"</f>
        <v>0.00</v>
      </c>
      <c r="L37" t="str">
        <f t="shared" si="17"/>
        <v>0.00</v>
      </c>
      <c r="M37" t="str">
        <f t="shared" si="17"/>
        <v>0.00</v>
      </c>
      <c r="N37" t="str">
        <f t="shared" si="17"/>
        <v>0.00</v>
      </c>
      <c r="O37" t="str">
        <f>"002863"</f>
        <v>002863</v>
      </c>
      <c r="P37" t="str">
        <f t="shared" si="18"/>
        <v>0153613480</v>
      </c>
    </row>
    <row r="38" spans="1:16" x14ac:dyDescent="0.25">
      <c r="A38" t="str">
        <f t="shared" si="0"/>
        <v>人民币</v>
      </c>
      <c r="B38" t="str">
        <f>"正丹股份"</f>
        <v>正丹股份</v>
      </c>
      <c r="C38" t="str">
        <f>"20170406"</f>
        <v>20170406</v>
      </c>
      <c r="D38" t="str">
        <f>"0.000"</f>
        <v>0.000</v>
      </c>
      <c r="E38" t="str">
        <f>"5.00"</f>
        <v>5.00</v>
      </c>
      <c r="F38" t="str">
        <f>"0.00"</f>
        <v>0.00</v>
      </c>
      <c r="G38" t="str">
        <f t="shared" si="16"/>
        <v>881.29</v>
      </c>
      <c r="H38" t="str">
        <f>"0.00"</f>
        <v>0.00</v>
      </c>
      <c r="I38" t="str">
        <f>"132"</f>
        <v>132</v>
      </c>
      <c r="J38" t="str">
        <f>"申购配号(正丹股份)"</f>
        <v>申购配号(正丹股份)</v>
      </c>
      <c r="K38" t="str">
        <f>"0.00"</f>
        <v>0.00</v>
      </c>
      <c r="L38" t="str">
        <f t="shared" si="17"/>
        <v>0.00</v>
      </c>
      <c r="M38" t="str">
        <f t="shared" si="17"/>
        <v>0.00</v>
      </c>
      <c r="N38" t="str">
        <f t="shared" si="17"/>
        <v>0.00</v>
      </c>
      <c r="O38" t="str">
        <f>"300641"</f>
        <v>300641</v>
      </c>
      <c r="P38" t="str">
        <f t="shared" si="18"/>
        <v>0153613480</v>
      </c>
    </row>
    <row r="39" spans="1:16" x14ac:dyDescent="0.25">
      <c r="A39" t="str">
        <f t="shared" si="0"/>
        <v>人民币</v>
      </c>
      <c r="B39" t="str">
        <f>"中直股份"</f>
        <v>中直股份</v>
      </c>
      <c r="C39" t="str">
        <f>"20170410"</f>
        <v>20170410</v>
      </c>
      <c r="D39" t="str">
        <f>"51.900"</f>
        <v>51.900</v>
      </c>
      <c r="E39" t="str">
        <f>"200.00"</f>
        <v>200.00</v>
      </c>
      <c r="F39" t="str">
        <f>"-10385.21"</f>
        <v>-10385.21</v>
      </c>
      <c r="G39" t="str">
        <f>"-9503.92"</f>
        <v>-9503.92</v>
      </c>
      <c r="H39" t="str">
        <f>"200.00"</f>
        <v>200.00</v>
      </c>
      <c r="I39" t="str">
        <f>"139"</f>
        <v>139</v>
      </c>
      <c r="J39" t="str">
        <f>"证券买入(中直股份)"</f>
        <v>证券买入(中直股份)</v>
      </c>
      <c r="K39" t="str">
        <f>"5.00"</f>
        <v>5.00</v>
      </c>
      <c r="L39" t="str">
        <f>"0.00"</f>
        <v>0.00</v>
      </c>
      <c r="M39" t="str">
        <f>"0.21"</f>
        <v>0.21</v>
      </c>
      <c r="N39" t="str">
        <f>"0.00"</f>
        <v>0.00</v>
      </c>
      <c r="O39" t="str">
        <f>"600038"</f>
        <v>600038</v>
      </c>
      <c r="P39" t="str">
        <f>"A400948245"</f>
        <v>A400948245</v>
      </c>
    </row>
    <row r="40" spans="1:16" x14ac:dyDescent="0.25">
      <c r="A40" t="str">
        <f t="shared" si="0"/>
        <v>人民币</v>
      </c>
      <c r="B40" t="str">
        <f>"合肥城建"</f>
        <v>合肥城建</v>
      </c>
      <c r="C40" t="str">
        <f>"20170410"</f>
        <v>20170410</v>
      </c>
      <c r="D40" t="str">
        <f>"15.800"</f>
        <v>15.800</v>
      </c>
      <c r="E40" t="str">
        <f>"-700.00"</f>
        <v>-700.00</v>
      </c>
      <c r="F40" t="str">
        <f>"11043.94"</f>
        <v>11043.94</v>
      </c>
      <c r="G40" t="str">
        <f>"1540.02"</f>
        <v>1540.02</v>
      </c>
      <c r="H40" t="str">
        <f>"1800.00"</f>
        <v>1800.00</v>
      </c>
      <c r="I40" t="str">
        <f>"136"</f>
        <v>136</v>
      </c>
      <c r="J40" t="str">
        <f>"证券卖出(合肥城建)"</f>
        <v>证券卖出(合肥城建)</v>
      </c>
      <c r="K40" t="str">
        <f>"5.00"</f>
        <v>5.00</v>
      </c>
      <c r="L40" t="str">
        <f>"11.06"</f>
        <v>11.06</v>
      </c>
      <c r="M40" t="str">
        <f>"0.00"</f>
        <v>0.00</v>
      </c>
      <c r="N40" t="str">
        <f>"0.00"</f>
        <v>0.00</v>
      </c>
      <c r="O40" t="str">
        <f>"002208"</f>
        <v>002208</v>
      </c>
      <c r="P40" t="str">
        <f>"0153613480"</f>
        <v>0153613480</v>
      </c>
    </row>
    <row r="41" spans="1:16" x14ac:dyDescent="0.25">
      <c r="A41" t="str">
        <f t="shared" si="0"/>
        <v>人民币</v>
      </c>
      <c r="B41" t="str">
        <f>" "</f>
        <v xml:space="preserve"> </v>
      </c>
      <c r="C41" t="str">
        <f>"20170411"</f>
        <v>20170411</v>
      </c>
      <c r="D41" t="str">
        <f>"---"</f>
        <v>---</v>
      </c>
      <c r="E41" t="str">
        <f>"---"</f>
        <v>---</v>
      </c>
      <c r="F41" t="str">
        <f>"-1000.00"</f>
        <v>-1000.00</v>
      </c>
      <c r="G41" t="str">
        <f>"540.02"</f>
        <v>540.02</v>
      </c>
      <c r="H41" t="str">
        <f>"---"</f>
        <v>---</v>
      </c>
      <c r="I41" t="str">
        <f>"---"</f>
        <v>---</v>
      </c>
      <c r="J41" t="str">
        <f>"银行转取"</f>
        <v>银行转取</v>
      </c>
      <c r="K41" t="str">
        <f t="shared" ref="K41:P41" si="19">"---"</f>
        <v>---</v>
      </c>
      <c r="L41" t="str">
        <f t="shared" si="19"/>
        <v>---</v>
      </c>
      <c r="M41" t="str">
        <f t="shared" si="19"/>
        <v>---</v>
      </c>
      <c r="N41" t="str">
        <f t="shared" si="19"/>
        <v>---</v>
      </c>
      <c r="O41" t="str">
        <f t="shared" si="19"/>
        <v>---</v>
      </c>
      <c r="P41" t="str">
        <f t="shared" si="19"/>
        <v>---</v>
      </c>
    </row>
    <row r="42" spans="1:16" x14ac:dyDescent="0.25">
      <c r="A42" t="str">
        <f t="shared" si="0"/>
        <v>人民币</v>
      </c>
      <c r="B42" t="str">
        <f>"中直股份"</f>
        <v>中直股份</v>
      </c>
      <c r="C42" t="str">
        <f>"20170411"</f>
        <v>20170411</v>
      </c>
      <c r="D42" t="str">
        <f>"53.600"</f>
        <v>53.600</v>
      </c>
      <c r="E42" t="str">
        <f>"-100.00"</f>
        <v>-100.00</v>
      </c>
      <c r="F42" t="str">
        <f>"5349.53"</f>
        <v>5349.53</v>
      </c>
      <c r="G42" t="str">
        <f>"5889.55"</f>
        <v>5889.55</v>
      </c>
      <c r="H42" t="str">
        <f>"100.00"</f>
        <v>100.00</v>
      </c>
      <c r="I42" t="str">
        <f>"7"</f>
        <v>7</v>
      </c>
      <c r="J42" t="str">
        <f>"证券卖出(中直股份)"</f>
        <v>证券卖出(中直股份)</v>
      </c>
      <c r="K42" t="str">
        <f>"5.00"</f>
        <v>5.00</v>
      </c>
      <c r="L42" t="str">
        <f>"5.36"</f>
        <v>5.36</v>
      </c>
      <c r="M42" t="str">
        <f>"0.11"</f>
        <v>0.11</v>
      </c>
      <c r="N42" t="str">
        <f>"0.00"</f>
        <v>0.00</v>
      </c>
      <c r="O42" t="str">
        <f>"600038"</f>
        <v>600038</v>
      </c>
      <c r="P42" t="str">
        <f>"A400948245"</f>
        <v>A400948245</v>
      </c>
    </row>
    <row r="43" spans="1:16" x14ac:dyDescent="0.25">
      <c r="A43" t="str">
        <f t="shared" si="0"/>
        <v>人民币</v>
      </c>
      <c r="B43" t="str">
        <f>"中直股份"</f>
        <v>中直股份</v>
      </c>
      <c r="C43" t="str">
        <f>"20170411"</f>
        <v>20170411</v>
      </c>
      <c r="D43" t="str">
        <f>"53.950"</f>
        <v>53.950</v>
      </c>
      <c r="E43" t="str">
        <f>"-100.00"</f>
        <v>-100.00</v>
      </c>
      <c r="F43" t="str">
        <f>"5384.49"</f>
        <v>5384.49</v>
      </c>
      <c r="G43" t="str">
        <f>"11274.04"</f>
        <v>11274.04</v>
      </c>
      <c r="H43" t="str">
        <f>"0.00"</f>
        <v>0.00</v>
      </c>
      <c r="I43" t="str">
        <f>"13"</f>
        <v>13</v>
      </c>
      <c r="J43" t="str">
        <f>"证券卖出(中直股份)"</f>
        <v>证券卖出(中直股份)</v>
      </c>
      <c r="K43" t="str">
        <f>"5.00"</f>
        <v>5.00</v>
      </c>
      <c r="L43" t="str">
        <f>"5.40"</f>
        <v>5.40</v>
      </c>
      <c r="M43" t="str">
        <f>"0.11"</f>
        <v>0.11</v>
      </c>
      <c r="N43" t="str">
        <f>"0.00"</f>
        <v>0.00</v>
      </c>
      <c r="O43" t="str">
        <f>"600038"</f>
        <v>600038</v>
      </c>
      <c r="P43" t="str">
        <f>"A400948245"</f>
        <v>A400948245</v>
      </c>
    </row>
    <row r="44" spans="1:16" x14ac:dyDescent="0.25">
      <c r="A44" t="str">
        <f t="shared" si="0"/>
        <v>人民币</v>
      </c>
      <c r="B44" t="str">
        <f>"西藏天路"</f>
        <v>西藏天路</v>
      </c>
      <c r="C44" t="str">
        <f>"20170411"</f>
        <v>20170411</v>
      </c>
      <c r="D44" t="str">
        <f>"12.980"</f>
        <v>12.980</v>
      </c>
      <c r="E44" t="str">
        <f>"400.00"</f>
        <v>400.00</v>
      </c>
      <c r="F44" t="str">
        <f>"-5197.10"</f>
        <v>-5197.10</v>
      </c>
      <c r="G44" t="str">
        <f>"6076.94"</f>
        <v>6076.94</v>
      </c>
      <c r="H44" t="str">
        <f>"400.00"</f>
        <v>400.00</v>
      </c>
      <c r="I44" t="str">
        <f>"16"</f>
        <v>16</v>
      </c>
      <c r="J44" t="str">
        <f>"证券买入(西藏天路)"</f>
        <v>证券买入(西藏天路)</v>
      </c>
      <c r="K44" t="str">
        <f>"5.00"</f>
        <v>5.00</v>
      </c>
      <c r="L44" t="str">
        <f>"0.00"</f>
        <v>0.00</v>
      </c>
      <c r="M44" t="str">
        <f>"0.10"</f>
        <v>0.10</v>
      </c>
      <c r="N44" t="str">
        <f>"0.00"</f>
        <v>0.00</v>
      </c>
      <c r="O44" t="str">
        <f>"600326"</f>
        <v>600326</v>
      </c>
      <c r="P44" t="str">
        <f>"A400948245"</f>
        <v>A400948245</v>
      </c>
    </row>
    <row r="45" spans="1:16" x14ac:dyDescent="0.25">
      <c r="A45" t="str">
        <f t="shared" si="0"/>
        <v>人民币</v>
      </c>
      <c r="B45" t="str">
        <f>"三超新材"</f>
        <v>三超新材</v>
      </c>
      <c r="C45" t="str">
        <f>"20170411"</f>
        <v>20170411</v>
      </c>
      <c r="D45" t="str">
        <f>"0.000"</f>
        <v>0.000</v>
      </c>
      <c r="E45" t="str">
        <f>"6.00"</f>
        <v>6.00</v>
      </c>
      <c r="F45" t="str">
        <f>"0.00"</f>
        <v>0.00</v>
      </c>
      <c r="G45" t="str">
        <f>"6076.94"</f>
        <v>6076.94</v>
      </c>
      <c r="H45" t="str">
        <f>"0.00"</f>
        <v>0.00</v>
      </c>
      <c r="I45" t="str">
        <f>"1"</f>
        <v>1</v>
      </c>
      <c r="J45" t="str">
        <f>"申购配号(三超新材)"</f>
        <v>申购配号(三超新材)</v>
      </c>
      <c r="K45" t="str">
        <f>"0.00"</f>
        <v>0.00</v>
      </c>
      <c r="L45" t="str">
        <f>"0.00"</f>
        <v>0.00</v>
      </c>
      <c r="M45" t="str">
        <f>"0.00"</f>
        <v>0.00</v>
      </c>
      <c r="N45" t="str">
        <f>"0.00"</f>
        <v>0.00</v>
      </c>
      <c r="O45" t="str">
        <f>"300554"</f>
        <v>300554</v>
      </c>
      <c r="P45" t="str">
        <f>"0153613480"</f>
        <v>0153613480</v>
      </c>
    </row>
    <row r="46" spans="1:16" x14ac:dyDescent="0.25">
      <c r="A46" t="str">
        <f t="shared" si="0"/>
        <v>人民币</v>
      </c>
      <c r="B46" t="str">
        <f>" "</f>
        <v xml:space="preserve"> </v>
      </c>
      <c r="C46" t="str">
        <f>"20170412"</f>
        <v>20170412</v>
      </c>
      <c r="D46" t="str">
        <f>"---"</f>
        <v>---</v>
      </c>
      <c r="E46" t="str">
        <f>"---"</f>
        <v>---</v>
      </c>
      <c r="F46" t="str">
        <f>"-5000.00"</f>
        <v>-5000.00</v>
      </c>
      <c r="G46" t="str">
        <f>"1076.94"</f>
        <v>1076.94</v>
      </c>
      <c r="H46" t="str">
        <f>"---"</f>
        <v>---</v>
      </c>
      <c r="I46" t="str">
        <f>"---"</f>
        <v>---</v>
      </c>
      <c r="J46" t="str">
        <f>"银行转取"</f>
        <v>银行转取</v>
      </c>
      <c r="K46" t="str">
        <f t="shared" ref="K46:P47" si="20">"---"</f>
        <v>---</v>
      </c>
      <c r="L46" t="str">
        <f t="shared" si="20"/>
        <v>---</v>
      </c>
      <c r="M46" t="str">
        <f t="shared" si="20"/>
        <v>---</v>
      </c>
      <c r="N46" t="str">
        <f t="shared" si="20"/>
        <v>---</v>
      </c>
      <c r="O46" t="str">
        <f t="shared" si="20"/>
        <v>---</v>
      </c>
      <c r="P46" t="str">
        <f t="shared" si="20"/>
        <v>---</v>
      </c>
    </row>
    <row r="47" spans="1:16" x14ac:dyDescent="0.25">
      <c r="A47" t="str">
        <f t="shared" si="0"/>
        <v>人民币</v>
      </c>
      <c r="B47" t="str">
        <f>" "</f>
        <v xml:space="preserve"> </v>
      </c>
      <c r="C47" t="str">
        <f>"20170412"</f>
        <v>20170412</v>
      </c>
      <c r="D47" t="str">
        <f>"---"</f>
        <v>---</v>
      </c>
      <c r="E47" t="str">
        <f>"---"</f>
        <v>---</v>
      </c>
      <c r="F47" t="str">
        <f>"-1000.00"</f>
        <v>-1000.00</v>
      </c>
      <c r="G47" t="str">
        <f>"76.94"</f>
        <v>76.94</v>
      </c>
      <c r="H47" t="str">
        <f>"---"</f>
        <v>---</v>
      </c>
      <c r="I47" t="str">
        <f>"---"</f>
        <v>---</v>
      </c>
      <c r="J47" t="str">
        <f>"银行转取"</f>
        <v>银行转取</v>
      </c>
      <c r="K47" t="str">
        <f t="shared" si="20"/>
        <v>---</v>
      </c>
      <c r="L47" t="str">
        <f t="shared" si="20"/>
        <v>---</v>
      </c>
      <c r="M47" t="str">
        <f t="shared" si="20"/>
        <v>---</v>
      </c>
      <c r="N47" t="str">
        <f t="shared" si="20"/>
        <v>---</v>
      </c>
      <c r="O47" t="str">
        <f t="shared" si="20"/>
        <v>---</v>
      </c>
      <c r="P47" t="str">
        <f t="shared" si="20"/>
        <v>---</v>
      </c>
    </row>
    <row r="48" spans="1:16" x14ac:dyDescent="0.25">
      <c r="A48" t="str">
        <f t="shared" si="0"/>
        <v>人民币</v>
      </c>
      <c r="B48" t="str">
        <f>"透景生命"</f>
        <v>透景生命</v>
      </c>
      <c r="C48" t="str">
        <f>"20170412"</f>
        <v>20170412</v>
      </c>
      <c r="D48" t="str">
        <f>"0.000"</f>
        <v>0.000</v>
      </c>
      <c r="E48" t="str">
        <f>"6.00"</f>
        <v>6.00</v>
      </c>
      <c r="F48" t="str">
        <f>"0.00"</f>
        <v>0.00</v>
      </c>
      <c r="G48" t="str">
        <f>"76.94"</f>
        <v>76.94</v>
      </c>
      <c r="H48" t="str">
        <f>"0.00"</f>
        <v>0.00</v>
      </c>
      <c r="I48" t="str">
        <f>"25"</f>
        <v>25</v>
      </c>
      <c r="J48" t="str">
        <f>"申购配号(透景生命)"</f>
        <v>申购配号(透景生命)</v>
      </c>
      <c r="K48" t="str">
        <f t="shared" ref="K48:N49" si="21">"0.00"</f>
        <v>0.00</v>
      </c>
      <c r="L48" t="str">
        <f t="shared" si="21"/>
        <v>0.00</v>
      </c>
      <c r="M48" t="str">
        <f t="shared" si="21"/>
        <v>0.00</v>
      </c>
      <c r="N48" t="str">
        <f t="shared" si="21"/>
        <v>0.00</v>
      </c>
      <c r="O48" t="str">
        <f>"300642"</f>
        <v>300642</v>
      </c>
      <c r="P48" t="str">
        <f>"0153613480"</f>
        <v>0153613480</v>
      </c>
    </row>
    <row r="49" spans="1:16" x14ac:dyDescent="0.25">
      <c r="A49" t="str">
        <f t="shared" si="0"/>
        <v>人民币</v>
      </c>
      <c r="B49" t="str">
        <f>"正元智慧"</f>
        <v>正元智慧</v>
      </c>
      <c r="C49" t="str">
        <f>"20170412"</f>
        <v>20170412</v>
      </c>
      <c r="D49" t="str">
        <f>"0.000"</f>
        <v>0.000</v>
      </c>
      <c r="E49" t="str">
        <f>"6.00"</f>
        <v>6.00</v>
      </c>
      <c r="F49" t="str">
        <f>"0.00"</f>
        <v>0.00</v>
      </c>
      <c r="G49" t="str">
        <f>"76.94"</f>
        <v>76.94</v>
      </c>
      <c r="H49" t="str">
        <f>"0.00"</f>
        <v>0.00</v>
      </c>
      <c r="I49" t="str">
        <f>"27"</f>
        <v>27</v>
      </c>
      <c r="J49" t="str">
        <f>"申购配号(正元智慧)"</f>
        <v>申购配号(正元智慧)</v>
      </c>
      <c r="K49" t="str">
        <f t="shared" si="21"/>
        <v>0.00</v>
      </c>
      <c r="L49" t="str">
        <f t="shared" si="21"/>
        <v>0.00</v>
      </c>
      <c r="M49" t="str">
        <f t="shared" si="21"/>
        <v>0.00</v>
      </c>
      <c r="N49" t="str">
        <f t="shared" si="21"/>
        <v>0.00</v>
      </c>
      <c r="O49" t="str">
        <f>"300645"</f>
        <v>300645</v>
      </c>
      <c r="P49" t="str">
        <f>"0153613480"</f>
        <v>0153613480</v>
      </c>
    </row>
    <row r="50" spans="1:16" x14ac:dyDescent="0.25">
      <c r="A50" t="str">
        <f t="shared" si="0"/>
        <v>人民币</v>
      </c>
      <c r="B50" t="str">
        <f>" "</f>
        <v xml:space="preserve"> </v>
      </c>
      <c r="C50" t="str">
        <f>"20170414"</f>
        <v>20170414</v>
      </c>
      <c r="D50" t="str">
        <f>"---"</f>
        <v>---</v>
      </c>
      <c r="E50" t="str">
        <f>"---"</f>
        <v>---</v>
      </c>
      <c r="F50" t="str">
        <f>"15000.00"</f>
        <v>15000.00</v>
      </c>
      <c r="G50" t="str">
        <f>"15076.94"</f>
        <v>15076.94</v>
      </c>
      <c r="H50" t="str">
        <f>"---"</f>
        <v>---</v>
      </c>
      <c r="I50" t="str">
        <f>"---"</f>
        <v>---</v>
      </c>
      <c r="J50" t="str">
        <f>"银行转存"</f>
        <v>银行转存</v>
      </c>
      <c r="K50" t="str">
        <f t="shared" ref="K50:P50" si="22">"---"</f>
        <v>---</v>
      </c>
      <c r="L50" t="str">
        <f t="shared" si="22"/>
        <v>---</v>
      </c>
      <c r="M50" t="str">
        <f t="shared" si="22"/>
        <v>---</v>
      </c>
      <c r="N50" t="str">
        <f t="shared" si="22"/>
        <v>---</v>
      </c>
      <c r="O50" t="str">
        <f t="shared" si="22"/>
        <v>---</v>
      </c>
      <c r="P50" t="str">
        <f t="shared" si="22"/>
        <v>---</v>
      </c>
    </row>
    <row r="51" spans="1:16" x14ac:dyDescent="0.25">
      <c r="A51" t="str">
        <f t="shared" si="0"/>
        <v>人民币</v>
      </c>
      <c r="B51" t="str">
        <f>"西藏天路"</f>
        <v>西藏天路</v>
      </c>
      <c r="C51" t="str">
        <f>"20170414"</f>
        <v>20170414</v>
      </c>
      <c r="D51" t="str">
        <f>"11.850"</f>
        <v>11.850</v>
      </c>
      <c r="E51" t="str">
        <f>"400.00"</f>
        <v>400.00</v>
      </c>
      <c r="F51" t="str">
        <f>"-4745.09"</f>
        <v>-4745.09</v>
      </c>
      <c r="G51" t="str">
        <f>"10331.85"</f>
        <v>10331.85</v>
      </c>
      <c r="H51" t="str">
        <f>"800.00"</f>
        <v>800.00</v>
      </c>
      <c r="I51" t="str">
        <f>"39"</f>
        <v>39</v>
      </c>
      <c r="J51" t="str">
        <f>"证券买入(西藏天路)"</f>
        <v>证券买入(西藏天路)</v>
      </c>
      <c r="K51" t="str">
        <f>"5.00"</f>
        <v>5.00</v>
      </c>
      <c r="L51" t="str">
        <f>"0.00"</f>
        <v>0.00</v>
      </c>
      <c r="M51" t="str">
        <f>"0.09"</f>
        <v>0.09</v>
      </c>
      <c r="N51" t="str">
        <f>"0.00"</f>
        <v>0.00</v>
      </c>
      <c r="O51" t="str">
        <f>"600326"</f>
        <v>600326</v>
      </c>
      <c r="P51" t="str">
        <f>"A400948245"</f>
        <v>A400948245</v>
      </c>
    </row>
    <row r="52" spans="1:16" x14ac:dyDescent="0.25">
      <c r="A52" t="str">
        <f t="shared" si="0"/>
        <v>人民币</v>
      </c>
      <c r="B52" t="str">
        <f>"西藏天路"</f>
        <v>西藏天路</v>
      </c>
      <c r="C52" t="str">
        <f>"20170414"</f>
        <v>20170414</v>
      </c>
      <c r="D52" t="str">
        <f>"11.650"</f>
        <v>11.650</v>
      </c>
      <c r="E52" t="str">
        <f>"400.00"</f>
        <v>400.00</v>
      </c>
      <c r="F52" t="str">
        <f>"-4665.09"</f>
        <v>-4665.09</v>
      </c>
      <c r="G52" t="str">
        <f>"5666.76"</f>
        <v>5666.76</v>
      </c>
      <c r="H52" t="str">
        <f>"1200.00"</f>
        <v>1200.00</v>
      </c>
      <c r="I52" t="str">
        <f>"42"</f>
        <v>42</v>
      </c>
      <c r="J52" t="str">
        <f>"证券买入(西藏天路)"</f>
        <v>证券买入(西藏天路)</v>
      </c>
      <c r="K52" t="str">
        <f>"5.00"</f>
        <v>5.00</v>
      </c>
      <c r="L52" t="str">
        <f>"0.00"</f>
        <v>0.00</v>
      </c>
      <c r="M52" t="str">
        <f>"0.09"</f>
        <v>0.09</v>
      </c>
      <c r="N52" t="str">
        <f>"0.00"</f>
        <v>0.00</v>
      </c>
      <c r="O52" t="str">
        <f>"600326"</f>
        <v>600326</v>
      </c>
      <c r="P52" t="str">
        <f>"A400948245"</f>
        <v>A400948245</v>
      </c>
    </row>
    <row r="53" spans="1:16" x14ac:dyDescent="0.25">
      <c r="A53" t="str">
        <f t="shared" si="0"/>
        <v>人民币</v>
      </c>
      <c r="B53" t="str">
        <f>"钧达股份"</f>
        <v>钧达股份</v>
      </c>
      <c r="C53" t="str">
        <f>"20170414"</f>
        <v>20170414</v>
      </c>
      <c r="D53" t="str">
        <f>"0.000"</f>
        <v>0.000</v>
      </c>
      <c r="E53" t="str">
        <f>"6.00"</f>
        <v>6.00</v>
      </c>
      <c r="F53" t="str">
        <f>"0.00"</f>
        <v>0.00</v>
      </c>
      <c r="G53" t="str">
        <f>"5666.76"</f>
        <v>5666.76</v>
      </c>
      <c r="H53" t="str">
        <f>"0.00"</f>
        <v>0.00</v>
      </c>
      <c r="I53" t="str">
        <f>"32"</f>
        <v>32</v>
      </c>
      <c r="J53" t="str">
        <f>"申购配号(钧达股份)"</f>
        <v>申购配号(钧达股份)</v>
      </c>
      <c r="K53" t="str">
        <f>"0.00"</f>
        <v>0.00</v>
      </c>
      <c r="L53" t="str">
        <f>"0.00"</f>
        <v>0.00</v>
      </c>
      <c r="M53" t="str">
        <f>"0.00"</f>
        <v>0.00</v>
      </c>
      <c r="N53" t="str">
        <f>"0.00"</f>
        <v>0.00</v>
      </c>
      <c r="O53" t="str">
        <f>"002865"</f>
        <v>002865</v>
      </c>
      <c r="P53" t="str">
        <f>"0153613480"</f>
        <v>0153613480</v>
      </c>
    </row>
    <row r="54" spans="1:16" x14ac:dyDescent="0.25">
      <c r="A54" t="str">
        <f t="shared" si="0"/>
        <v>人民币</v>
      </c>
      <c r="B54" t="str">
        <f>"传艺科技"</f>
        <v>传艺科技</v>
      </c>
      <c r="C54" t="str">
        <f>"20170417"</f>
        <v>20170417</v>
      </c>
      <c r="D54" t="str">
        <f>"0.000"</f>
        <v>0.000</v>
      </c>
      <c r="E54" t="str">
        <f>"6.00"</f>
        <v>6.00</v>
      </c>
      <c r="F54" t="str">
        <f>"0.00"</f>
        <v>0.00</v>
      </c>
      <c r="G54" t="str">
        <f>"5666.76"</f>
        <v>5666.76</v>
      </c>
      <c r="H54" t="str">
        <f>"0.00"</f>
        <v>0.00</v>
      </c>
      <c r="I54" t="str">
        <f>"48"</f>
        <v>48</v>
      </c>
      <c r="J54" t="str">
        <f>"申购配号(传艺科技)"</f>
        <v>申购配号(传艺科技)</v>
      </c>
      <c r="K54" t="str">
        <f>"0.00"</f>
        <v>0.00</v>
      </c>
      <c r="L54" t="str">
        <f>"0.00"</f>
        <v>0.00</v>
      </c>
      <c r="M54" t="str">
        <f>"0.00"</f>
        <v>0.00</v>
      </c>
      <c r="N54" t="str">
        <f>"0.00"</f>
        <v>0.00</v>
      </c>
      <c r="O54" t="str">
        <f>"002866"</f>
        <v>002866</v>
      </c>
      <c r="P54" t="str">
        <f>"0153613480"</f>
        <v>0153613480</v>
      </c>
    </row>
    <row r="55" spans="1:16" x14ac:dyDescent="0.25">
      <c r="A55" t="str">
        <f t="shared" si="0"/>
        <v>人民币</v>
      </c>
      <c r="B55" t="str">
        <f>"友讯达"</f>
        <v>友讯达</v>
      </c>
      <c r="C55" t="str">
        <f>"20170417"</f>
        <v>20170417</v>
      </c>
      <c r="D55" t="str">
        <f>"0.000"</f>
        <v>0.000</v>
      </c>
      <c r="E55" t="str">
        <f>"6.00"</f>
        <v>6.00</v>
      </c>
      <c r="F55" t="str">
        <f>"0.00"</f>
        <v>0.00</v>
      </c>
      <c r="G55" t="str">
        <f>"5666.76"</f>
        <v>5666.76</v>
      </c>
      <c r="H55" t="str">
        <f>"0.00"</f>
        <v>0.00</v>
      </c>
      <c r="I55" t="str">
        <f>"50"</f>
        <v>50</v>
      </c>
      <c r="J55" t="str">
        <f>"申购配号(友讯达)"</f>
        <v>申购配号(友讯达)</v>
      </c>
      <c r="K55" t="str">
        <f>"0.00"</f>
        <v>0.00</v>
      </c>
      <c r="L55" t="str">
        <f>"0.00"</f>
        <v>0.00</v>
      </c>
      <c r="M55" t="str">
        <f>"0.00"</f>
        <v>0.00</v>
      </c>
      <c r="N55" t="str">
        <f>"0.00"</f>
        <v>0.00</v>
      </c>
      <c r="O55" t="str">
        <f>"300514"</f>
        <v>300514</v>
      </c>
      <c r="P55" t="str">
        <f>"0153613480"</f>
        <v>0153613480</v>
      </c>
    </row>
    <row r="56" spans="1:16" x14ac:dyDescent="0.25">
      <c r="A56" t="str">
        <f t="shared" si="0"/>
        <v>人民币</v>
      </c>
      <c r="B56" t="str">
        <f>" "</f>
        <v xml:space="preserve"> </v>
      </c>
      <c r="C56" t="str">
        <f>"20170418"</f>
        <v>20170418</v>
      </c>
      <c r="D56" t="str">
        <f>"---"</f>
        <v>---</v>
      </c>
      <c r="E56" t="str">
        <f>"---"</f>
        <v>---</v>
      </c>
      <c r="F56" t="str">
        <f>"-5500.00"</f>
        <v>-5500.00</v>
      </c>
      <c r="G56" t="str">
        <f>"166.76"</f>
        <v>166.76</v>
      </c>
      <c r="H56" t="str">
        <f>"---"</f>
        <v>---</v>
      </c>
      <c r="I56" t="str">
        <f>"---"</f>
        <v>---</v>
      </c>
      <c r="J56" t="str">
        <f>"银行转取"</f>
        <v>银行转取</v>
      </c>
      <c r="K56" t="str">
        <f t="shared" ref="K56:P56" si="23">"---"</f>
        <v>---</v>
      </c>
      <c r="L56" t="str">
        <f t="shared" si="23"/>
        <v>---</v>
      </c>
      <c r="M56" t="str">
        <f t="shared" si="23"/>
        <v>---</v>
      </c>
      <c r="N56" t="str">
        <f t="shared" si="23"/>
        <v>---</v>
      </c>
      <c r="O56" t="str">
        <f t="shared" si="23"/>
        <v>---</v>
      </c>
      <c r="P56" t="str">
        <f t="shared" si="23"/>
        <v>---</v>
      </c>
    </row>
    <row r="57" spans="1:16" x14ac:dyDescent="0.25">
      <c r="A57" t="str">
        <f t="shared" si="0"/>
        <v>人民币</v>
      </c>
      <c r="B57" t="str">
        <f>"周大生"</f>
        <v>周大生</v>
      </c>
      <c r="C57" t="str">
        <f>"20170418"</f>
        <v>20170418</v>
      </c>
      <c r="D57" t="str">
        <f>"0.000"</f>
        <v>0.000</v>
      </c>
      <c r="E57" t="str">
        <f>"6.00"</f>
        <v>6.00</v>
      </c>
      <c r="F57" t="str">
        <f>"0.00"</f>
        <v>0.00</v>
      </c>
      <c r="G57" t="str">
        <f>"166.76"</f>
        <v>166.76</v>
      </c>
      <c r="H57" t="str">
        <f>"0.00"</f>
        <v>0.00</v>
      </c>
      <c r="I57" t="str">
        <f>"55"</f>
        <v>55</v>
      </c>
      <c r="J57" t="str">
        <f>"申购配号(周大生)"</f>
        <v>申购配号(周大生)</v>
      </c>
      <c r="K57" t="str">
        <f>"0.00"</f>
        <v>0.00</v>
      </c>
      <c r="L57" t="str">
        <f>"0.00"</f>
        <v>0.00</v>
      </c>
      <c r="M57" t="str">
        <f>"0.00"</f>
        <v>0.00</v>
      </c>
      <c r="N57" t="str">
        <f>"0.00"</f>
        <v>0.00</v>
      </c>
      <c r="O57" t="str">
        <f>"002867"</f>
        <v>002867</v>
      </c>
      <c r="P57" t="str">
        <f>"0153613480"</f>
        <v>0153613480</v>
      </c>
    </row>
    <row r="58" spans="1:16" x14ac:dyDescent="0.25">
      <c r="A58" t="str">
        <f t="shared" si="0"/>
        <v>人民币</v>
      </c>
      <c r="B58" t="str">
        <f t="shared" ref="B58:B63" si="24">"西藏天路"</f>
        <v>西藏天路</v>
      </c>
      <c r="C58" t="str">
        <f>"20170420"</f>
        <v>20170420</v>
      </c>
      <c r="D58" t="str">
        <f>"12.300"</f>
        <v>12.300</v>
      </c>
      <c r="E58" t="str">
        <f>"-400.00"</f>
        <v>-400.00</v>
      </c>
      <c r="F58" t="str">
        <f>"4909.98"</f>
        <v>4909.98</v>
      </c>
      <c r="G58" t="str">
        <f>"5076.74"</f>
        <v>5076.74</v>
      </c>
      <c r="H58" t="str">
        <f>"800.00"</f>
        <v>800.00</v>
      </c>
      <c r="I58" t="str">
        <f>"58"</f>
        <v>58</v>
      </c>
      <c r="J58" t="str">
        <f>"证券卖出(西藏天路)"</f>
        <v>证券卖出(西藏天路)</v>
      </c>
      <c r="K58" t="str">
        <f t="shared" ref="K58:K63" si="25">"5.00"</f>
        <v>5.00</v>
      </c>
      <c r="L58" t="str">
        <f>"4.92"</f>
        <v>4.92</v>
      </c>
      <c r="M58" t="str">
        <f>"0.10"</f>
        <v>0.10</v>
      </c>
      <c r="N58" t="str">
        <f t="shared" ref="N58:N65" si="26">"0.00"</f>
        <v>0.00</v>
      </c>
      <c r="O58" t="str">
        <f t="shared" ref="O58:O63" si="27">"600326"</f>
        <v>600326</v>
      </c>
      <c r="P58" t="str">
        <f t="shared" ref="P58:P63" si="28">"A400948245"</f>
        <v>A400948245</v>
      </c>
    </row>
    <row r="59" spans="1:16" x14ac:dyDescent="0.25">
      <c r="A59" t="str">
        <f t="shared" si="0"/>
        <v>人民币</v>
      </c>
      <c r="B59" t="str">
        <f t="shared" si="24"/>
        <v>西藏天路</v>
      </c>
      <c r="C59" t="str">
        <f>"20170420"</f>
        <v>20170420</v>
      </c>
      <c r="D59" t="str">
        <f>"12.610"</f>
        <v>12.610</v>
      </c>
      <c r="E59" t="str">
        <f>"-400.00"</f>
        <v>-400.00</v>
      </c>
      <c r="F59" t="str">
        <f>"5033.86"</f>
        <v>5033.86</v>
      </c>
      <c r="G59" t="str">
        <f>"10110.60"</f>
        <v>10110.60</v>
      </c>
      <c r="H59" t="str">
        <f>"400.00"</f>
        <v>400.00</v>
      </c>
      <c r="I59" t="str">
        <f>"61"</f>
        <v>61</v>
      </c>
      <c r="J59" t="str">
        <f>"证券卖出(西藏天路)"</f>
        <v>证券卖出(西藏天路)</v>
      </c>
      <c r="K59" t="str">
        <f t="shared" si="25"/>
        <v>5.00</v>
      </c>
      <c r="L59" t="str">
        <f>"5.04"</f>
        <v>5.04</v>
      </c>
      <c r="M59" t="str">
        <f>"0.10"</f>
        <v>0.10</v>
      </c>
      <c r="N59" t="str">
        <f t="shared" si="26"/>
        <v>0.00</v>
      </c>
      <c r="O59" t="str">
        <f t="shared" si="27"/>
        <v>600326</v>
      </c>
      <c r="P59" t="str">
        <f t="shared" si="28"/>
        <v>A400948245</v>
      </c>
    </row>
    <row r="60" spans="1:16" x14ac:dyDescent="0.25">
      <c r="A60" t="str">
        <f t="shared" si="0"/>
        <v>人民币</v>
      </c>
      <c r="B60" t="str">
        <f t="shared" si="24"/>
        <v>西藏天路</v>
      </c>
      <c r="C60" t="str">
        <f>"20170420"</f>
        <v>20170420</v>
      </c>
      <c r="D60" t="str">
        <f>"12.700"</f>
        <v>12.700</v>
      </c>
      <c r="E60" t="str">
        <f>"-400.00"</f>
        <v>-400.00</v>
      </c>
      <c r="F60" t="str">
        <f>"5069.82"</f>
        <v>5069.82</v>
      </c>
      <c r="G60" t="str">
        <f>"15180.42"</f>
        <v>15180.42</v>
      </c>
      <c r="H60" t="str">
        <f>"0.00"</f>
        <v>0.00</v>
      </c>
      <c r="I60" t="str">
        <f>"64"</f>
        <v>64</v>
      </c>
      <c r="J60" t="str">
        <f>"证券卖出(西藏天路)"</f>
        <v>证券卖出(西藏天路)</v>
      </c>
      <c r="K60" t="str">
        <f t="shared" si="25"/>
        <v>5.00</v>
      </c>
      <c r="L60" t="str">
        <f>"5.08"</f>
        <v>5.08</v>
      </c>
      <c r="M60" t="str">
        <f>"0.10"</f>
        <v>0.10</v>
      </c>
      <c r="N60" t="str">
        <f t="shared" si="26"/>
        <v>0.00</v>
      </c>
      <c r="O60" t="str">
        <f t="shared" si="27"/>
        <v>600326</v>
      </c>
      <c r="P60" t="str">
        <f t="shared" si="28"/>
        <v>A400948245</v>
      </c>
    </row>
    <row r="61" spans="1:16" x14ac:dyDescent="0.25">
      <c r="A61" t="str">
        <f t="shared" si="0"/>
        <v>人民币</v>
      </c>
      <c r="B61" t="str">
        <f t="shared" si="24"/>
        <v>西藏天路</v>
      </c>
      <c r="C61" t="str">
        <f>"20170421"</f>
        <v>20170421</v>
      </c>
      <c r="D61" t="str">
        <f>"12.730"</f>
        <v>12.730</v>
      </c>
      <c r="E61" t="str">
        <f>"400.00"</f>
        <v>400.00</v>
      </c>
      <c r="F61" t="str">
        <f>"-5097.10"</f>
        <v>-5097.10</v>
      </c>
      <c r="G61" t="str">
        <f>"10083.32"</f>
        <v>10083.32</v>
      </c>
      <c r="H61" t="str">
        <f>"400.00"</f>
        <v>400.00</v>
      </c>
      <c r="I61" t="str">
        <f>"74"</f>
        <v>74</v>
      </c>
      <c r="J61" t="str">
        <f>"证券买入(西藏天路)"</f>
        <v>证券买入(西藏天路)</v>
      </c>
      <c r="K61" t="str">
        <f t="shared" si="25"/>
        <v>5.00</v>
      </c>
      <c r="L61" t="str">
        <f>"0.00"</f>
        <v>0.00</v>
      </c>
      <c r="M61" t="str">
        <f>"0.10"</f>
        <v>0.10</v>
      </c>
      <c r="N61" t="str">
        <f t="shared" si="26"/>
        <v>0.00</v>
      </c>
      <c r="O61" t="str">
        <f t="shared" si="27"/>
        <v>600326</v>
      </c>
      <c r="P61" t="str">
        <f t="shared" si="28"/>
        <v>A400948245</v>
      </c>
    </row>
    <row r="62" spans="1:16" x14ac:dyDescent="0.25">
      <c r="A62" t="str">
        <f t="shared" si="0"/>
        <v>人民币</v>
      </c>
      <c r="B62" t="str">
        <f t="shared" si="24"/>
        <v>西藏天路</v>
      </c>
      <c r="C62" t="str">
        <f>"20170421"</f>
        <v>20170421</v>
      </c>
      <c r="D62" t="str">
        <f>"12.740"</f>
        <v>12.740</v>
      </c>
      <c r="E62" t="str">
        <f>"400.00"</f>
        <v>400.00</v>
      </c>
      <c r="F62" t="str">
        <f>"-5101.10"</f>
        <v>-5101.10</v>
      </c>
      <c r="G62" t="str">
        <f>"4982.22"</f>
        <v>4982.22</v>
      </c>
      <c r="H62" t="str">
        <f>"800.00"</f>
        <v>800.00</v>
      </c>
      <c r="I62" t="str">
        <f>"77"</f>
        <v>77</v>
      </c>
      <c r="J62" t="str">
        <f>"证券买入(西藏天路)"</f>
        <v>证券买入(西藏天路)</v>
      </c>
      <c r="K62" t="str">
        <f t="shared" si="25"/>
        <v>5.00</v>
      </c>
      <c r="L62" t="str">
        <f>"0.00"</f>
        <v>0.00</v>
      </c>
      <c r="M62" t="str">
        <f>"0.10"</f>
        <v>0.10</v>
      </c>
      <c r="N62" t="str">
        <f t="shared" si="26"/>
        <v>0.00</v>
      </c>
      <c r="O62" t="str">
        <f t="shared" si="27"/>
        <v>600326</v>
      </c>
      <c r="P62" t="str">
        <f t="shared" si="28"/>
        <v>A400948245</v>
      </c>
    </row>
    <row r="63" spans="1:16" x14ac:dyDescent="0.25">
      <c r="A63" t="str">
        <f t="shared" si="0"/>
        <v>人民币</v>
      </c>
      <c r="B63" t="str">
        <f t="shared" si="24"/>
        <v>西藏天路</v>
      </c>
      <c r="C63" t="str">
        <f>"20170421"</f>
        <v>20170421</v>
      </c>
      <c r="D63" t="str">
        <f>"12.640"</f>
        <v>12.640</v>
      </c>
      <c r="E63" t="str">
        <f>"300.00"</f>
        <v>300.00</v>
      </c>
      <c r="F63" t="str">
        <f>"-3797.08"</f>
        <v>-3797.08</v>
      </c>
      <c r="G63" t="str">
        <f>"1185.14"</f>
        <v>1185.14</v>
      </c>
      <c r="H63" t="str">
        <f>"1100.00"</f>
        <v>1100.00</v>
      </c>
      <c r="I63" t="str">
        <f>"80"</f>
        <v>80</v>
      </c>
      <c r="J63" t="str">
        <f>"证券买入(西藏天路)"</f>
        <v>证券买入(西藏天路)</v>
      </c>
      <c r="K63" t="str">
        <f t="shared" si="25"/>
        <v>5.00</v>
      </c>
      <c r="L63" t="str">
        <f>"0.00"</f>
        <v>0.00</v>
      </c>
      <c r="M63" t="str">
        <f>"0.08"</f>
        <v>0.08</v>
      </c>
      <c r="N63" t="str">
        <f t="shared" si="26"/>
        <v>0.00</v>
      </c>
      <c r="O63" t="str">
        <f t="shared" si="27"/>
        <v>600326</v>
      </c>
      <c r="P63" t="str">
        <f t="shared" si="28"/>
        <v>A400948245</v>
      </c>
    </row>
    <row r="64" spans="1:16" x14ac:dyDescent="0.25">
      <c r="A64" t="str">
        <f t="shared" si="0"/>
        <v>人民币</v>
      </c>
      <c r="B64" t="str">
        <f>"太龙照明"</f>
        <v>太龙照明</v>
      </c>
      <c r="C64" t="str">
        <f>"20170421"</f>
        <v>20170421</v>
      </c>
      <c r="D64" t="str">
        <f>"0.000"</f>
        <v>0.000</v>
      </c>
      <c r="E64" t="str">
        <f>"6.00"</f>
        <v>6.00</v>
      </c>
      <c r="F64" t="str">
        <f>"0.00"</f>
        <v>0.00</v>
      </c>
      <c r="G64" t="str">
        <f>"1185.14"</f>
        <v>1185.14</v>
      </c>
      <c r="H64" t="str">
        <f>"0.00"</f>
        <v>0.00</v>
      </c>
      <c r="I64" t="str">
        <f>"85"</f>
        <v>85</v>
      </c>
      <c r="J64" t="str">
        <f>"申购配号(太龙照明)"</f>
        <v>申购配号(太龙照明)</v>
      </c>
      <c r="K64" t="str">
        <f>"0.00"</f>
        <v>0.00</v>
      </c>
      <c r="L64" t="str">
        <f>"0.00"</f>
        <v>0.00</v>
      </c>
      <c r="M64" t="str">
        <f>"0.00"</f>
        <v>0.00</v>
      </c>
      <c r="N64" t="str">
        <f t="shared" si="26"/>
        <v>0.00</v>
      </c>
      <c r="O64" t="str">
        <f>"300650"</f>
        <v>300650</v>
      </c>
      <c r="P64" t="str">
        <f>"0153613480"</f>
        <v>0153613480</v>
      </c>
    </row>
    <row r="65" spans="1:16" x14ac:dyDescent="0.25">
      <c r="A65" t="str">
        <f t="shared" si="0"/>
        <v>人民币</v>
      </c>
      <c r="B65" t="str">
        <f>"万通智控"</f>
        <v>万通智控</v>
      </c>
      <c r="C65" t="str">
        <f>"20170421"</f>
        <v>20170421</v>
      </c>
      <c r="D65" t="str">
        <f>"0.000"</f>
        <v>0.000</v>
      </c>
      <c r="E65" t="str">
        <f>"6.00"</f>
        <v>6.00</v>
      </c>
      <c r="F65" t="str">
        <f>"0.00"</f>
        <v>0.00</v>
      </c>
      <c r="G65" t="str">
        <f>"1185.14"</f>
        <v>1185.14</v>
      </c>
      <c r="H65" t="str">
        <f>"0.00"</f>
        <v>0.00</v>
      </c>
      <c r="I65" t="str">
        <f>"83"</f>
        <v>83</v>
      </c>
      <c r="J65" t="str">
        <f>"申购配号(万通智控)"</f>
        <v>申购配号(万通智控)</v>
      </c>
      <c r="K65" t="str">
        <f>"0.00"</f>
        <v>0.00</v>
      </c>
      <c r="L65" t="str">
        <f>"0.00"</f>
        <v>0.00</v>
      </c>
      <c r="M65" t="str">
        <f>"0.00"</f>
        <v>0.00</v>
      </c>
      <c r="N65" t="str">
        <f t="shared" si="26"/>
        <v>0.00</v>
      </c>
      <c r="O65" t="str">
        <f>"300643"</f>
        <v>300643</v>
      </c>
      <c r="P65" t="str">
        <f>"0153613480"</f>
        <v>0153613480</v>
      </c>
    </row>
    <row r="66" spans="1:16" x14ac:dyDescent="0.25">
      <c r="A66" t="str">
        <f t="shared" ref="A66:A129" si="29">"人民币"</f>
        <v>人民币</v>
      </c>
      <c r="B66" t="str">
        <f>" "</f>
        <v xml:space="preserve"> </v>
      </c>
      <c r="C66" t="str">
        <f>"20170425"</f>
        <v>20170425</v>
      </c>
      <c r="D66" t="str">
        <f>"---"</f>
        <v>---</v>
      </c>
      <c r="E66" t="str">
        <f>"---"</f>
        <v>---</v>
      </c>
      <c r="F66" t="str">
        <f>"9500.00"</f>
        <v>9500.00</v>
      </c>
      <c r="G66" t="str">
        <f>"10685.14"</f>
        <v>10685.14</v>
      </c>
      <c r="H66" t="str">
        <f>"---"</f>
        <v>---</v>
      </c>
      <c r="I66" t="str">
        <f>"---"</f>
        <v>---</v>
      </c>
      <c r="J66" t="str">
        <f>"银行转存"</f>
        <v>银行转存</v>
      </c>
      <c r="K66" t="str">
        <f t="shared" ref="K66:P66" si="30">"---"</f>
        <v>---</v>
      </c>
      <c r="L66" t="str">
        <f t="shared" si="30"/>
        <v>---</v>
      </c>
      <c r="M66" t="str">
        <f t="shared" si="30"/>
        <v>---</v>
      </c>
      <c r="N66" t="str">
        <f t="shared" si="30"/>
        <v>---</v>
      </c>
      <c r="O66" t="str">
        <f t="shared" si="30"/>
        <v>---</v>
      </c>
      <c r="P66" t="str">
        <f t="shared" si="30"/>
        <v>---</v>
      </c>
    </row>
    <row r="67" spans="1:16" x14ac:dyDescent="0.25">
      <c r="A67" t="str">
        <f t="shared" si="29"/>
        <v>人民币</v>
      </c>
      <c r="B67" t="str">
        <f>"西藏天路"</f>
        <v>西藏天路</v>
      </c>
      <c r="C67" t="str">
        <f>"20170425"</f>
        <v>20170425</v>
      </c>
      <c r="D67" t="str">
        <f>"11.700"</f>
        <v>11.700</v>
      </c>
      <c r="E67" t="str">
        <f>"400.00"</f>
        <v>400.00</v>
      </c>
      <c r="F67" t="str">
        <f>"-4685.09"</f>
        <v>-4685.09</v>
      </c>
      <c r="G67" t="str">
        <f>"6000.05"</f>
        <v>6000.05</v>
      </c>
      <c r="H67" t="str">
        <f>"1500.00"</f>
        <v>1500.00</v>
      </c>
      <c r="I67" t="str">
        <f>"93"</f>
        <v>93</v>
      </c>
      <c r="J67" t="str">
        <f>"证券买入(西藏天路)"</f>
        <v>证券买入(西藏天路)</v>
      </c>
      <c r="K67" t="str">
        <f>"5.00"</f>
        <v>5.00</v>
      </c>
      <c r="L67" t="str">
        <f>"0.00"</f>
        <v>0.00</v>
      </c>
      <c r="M67" t="str">
        <f>"0.09"</f>
        <v>0.09</v>
      </c>
      <c r="N67" t="str">
        <f>"0.00"</f>
        <v>0.00</v>
      </c>
      <c r="O67" t="str">
        <f>"600326"</f>
        <v>600326</v>
      </c>
      <c r="P67" t="str">
        <f>"A400948245"</f>
        <v>A400948245</v>
      </c>
    </row>
    <row r="68" spans="1:16" x14ac:dyDescent="0.25">
      <c r="A68" t="str">
        <f t="shared" si="29"/>
        <v>人民币</v>
      </c>
      <c r="B68" t="str">
        <f>"西藏天路"</f>
        <v>西藏天路</v>
      </c>
      <c r="C68" t="str">
        <f>"20170426"</f>
        <v>20170426</v>
      </c>
      <c r="D68" t="str">
        <f>"12.870"</f>
        <v>12.870</v>
      </c>
      <c r="E68" t="str">
        <f>"-800.00"</f>
        <v>-800.00</v>
      </c>
      <c r="F68" t="str">
        <f>"10280.49"</f>
        <v>10280.49</v>
      </c>
      <c r="G68" t="str">
        <f>"16280.54"</f>
        <v>16280.54</v>
      </c>
      <c r="H68" t="str">
        <f>"700.00"</f>
        <v>700.00</v>
      </c>
      <c r="I68" t="str">
        <f>"97"</f>
        <v>97</v>
      </c>
      <c r="J68" t="str">
        <f>"证券卖出(西藏天路)"</f>
        <v>证券卖出(西藏天路)</v>
      </c>
      <c r="K68" t="str">
        <f>"5.00"</f>
        <v>5.00</v>
      </c>
      <c r="L68" t="str">
        <f>"10.30"</f>
        <v>10.30</v>
      </c>
      <c r="M68" t="str">
        <f>"0.21"</f>
        <v>0.21</v>
      </c>
      <c r="N68" t="str">
        <f>"0.00"</f>
        <v>0.00</v>
      </c>
      <c r="O68" t="str">
        <f>"600326"</f>
        <v>600326</v>
      </c>
      <c r="P68" t="str">
        <f>"A400948245"</f>
        <v>A400948245</v>
      </c>
    </row>
    <row r="69" spans="1:16" x14ac:dyDescent="0.25">
      <c r="A69" t="str">
        <f t="shared" si="29"/>
        <v>人民币</v>
      </c>
      <c r="B69" t="str">
        <f>"西藏天路"</f>
        <v>西藏天路</v>
      </c>
      <c r="C69" t="str">
        <f>"20170426"</f>
        <v>20170426</v>
      </c>
      <c r="D69" t="str">
        <f>"12.700"</f>
        <v>12.700</v>
      </c>
      <c r="E69" t="str">
        <f>"-300.00"</f>
        <v>-300.00</v>
      </c>
      <c r="F69" t="str">
        <f>"3801.11"</f>
        <v>3801.11</v>
      </c>
      <c r="G69" t="str">
        <f>"20081.65"</f>
        <v>20081.65</v>
      </c>
      <c r="H69" t="str">
        <f>"400.00"</f>
        <v>400.00</v>
      </c>
      <c r="I69" t="str">
        <f>"103"</f>
        <v>103</v>
      </c>
      <c r="J69" t="str">
        <f>"证券卖出(西藏天路)"</f>
        <v>证券卖出(西藏天路)</v>
      </c>
      <c r="K69" t="str">
        <f>"5.00"</f>
        <v>5.00</v>
      </c>
      <c r="L69" t="str">
        <f>"3.81"</f>
        <v>3.81</v>
      </c>
      <c r="M69" t="str">
        <f>"0.08"</f>
        <v>0.08</v>
      </c>
      <c r="N69" t="str">
        <f>"0.00"</f>
        <v>0.00</v>
      </c>
      <c r="O69" t="str">
        <f>"600326"</f>
        <v>600326</v>
      </c>
      <c r="P69" t="str">
        <f>"A400948245"</f>
        <v>A400948245</v>
      </c>
    </row>
    <row r="70" spans="1:16" x14ac:dyDescent="0.25">
      <c r="A70" t="str">
        <f t="shared" si="29"/>
        <v>人民币</v>
      </c>
      <c r="B70" t="str">
        <f>"西藏天路"</f>
        <v>西藏天路</v>
      </c>
      <c r="C70" t="str">
        <f>"20170426"</f>
        <v>20170426</v>
      </c>
      <c r="D70" t="str">
        <f>"12.870"</f>
        <v>12.870</v>
      </c>
      <c r="E70" t="str">
        <f>"-400.00"</f>
        <v>-400.00</v>
      </c>
      <c r="F70" t="str">
        <f>"5137.75"</f>
        <v>5137.75</v>
      </c>
      <c r="G70" t="str">
        <f>"25219.40"</f>
        <v>25219.40</v>
      </c>
      <c r="H70" t="str">
        <f>"0.00"</f>
        <v>0.00</v>
      </c>
      <c r="I70" t="str">
        <f>"106"</f>
        <v>106</v>
      </c>
      <c r="J70" t="str">
        <f>"证券卖出(西藏天路)"</f>
        <v>证券卖出(西藏天路)</v>
      </c>
      <c r="K70" t="str">
        <f>"5.00"</f>
        <v>5.00</v>
      </c>
      <c r="L70" t="str">
        <f>"5.15"</f>
        <v>5.15</v>
      </c>
      <c r="M70" t="str">
        <f>"0.10"</f>
        <v>0.10</v>
      </c>
      <c r="N70" t="str">
        <f>"0.00"</f>
        <v>0.00</v>
      </c>
      <c r="O70" t="str">
        <f>"600326"</f>
        <v>600326</v>
      </c>
      <c r="P70" t="str">
        <f>"A400948245"</f>
        <v>A400948245</v>
      </c>
    </row>
    <row r="71" spans="1:16" x14ac:dyDescent="0.25">
      <c r="A71" t="str">
        <f t="shared" si="29"/>
        <v>人民币</v>
      </c>
      <c r="B71" t="str">
        <f>" "</f>
        <v xml:space="preserve"> </v>
      </c>
      <c r="C71" t="str">
        <f>"20170427"</f>
        <v>20170427</v>
      </c>
      <c r="D71" t="str">
        <f>"---"</f>
        <v>---</v>
      </c>
      <c r="E71" t="str">
        <f>"---"</f>
        <v>---</v>
      </c>
      <c r="F71" t="str">
        <f>"-2000.00"</f>
        <v>-2000.00</v>
      </c>
      <c r="G71" t="str">
        <f>"23219.40"</f>
        <v>23219.40</v>
      </c>
      <c r="H71" t="str">
        <f>"---"</f>
        <v>---</v>
      </c>
      <c r="I71" t="str">
        <f>"---"</f>
        <v>---</v>
      </c>
      <c r="J71" t="str">
        <f>"银行转取"</f>
        <v>银行转取</v>
      </c>
      <c r="K71" t="str">
        <f t="shared" ref="K71:P71" si="31">"---"</f>
        <v>---</v>
      </c>
      <c r="L71" t="str">
        <f t="shared" si="31"/>
        <v>---</v>
      </c>
      <c r="M71" t="str">
        <f t="shared" si="31"/>
        <v>---</v>
      </c>
      <c r="N71" t="str">
        <f t="shared" si="31"/>
        <v>---</v>
      </c>
      <c r="O71" t="str">
        <f t="shared" si="31"/>
        <v>---</v>
      </c>
      <c r="P71" t="str">
        <f t="shared" si="31"/>
        <v>---</v>
      </c>
    </row>
    <row r="72" spans="1:16" x14ac:dyDescent="0.25">
      <c r="A72" t="str">
        <f t="shared" si="29"/>
        <v>人民币</v>
      </c>
      <c r="B72" t="str">
        <f>"西部建设"</f>
        <v>西部建设</v>
      </c>
      <c r="C72" t="str">
        <f>"20170427"</f>
        <v>20170427</v>
      </c>
      <c r="D72" t="str">
        <f>"23.220"</f>
        <v>23.220</v>
      </c>
      <c r="E72" t="str">
        <f>"300.00"</f>
        <v>300.00</v>
      </c>
      <c r="F72" t="str">
        <f>"-6971.00"</f>
        <v>-6971.00</v>
      </c>
      <c r="G72" t="str">
        <f>"16248.40"</f>
        <v>16248.40</v>
      </c>
      <c r="H72" t="str">
        <f>"300.00"</f>
        <v>300.00</v>
      </c>
      <c r="I72" t="str">
        <f>"112"</f>
        <v>112</v>
      </c>
      <c r="J72" t="str">
        <f>"证券买入(西部建设)"</f>
        <v>证券买入(西部建设)</v>
      </c>
      <c r="K72" t="str">
        <f>"5.00"</f>
        <v>5.00</v>
      </c>
      <c r="L72" t="str">
        <f t="shared" ref="L72:N73" si="32">"0.00"</f>
        <v>0.00</v>
      </c>
      <c r="M72" t="str">
        <f t="shared" si="32"/>
        <v>0.00</v>
      </c>
      <c r="N72" t="str">
        <f t="shared" si="32"/>
        <v>0.00</v>
      </c>
      <c r="O72" t="str">
        <f>"002302"</f>
        <v>002302</v>
      </c>
      <c r="P72" t="str">
        <f t="shared" ref="P72:P81" si="33">"0153613480"</f>
        <v>0153613480</v>
      </c>
    </row>
    <row r="73" spans="1:16" x14ac:dyDescent="0.25">
      <c r="A73" t="str">
        <f t="shared" si="29"/>
        <v>人民币</v>
      </c>
      <c r="B73" t="str">
        <f>"西部建设"</f>
        <v>西部建设</v>
      </c>
      <c r="C73" t="str">
        <f>"20170427"</f>
        <v>20170427</v>
      </c>
      <c r="D73" t="str">
        <f>"23.000"</f>
        <v>23.000</v>
      </c>
      <c r="E73" t="str">
        <f>"300.00"</f>
        <v>300.00</v>
      </c>
      <c r="F73" t="str">
        <f>"-6905.00"</f>
        <v>-6905.00</v>
      </c>
      <c r="G73" t="str">
        <f>"9343.40"</f>
        <v>9343.40</v>
      </c>
      <c r="H73" t="str">
        <f>"600.00"</f>
        <v>600.00</v>
      </c>
      <c r="I73" t="str">
        <f>"115"</f>
        <v>115</v>
      </c>
      <c r="J73" t="str">
        <f>"证券买入(西部建设)"</f>
        <v>证券买入(西部建设)</v>
      </c>
      <c r="K73" t="str">
        <f>"5.00"</f>
        <v>5.00</v>
      </c>
      <c r="L73" t="str">
        <f t="shared" si="32"/>
        <v>0.00</v>
      </c>
      <c r="M73" t="str">
        <f t="shared" si="32"/>
        <v>0.00</v>
      </c>
      <c r="N73" t="str">
        <f t="shared" si="32"/>
        <v>0.00</v>
      </c>
      <c r="O73" t="str">
        <f>"002302"</f>
        <v>002302</v>
      </c>
      <c r="P73" t="str">
        <f t="shared" si="33"/>
        <v>0153613480</v>
      </c>
    </row>
    <row r="74" spans="1:16" x14ac:dyDescent="0.25">
      <c r="A74" t="str">
        <f t="shared" si="29"/>
        <v>人民币</v>
      </c>
      <c r="B74" t="str">
        <f>"西部建设"</f>
        <v>西部建设</v>
      </c>
      <c r="C74" t="str">
        <f>"20170502"</f>
        <v>20170502</v>
      </c>
      <c r="D74" t="str">
        <f>"24.500"</f>
        <v>24.500</v>
      </c>
      <c r="E74" t="str">
        <f>"-600.00"</f>
        <v>-600.00</v>
      </c>
      <c r="F74" t="str">
        <f>"14680.30"</f>
        <v>14680.30</v>
      </c>
      <c r="G74" t="str">
        <f>"24023.70"</f>
        <v>24023.70</v>
      </c>
      <c r="H74" t="str">
        <f>"0.00"</f>
        <v>0.00</v>
      </c>
      <c r="I74" t="str">
        <f>"124"</f>
        <v>124</v>
      </c>
      <c r="J74" t="str">
        <f>"证券卖出(西部建设)"</f>
        <v>证券卖出(西部建设)</v>
      </c>
      <c r="K74" t="str">
        <f>"5.00"</f>
        <v>5.00</v>
      </c>
      <c r="L74" t="str">
        <f>"14.70"</f>
        <v>14.70</v>
      </c>
      <c r="M74" t="str">
        <f t="shared" ref="M74:N81" si="34">"0.00"</f>
        <v>0.00</v>
      </c>
      <c r="N74" t="str">
        <f t="shared" si="34"/>
        <v>0.00</v>
      </c>
      <c r="O74" t="str">
        <f>"002302"</f>
        <v>002302</v>
      </c>
      <c r="P74" t="str">
        <f t="shared" si="33"/>
        <v>0153613480</v>
      </c>
    </row>
    <row r="75" spans="1:16" x14ac:dyDescent="0.25">
      <c r="A75" t="str">
        <f t="shared" si="29"/>
        <v>人民币</v>
      </c>
      <c r="B75" t="str">
        <f>"金溢科技"</f>
        <v>金溢科技</v>
      </c>
      <c r="C75" t="str">
        <f>"20170502"</f>
        <v>20170502</v>
      </c>
      <c r="D75" t="str">
        <f>"0.000"</f>
        <v>0.000</v>
      </c>
      <c r="E75" t="str">
        <f>"6.00"</f>
        <v>6.00</v>
      </c>
      <c r="F75" t="str">
        <f>"0.00"</f>
        <v>0.00</v>
      </c>
      <c r="G75" t="str">
        <f>"24023.70"</f>
        <v>24023.70</v>
      </c>
      <c r="H75" t="str">
        <f>"0.00"</f>
        <v>0.00</v>
      </c>
      <c r="I75" t="str">
        <f>" "</f>
        <v xml:space="preserve"> </v>
      </c>
      <c r="J75" t="str">
        <f>"申购配号(金溢科技)"</f>
        <v>申购配号(金溢科技)</v>
      </c>
      <c r="K75" t="str">
        <f>"0.00"</f>
        <v>0.00</v>
      </c>
      <c r="L75" t="str">
        <f>"0.00"</f>
        <v>0.00</v>
      </c>
      <c r="M75" t="str">
        <f t="shared" si="34"/>
        <v>0.00</v>
      </c>
      <c r="N75" t="str">
        <f t="shared" si="34"/>
        <v>0.00</v>
      </c>
      <c r="O75" t="str">
        <f>"002869"</f>
        <v>002869</v>
      </c>
      <c r="P75" t="str">
        <f t="shared" si="33"/>
        <v>0153613480</v>
      </c>
    </row>
    <row r="76" spans="1:16" x14ac:dyDescent="0.25">
      <c r="A76" t="str">
        <f t="shared" si="29"/>
        <v>人民币</v>
      </c>
      <c r="B76" t="str">
        <f>"伟隆股份"</f>
        <v>伟隆股份</v>
      </c>
      <c r="C76" t="str">
        <f>"20170502"</f>
        <v>20170502</v>
      </c>
      <c r="D76" t="str">
        <f>"0.000"</f>
        <v>0.000</v>
      </c>
      <c r="E76" t="str">
        <f>"6.00"</f>
        <v>6.00</v>
      </c>
      <c r="F76" t="str">
        <f>"0.00"</f>
        <v>0.00</v>
      </c>
      <c r="G76" t="str">
        <f>"24023.70"</f>
        <v>24023.70</v>
      </c>
      <c r="H76" t="str">
        <f>"0.00"</f>
        <v>0.00</v>
      </c>
      <c r="I76" t="str">
        <f>" "</f>
        <v xml:space="preserve"> </v>
      </c>
      <c r="J76" t="str">
        <f>"申购配号(伟隆股份)"</f>
        <v>申购配号(伟隆股份)</v>
      </c>
      <c r="K76" t="str">
        <f>"0.00"</f>
        <v>0.00</v>
      </c>
      <c r="L76" t="str">
        <f>"0.00"</f>
        <v>0.00</v>
      </c>
      <c r="M76" t="str">
        <f t="shared" si="34"/>
        <v>0.00</v>
      </c>
      <c r="N76" t="str">
        <f t="shared" si="34"/>
        <v>0.00</v>
      </c>
      <c r="O76" t="str">
        <f>"002871"</f>
        <v>002871</v>
      </c>
      <c r="P76" t="str">
        <f t="shared" si="33"/>
        <v>0153613480</v>
      </c>
    </row>
    <row r="77" spans="1:16" x14ac:dyDescent="0.25">
      <c r="A77" t="str">
        <f t="shared" si="29"/>
        <v>人民币</v>
      </c>
      <c r="B77" t="str">
        <f>"冀东水泥"</f>
        <v>冀东水泥</v>
      </c>
      <c r="C77" t="str">
        <f>"20170503"</f>
        <v>20170503</v>
      </c>
      <c r="D77" t="str">
        <f>"21.070"</f>
        <v>21.070</v>
      </c>
      <c r="E77" t="str">
        <f>"400.00"</f>
        <v>400.00</v>
      </c>
      <c r="F77" t="str">
        <f>"-8433.00"</f>
        <v>-8433.00</v>
      </c>
      <c r="G77" t="str">
        <f>"15590.70"</f>
        <v>15590.70</v>
      </c>
      <c r="H77" t="str">
        <f>"400.00"</f>
        <v>400.00</v>
      </c>
      <c r="I77" t="str">
        <f>"136"</f>
        <v>136</v>
      </c>
      <c r="J77" t="str">
        <f>"证券买入(冀东水泥)"</f>
        <v>证券买入(冀东水泥)</v>
      </c>
      <c r="K77" t="str">
        <f>"5.00"</f>
        <v>5.00</v>
      </c>
      <c r="L77" t="str">
        <f>"0.00"</f>
        <v>0.00</v>
      </c>
      <c r="M77" t="str">
        <f t="shared" si="34"/>
        <v>0.00</v>
      </c>
      <c r="N77" t="str">
        <f t="shared" si="34"/>
        <v>0.00</v>
      </c>
      <c r="O77" t="str">
        <f>"000401"</f>
        <v>000401</v>
      </c>
      <c r="P77" t="str">
        <f t="shared" si="33"/>
        <v>0153613480</v>
      </c>
    </row>
    <row r="78" spans="1:16" x14ac:dyDescent="0.25">
      <c r="A78" t="str">
        <f t="shared" si="29"/>
        <v>人民币</v>
      </c>
      <c r="B78" t="str">
        <f>"冀东水泥"</f>
        <v>冀东水泥</v>
      </c>
      <c r="C78" t="str">
        <f>"20170503"</f>
        <v>20170503</v>
      </c>
      <c r="D78" t="str">
        <f>"21.200"</f>
        <v>21.200</v>
      </c>
      <c r="E78" t="str">
        <f>"300.00"</f>
        <v>300.00</v>
      </c>
      <c r="F78" t="str">
        <f>"-6365.00"</f>
        <v>-6365.00</v>
      </c>
      <c r="G78" t="str">
        <f>"9225.70"</f>
        <v>9225.70</v>
      </c>
      <c r="H78" t="str">
        <f>"700.00"</f>
        <v>700.00</v>
      </c>
      <c r="I78" t="str">
        <f>"143"</f>
        <v>143</v>
      </c>
      <c r="J78" t="str">
        <f>"证券买入(冀东水泥)"</f>
        <v>证券买入(冀东水泥)</v>
      </c>
      <c r="K78" t="str">
        <f>"5.00"</f>
        <v>5.00</v>
      </c>
      <c r="L78" t="str">
        <f>"0.00"</f>
        <v>0.00</v>
      </c>
      <c r="M78" t="str">
        <f t="shared" si="34"/>
        <v>0.00</v>
      </c>
      <c r="N78" t="str">
        <f t="shared" si="34"/>
        <v>0.00</v>
      </c>
      <c r="O78" t="str">
        <f>"000401"</f>
        <v>000401</v>
      </c>
      <c r="P78" t="str">
        <f t="shared" si="33"/>
        <v>0153613480</v>
      </c>
    </row>
    <row r="79" spans="1:16" x14ac:dyDescent="0.25">
      <c r="A79" t="str">
        <f t="shared" si="29"/>
        <v>人民币</v>
      </c>
      <c r="B79" t="str">
        <f>"冀东水泥"</f>
        <v>冀东水泥</v>
      </c>
      <c r="C79" t="str">
        <f>"20170503"</f>
        <v>20170503</v>
      </c>
      <c r="D79" t="str">
        <f>"20.800"</f>
        <v>20.800</v>
      </c>
      <c r="E79" t="str">
        <f>"200.00"</f>
        <v>200.00</v>
      </c>
      <c r="F79" t="str">
        <f>"-4165.00"</f>
        <v>-4165.00</v>
      </c>
      <c r="G79" t="str">
        <f>"5060.70"</f>
        <v>5060.70</v>
      </c>
      <c r="H79" t="str">
        <f>"900.00"</f>
        <v>900.00</v>
      </c>
      <c r="I79" t="str">
        <f>"146"</f>
        <v>146</v>
      </c>
      <c r="J79" t="str">
        <f>"证券买入(冀东水泥)"</f>
        <v>证券买入(冀东水泥)</v>
      </c>
      <c r="K79" t="str">
        <f>"5.00"</f>
        <v>5.00</v>
      </c>
      <c r="L79" t="str">
        <f>"0.00"</f>
        <v>0.00</v>
      </c>
      <c r="M79" t="str">
        <f t="shared" si="34"/>
        <v>0.00</v>
      </c>
      <c r="N79" t="str">
        <f t="shared" si="34"/>
        <v>0.00</v>
      </c>
      <c r="O79" t="str">
        <f>"000401"</f>
        <v>000401</v>
      </c>
      <c r="P79" t="str">
        <f t="shared" si="33"/>
        <v>0153613480</v>
      </c>
    </row>
    <row r="80" spans="1:16" x14ac:dyDescent="0.25">
      <c r="A80" t="str">
        <f t="shared" si="29"/>
        <v>人民币</v>
      </c>
      <c r="B80" t="str">
        <f>"正海生物"</f>
        <v>正海生物</v>
      </c>
      <c r="C80" t="str">
        <f>"20170503"</f>
        <v>20170503</v>
      </c>
      <c r="D80" t="str">
        <f>"0.000"</f>
        <v>0.000</v>
      </c>
      <c r="E80" t="str">
        <f>"6.00"</f>
        <v>6.00</v>
      </c>
      <c r="F80" t="str">
        <f>"0.00"</f>
        <v>0.00</v>
      </c>
      <c r="G80" t="str">
        <f>"5060.70"</f>
        <v>5060.70</v>
      </c>
      <c r="H80" t="str">
        <f>"0.00"</f>
        <v>0.00</v>
      </c>
      <c r="I80" t="str">
        <f>" "</f>
        <v xml:space="preserve"> </v>
      </c>
      <c r="J80" t="str">
        <f>"申购配号(正海生物)"</f>
        <v>申购配号(正海生物)</v>
      </c>
      <c r="K80" t="str">
        <f>"0.00"</f>
        <v>0.00</v>
      </c>
      <c r="L80" t="str">
        <f>"0.00"</f>
        <v>0.00</v>
      </c>
      <c r="M80" t="str">
        <f t="shared" si="34"/>
        <v>0.00</v>
      </c>
      <c r="N80" t="str">
        <f t="shared" si="34"/>
        <v>0.00</v>
      </c>
      <c r="O80" t="str">
        <f>"300653"</f>
        <v>300653</v>
      </c>
      <c r="P80" t="str">
        <f t="shared" si="33"/>
        <v>0153613480</v>
      </c>
    </row>
    <row r="81" spans="1:16" x14ac:dyDescent="0.25">
      <c r="A81" t="str">
        <f t="shared" si="29"/>
        <v>人民币</v>
      </c>
      <c r="B81" t="str">
        <f>"香山股份"</f>
        <v>香山股份</v>
      </c>
      <c r="C81" t="str">
        <f>"20170504"</f>
        <v>20170504</v>
      </c>
      <c r="D81" t="str">
        <f>"0.000"</f>
        <v>0.000</v>
      </c>
      <c r="E81" t="str">
        <f>"6.00"</f>
        <v>6.00</v>
      </c>
      <c r="F81" t="str">
        <f>"0.00"</f>
        <v>0.00</v>
      </c>
      <c r="G81" t="str">
        <f>"5060.70"</f>
        <v>5060.70</v>
      </c>
      <c r="H81" t="str">
        <f>"0.00"</f>
        <v>0.00</v>
      </c>
      <c r="I81" t="str">
        <f>"153"</f>
        <v>153</v>
      </c>
      <c r="J81" t="str">
        <f>"申购配号(香山股份)"</f>
        <v>申购配号(香山股份)</v>
      </c>
      <c r="K81" t="str">
        <f>"0.00"</f>
        <v>0.00</v>
      </c>
      <c r="L81" t="str">
        <f>"0.00"</f>
        <v>0.00</v>
      </c>
      <c r="M81" t="str">
        <f t="shared" si="34"/>
        <v>0.00</v>
      </c>
      <c r="N81" t="str">
        <f t="shared" si="34"/>
        <v>0.00</v>
      </c>
      <c r="O81" t="str">
        <f>"002870"</f>
        <v>002870</v>
      </c>
      <c r="P81" t="str">
        <f t="shared" si="33"/>
        <v>0153613480</v>
      </c>
    </row>
    <row r="82" spans="1:16" x14ac:dyDescent="0.25">
      <c r="A82" t="str">
        <f t="shared" si="29"/>
        <v>人民币</v>
      </c>
      <c r="B82" t="str">
        <f>" "</f>
        <v xml:space="preserve"> </v>
      </c>
      <c r="C82" t="str">
        <f>"20170508"</f>
        <v>20170508</v>
      </c>
      <c r="D82" t="str">
        <f>"---"</f>
        <v>---</v>
      </c>
      <c r="E82" t="str">
        <f>"---"</f>
        <v>---</v>
      </c>
      <c r="F82" t="str">
        <f>"9000.00"</f>
        <v>9000.00</v>
      </c>
      <c r="G82" t="str">
        <f>"14060.70"</f>
        <v>14060.70</v>
      </c>
      <c r="H82" t="str">
        <f>"---"</f>
        <v>---</v>
      </c>
      <c r="I82" t="str">
        <f>"---"</f>
        <v>---</v>
      </c>
      <c r="J82" t="str">
        <f>"银行转存"</f>
        <v>银行转存</v>
      </c>
      <c r="K82" t="str">
        <f t="shared" ref="K82:P82" si="35">"---"</f>
        <v>---</v>
      </c>
      <c r="L82" t="str">
        <f t="shared" si="35"/>
        <v>---</v>
      </c>
      <c r="M82" t="str">
        <f t="shared" si="35"/>
        <v>---</v>
      </c>
      <c r="N82" t="str">
        <f t="shared" si="35"/>
        <v>---</v>
      </c>
      <c r="O82" t="str">
        <f t="shared" si="35"/>
        <v>---</v>
      </c>
      <c r="P82" t="str">
        <f t="shared" si="35"/>
        <v>---</v>
      </c>
    </row>
    <row r="83" spans="1:16" x14ac:dyDescent="0.25">
      <c r="A83" t="str">
        <f t="shared" si="29"/>
        <v>人民币</v>
      </c>
      <c r="B83" t="str">
        <f>"冀东水泥"</f>
        <v>冀东水泥</v>
      </c>
      <c r="C83" t="str">
        <f>"20170508"</f>
        <v>20170508</v>
      </c>
      <c r="D83" t="str">
        <f>"18.970"</f>
        <v>18.970</v>
      </c>
      <c r="E83" t="str">
        <f>"300.00"</f>
        <v>300.00</v>
      </c>
      <c r="F83" t="str">
        <f>"-5696.00"</f>
        <v>-5696.00</v>
      </c>
      <c r="G83" t="str">
        <f>"8364.70"</f>
        <v>8364.70</v>
      </c>
      <c r="H83" t="str">
        <f>"1200.00"</f>
        <v>1200.00</v>
      </c>
      <c r="I83" t="str">
        <f>"159"</f>
        <v>159</v>
      </c>
      <c r="J83" t="str">
        <f>"证券买入(冀东水泥)"</f>
        <v>证券买入(冀东水泥)</v>
      </c>
      <c r="K83" t="str">
        <f>"5.00"</f>
        <v>5.00</v>
      </c>
      <c r="L83" t="str">
        <f t="shared" ref="L83:N86" si="36">"0.00"</f>
        <v>0.00</v>
      </c>
      <c r="M83" t="str">
        <f t="shared" si="36"/>
        <v>0.00</v>
      </c>
      <c r="N83" t="str">
        <f t="shared" si="36"/>
        <v>0.00</v>
      </c>
      <c r="O83" t="str">
        <f>"000401"</f>
        <v>000401</v>
      </c>
      <c r="P83" t="str">
        <f>"0153613480"</f>
        <v>0153613480</v>
      </c>
    </row>
    <row r="84" spans="1:16" x14ac:dyDescent="0.25">
      <c r="A84" t="str">
        <f t="shared" si="29"/>
        <v>人民币</v>
      </c>
      <c r="B84" t="str">
        <f>"新天药业"</f>
        <v>新天药业</v>
      </c>
      <c r="C84" t="str">
        <f>"20170508"</f>
        <v>20170508</v>
      </c>
      <c r="D84" t="str">
        <f>"0.000"</f>
        <v>0.000</v>
      </c>
      <c r="E84" t="str">
        <f>"6.00"</f>
        <v>6.00</v>
      </c>
      <c r="F84" t="str">
        <f>"0.00"</f>
        <v>0.00</v>
      </c>
      <c r="G84" t="str">
        <f>"8364.70"</f>
        <v>8364.70</v>
      </c>
      <c r="H84" t="str">
        <f>"0.00"</f>
        <v>0.00</v>
      </c>
      <c r="I84" t="str">
        <f>"157"</f>
        <v>157</v>
      </c>
      <c r="J84" t="str">
        <f>"申购配号(新天药业)"</f>
        <v>申购配号(新天药业)</v>
      </c>
      <c r="K84" t="str">
        <f>"0.00"</f>
        <v>0.00</v>
      </c>
      <c r="L84" t="str">
        <f t="shared" si="36"/>
        <v>0.00</v>
      </c>
      <c r="M84" t="str">
        <f t="shared" si="36"/>
        <v>0.00</v>
      </c>
      <c r="N84" t="str">
        <f t="shared" si="36"/>
        <v>0.00</v>
      </c>
      <c r="O84" t="str">
        <f>"002873"</f>
        <v>002873</v>
      </c>
      <c r="P84" t="str">
        <f>"0153613480"</f>
        <v>0153613480</v>
      </c>
    </row>
    <row r="85" spans="1:16" x14ac:dyDescent="0.25">
      <c r="A85" t="str">
        <f t="shared" si="29"/>
        <v>人民币</v>
      </c>
      <c r="B85" t="str">
        <f>"冀东水泥"</f>
        <v>冀东水泥</v>
      </c>
      <c r="C85" t="str">
        <f>"20170509"</f>
        <v>20170509</v>
      </c>
      <c r="D85" t="str">
        <f>"17.810"</f>
        <v>17.810</v>
      </c>
      <c r="E85" t="str">
        <f>"400.00"</f>
        <v>400.00</v>
      </c>
      <c r="F85" t="str">
        <f>"-7129.00"</f>
        <v>-7129.00</v>
      </c>
      <c r="G85" t="str">
        <f>"1235.70"</f>
        <v>1235.70</v>
      </c>
      <c r="H85" t="str">
        <f>"1600.00"</f>
        <v>1600.00</v>
      </c>
      <c r="I85" t="str">
        <f>"165"</f>
        <v>165</v>
      </c>
      <c r="J85" t="str">
        <f>"证券买入(冀东水泥)"</f>
        <v>证券买入(冀东水泥)</v>
      </c>
      <c r="K85" t="str">
        <f>"5.00"</f>
        <v>5.00</v>
      </c>
      <c r="L85" t="str">
        <f t="shared" si="36"/>
        <v>0.00</v>
      </c>
      <c r="M85" t="str">
        <f t="shared" si="36"/>
        <v>0.00</v>
      </c>
      <c r="N85" t="str">
        <f t="shared" si="36"/>
        <v>0.00</v>
      </c>
      <c r="O85" t="str">
        <f>"000401"</f>
        <v>000401</v>
      </c>
      <c r="P85" t="str">
        <f>"0153613480"</f>
        <v>0153613480</v>
      </c>
    </row>
    <row r="86" spans="1:16" x14ac:dyDescent="0.25">
      <c r="A86" t="str">
        <f t="shared" si="29"/>
        <v>人民币</v>
      </c>
      <c r="B86" t="str">
        <f>"民德电子"</f>
        <v>民德电子</v>
      </c>
      <c r="C86" t="str">
        <f>"20170509"</f>
        <v>20170509</v>
      </c>
      <c r="D86" t="str">
        <f>"0.000"</f>
        <v>0.000</v>
      </c>
      <c r="E86" t="str">
        <f>"6.00"</f>
        <v>6.00</v>
      </c>
      <c r="F86" t="str">
        <f>"0.00"</f>
        <v>0.00</v>
      </c>
      <c r="G86" t="str">
        <f>"1235.70"</f>
        <v>1235.70</v>
      </c>
      <c r="H86" t="str">
        <f>"0.00"</f>
        <v>0.00</v>
      </c>
      <c r="I86" t="str">
        <f>"168"</f>
        <v>168</v>
      </c>
      <c r="J86" t="str">
        <f>"申购配号(民德电子)"</f>
        <v>申购配号(民德电子)</v>
      </c>
      <c r="K86" t="str">
        <f>"0.00"</f>
        <v>0.00</v>
      </c>
      <c r="L86" t="str">
        <f t="shared" si="36"/>
        <v>0.00</v>
      </c>
      <c r="M86" t="str">
        <f t="shared" si="36"/>
        <v>0.00</v>
      </c>
      <c r="N86" t="str">
        <f t="shared" si="36"/>
        <v>0.00</v>
      </c>
      <c r="O86" t="str">
        <f>"300656"</f>
        <v>300656</v>
      </c>
      <c r="P86" t="str">
        <f>"0153613480"</f>
        <v>0153613480</v>
      </c>
    </row>
    <row r="87" spans="1:16" x14ac:dyDescent="0.25">
      <c r="A87" t="str">
        <f t="shared" si="29"/>
        <v>人民币</v>
      </c>
      <c r="B87" t="str">
        <f>" "</f>
        <v xml:space="preserve"> </v>
      </c>
      <c r="C87" t="str">
        <f>"20170510"</f>
        <v>20170510</v>
      </c>
      <c r="D87" t="str">
        <f>"---"</f>
        <v>---</v>
      </c>
      <c r="E87" t="str">
        <f>"---"</f>
        <v>---</v>
      </c>
      <c r="F87" t="str">
        <f>"-1000.00"</f>
        <v>-1000.00</v>
      </c>
      <c r="G87" t="str">
        <f>"235.70"</f>
        <v>235.70</v>
      </c>
      <c r="H87" t="str">
        <f>"---"</f>
        <v>---</v>
      </c>
      <c r="I87" t="str">
        <f>"---"</f>
        <v>---</v>
      </c>
      <c r="J87" t="str">
        <f>"银行转取"</f>
        <v>银行转取</v>
      </c>
      <c r="K87" t="str">
        <f t="shared" ref="K87:P87" si="37">"---"</f>
        <v>---</v>
      </c>
      <c r="L87" t="str">
        <f t="shared" si="37"/>
        <v>---</v>
      </c>
      <c r="M87" t="str">
        <f t="shared" si="37"/>
        <v>---</v>
      </c>
      <c r="N87" t="str">
        <f t="shared" si="37"/>
        <v>---</v>
      </c>
      <c r="O87" t="str">
        <f t="shared" si="37"/>
        <v>---</v>
      </c>
      <c r="P87" t="str">
        <f t="shared" si="37"/>
        <v>---</v>
      </c>
    </row>
    <row r="88" spans="1:16" x14ac:dyDescent="0.25">
      <c r="A88" t="str">
        <f t="shared" si="29"/>
        <v>人民币</v>
      </c>
      <c r="B88" t="str">
        <f>"天圣制药"</f>
        <v>天圣制药</v>
      </c>
      <c r="C88" t="str">
        <f>"20170510"</f>
        <v>20170510</v>
      </c>
      <c r="D88" t="str">
        <f>"0.000"</f>
        <v>0.000</v>
      </c>
      <c r="E88" t="str">
        <f>"6.00"</f>
        <v>6.00</v>
      </c>
      <c r="F88" t="str">
        <f>"0.00"</f>
        <v>0.00</v>
      </c>
      <c r="G88" t="str">
        <f>"235.70"</f>
        <v>235.70</v>
      </c>
      <c r="H88" t="str">
        <f>"0.00"</f>
        <v>0.00</v>
      </c>
      <c r="I88" t="str">
        <f>"175"</f>
        <v>175</v>
      </c>
      <c r="J88" t="str">
        <f>"申购配号(天圣制药)"</f>
        <v>申购配号(天圣制药)</v>
      </c>
      <c r="K88" t="str">
        <f t="shared" ref="K88:N90" si="38">"0.00"</f>
        <v>0.00</v>
      </c>
      <c r="L88" t="str">
        <f t="shared" si="38"/>
        <v>0.00</v>
      </c>
      <c r="M88" t="str">
        <f t="shared" si="38"/>
        <v>0.00</v>
      </c>
      <c r="N88" t="str">
        <f t="shared" si="38"/>
        <v>0.00</v>
      </c>
      <c r="O88" t="str">
        <f>"002872"</f>
        <v>002872</v>
      </c>
      <c r="P88" t="str">
        <f>"0153613480"</f>
        <v>0153613480</v>
      </c>
    </row>
    <row r="89" spans="1:16" x14ac:dyDescent="0.25">
      <c r="A89" t="str">
        <f t="shared" si="29"/>
        <v>人民币</v>
      </c>
      <c r="B89" t="str">
        <f>"晶瑞股份"</f>
        <v>晶瑞股份</v>
      </c>
      <c r="C89" t="str">
        <f>"20170511"</f>
        <v>20170511</v>
      </c>
      <c r="D89" t="str">
        <f>"0.000"</f>
        <v>0.000</v>
      </c>
      <c r="E89" t="str">
        <f>"6.00"</f>
        <v>6.00</v>
      </c>
      <c r="F89" t="str">
        <f>"0.00"</f>
        <v>0.00</v>
      </c>
      <c r="G89" t="str">
        <f>"235.70"</f>
        <v>235.70</v>
      </c>
      <c r="H89" t="str">
        <f>"0.00"</f>
        <v>0.00</v>
      </c>
      <c r="I89" t="str">
        <f>"184"</f>
        <v>184</v>
      </c>
      <c r="J89" t="str">
        <f>"申购配号(晶瑞股份)"</f>
        <v>申购配号(晶瑞股份)</v>
      </c>
      <c r="K89" t="str">
        <f t="shared" si="38"/>
        <v>0.00</v>
      </c>
      <c r="L89" t="str">
        <f t="shared" si="38"/>
        <v>0.00</v>
      </c>
      <c r="M89" t="str">
        <f t="shared" si="38"/>
        <v>0.00</v>
      </c>
      <c r="N89" t="str">
        <f t="shared" si="38"/>
        <v>0.00</v>
      </c>
      <c r="O89" t="str">
        <f>"300655"</f>
        <v>300655</v>
      </c>
      <c r="P89" t="str">
        <f>"0153613480"</f>
        <v>0153613480</v>
      </c>
    </row>
    <row r="90" spans="1:16" x14ac:dyDescent="0.25">
      <c r="A90" t="str">
        <f t="shared" si="29"/>
        <v>人民币</v>
      </c>
      <c r="B90" t="str">
        <f>"弘信电子"</f>
        <v>弘信电子</v>
      </c>
      <c r="C90" t="str">
        <f>"20170512"</f>
        <v>20170512</v>
      </c>
      <c r="D90" t="str">
        <f>"0.000"</f>
        <v>0.000</v>
      </c>
      <c r="E90" t="str">
        <f>"6.00"</f>
        <v>6.00</v>
      </c>
      <c r="F90" t="str">
        <f>"0.00"</f>
        <v>0.00</v>
      </c>
      <c r="G90" t="str">
        <f>"235.70"</f>
        <v>235.70</v>
      </c>
      <c r="H90" t="str">
        <f>"0.00"</f>
        <v>0.00</v>
      </c>
      <c r="I90" t="str">
        <f>"187"</f>
        <v>187</v>
      </c>
      <c r="J90" t="str">
        <f>"申购配号(弘信电子)"</f>
        <v>申购配号(弘信电子)</v>
      </c>
      <c r="K90" t="str">
        <f t="shared" si="38"/>
        <v>0.00</v>
      </c>
      <c r="L90" t="str">
        <f t="shared" si="38"/>
        <v>0.00</v>
      </c>
      <c r="M90" t="str">
        <f t="shared" si="38"/>
        <v>0.00</v>
      </c>
      <c r="N90" t="str">
        <f t="shared" si="38"/>
        <v>0.00</v>
      </c>
      <c r="O90" t="str">
        <f>"300657"</f>
        <v>300657</v>
      </c>
      <c r="P90" t="str">
        <f>"0153613480"</f>
        <v>0153613480</v>
      </c>
    </row>
    <row r="91" spans="1:16" x14ac:dyDescent="0.25">
      <c r="A91" t="str">
        <f t="shared" si="29"/>
        <v>人民币</v>
      </c>
      <c r="B91" t="str">
        <f>" "</f>
        <v xml:space="preserve"> </v>
      </c>
      <c r="C91" t="str">
        <f>"20170516"</f>
        <v>20170516</v>
      </c>
      <c r="D91" t="str">
        <f>"---"</f>
        <v>---</v>
      </c>
      <c r="E91" t="str">
        <f>"---"</f>
        <v>---</v>
      </c>
      <c r="F91" t="str">
        <f>"9000.00"</f>
        <v>9000.00</v>
      </c>
      <c r="G91" t="str">
        <f>"9235.70"</f>
        <v>9235.70</v>
      </c>
      <c r="H91" t="str">
        <f>"---"</f>
        <v>---</v>
      </c>
      <c r="I91" t="str">
        <f>"---"</f>
        <v>---</v>
      </c>
      <c r="J91" t="str">
        <f>"银行转存"</f>
        <v>银行转存</v>
      </c>
      <c r="K91" t="str">
        <f t="shared" ref="K91:P91" si="39">"---"</f>
        <v>---</v>
      </c>
      <c r="L91" t="str">
        <f t="shared" si="39"/>
        <v>---</v>
      </c>
      <c r="M91" t="str">
        <f t="shared" si="39"/>
        <v>---</v>
      </c>
      <c r="N91" t="str">
        <f t="shared" si="39"/>
        <v>---</v>
      </c>
      <c r="O91" t="str">
        <f t="shared" si="39"/>
        <v>---</v>
      </c>
      <c r="P91" t="str">
        <f t="shared" si="39"/>
        <v>---</v>
      </c>
    </row>
    <row r="92" spans="1:16" x14ac:dyDescent="0.25">
      <c r="A92" t="str">
        <f t="shared" si="29"/>
        <v>人民币</v>
      </c>
      <c r="B92" t="str">
        <f>"三利谱"</f>
        <v>三利谱</v>
      </c>
      <c r="C92" t="str">
        <f>"20170516"</f>
        <v>20170516</v>
      </c>
      <c r="D92" t="str">
        <f>"0.000"</f>
        <v>0.000</v>
      </c>
      <c r="E92" t="str">
        <f>"7.00"</f>
        <v>7.00</v>
      </c>
      <c r="F92" t="str">
        <f>"0.00"</f>
        <v>0.00</v>
      </c>
      <c r="G92" t="str">
        <f>"9235.70"</f>
        <v>9235.70</v>
      </c>
      <c r="H92" t="str">
        <f>"0.00"</f>
        <v>0.00</v>
      </c>
      <c r="I92" t="str">
        <f>"198"</f>
        <v>198</v>
      </c>
      <c r="J92" t="str">
        <f>"申购配号(三利谱)"</f>
        <v>申购配号(三利谱)</v>
      </c>
      <c r="K92" t="str">
        <f>"0.00"</f>
        <v>0.00</v>
      </c>
      <c r="L92" t="str">
        <f>"0.00"</f>
        <v>0.00</v>
      </c>
      <c r="M92" t="str">
        <f>"0.00"</f>
        <v>0.00</v>
      </c>
      <c r="N92" t="str">
        <f>"0.00"</f>
        <v>0.00</v>
      </c>
      <c r="O92" t="str">
        <f>"002876"</f>
        <v>002876</v>
      </c>
      <c r="P92" t="str">
        <f>"0153613480"</f>
        <v>0153613480</v>
      </c>
    </row>
    <row r="93" spans="1:16" x14ac:dyDescent="0.25">
      <c r="A93" t="str">
        <f t="shared" si="29"/>
        <v>人民币</v>
      </c>
      <c r="B93" t="str">
        <f>"西部建设"</f>
        <v>西部建设</v>
      </c>
      <c r="C93" t="str">
        <f>"20170517"</f>
        <v>20170517</v>
      </c>
      <c r="D93" t="str">
        <f>"19.500"</f>
        <v>19.500</v>
      </c>
      <c r="E93" t="str">
        <f>"300.00"</f>
        <v>300.00</v>
      </c>
      <c r="F93" t="str">
        <f>"-5855.00"</f>
        <v>-5855.00</v>
      </c>
      <c r="G93" t="str">
        <f>"3380.70"</f>
        <v>3380.70</v>
      </c>
      <c r="H93" t="str">
        <f>"300.00"</f>
        <v>300.00</v>
      </c>
      <c r="I93" t="str">
        <f>"206"</f>
        <v>206</v>
      </c>
      <c r="J93" t="str">
        <f>"证券买入(西部建设)"</f>
        <v>证券买入(西部建设)</v>
      </c>
      <c r="K93" t="str">
        <f>"5.00"</f>
        <v>5.00</v>
      </c>
      <c r="L93" t="str">
        <f>"0.00"</f>
        <v>0.00</v>
      </c>
      <c r="M93" t="str">
        <f>"0.00"</f>
        <v>0.00</v>
      </c>
      <c r="N93" t="str">
        <f>"0.00"</f>
        <v>0.00</v>
      </c>
      <c r="O93" t="str">
        <f>"002302"</f>
        <v>002302</v>
      </c>
      <c r="P93" t="str">
        <f>"0153613480"</f>
        <v>0153613480</v>
      </c>
    </row>
    <row r="94" spans="1:16" x14ac:dyDescent="0.25">
      <c r="A94" t="str">
        <f t="shared" si="29"/>
        <v>人民币</v>
      </c>
      <c r="B94" t="str">
        <f>"冀东水泥"</f>
        <v>冀东水泥</v>
      </c>
      <c r="C94" t="str">
        <f>"20170517"</f>
        <v>20170517</v>
      </c>
      <c r="D94" t="str">
        <f>"18.850"</f>
        <v>18.850</v>
      </c>
      <c r="E94" t="str">
        <f>"-400.00"</f>
        <v>-400.00</v>
      </c>
      <c r="F94" t="str">
        <f>"7527.46"</f>
        <v>7527.46</v>
      </c>
      <c r="G94" t="str">
        <f>"10908.16"</f>
        <v>10908.16</v>
      </c>
      <c r="H94" t="str">
        <f>"1200.00"</f>
        <v>1200.00</v>
      </c>
      <c r="I94" t="str">
        <f>"209"</f>
        <v>209</v>
      </c>
      <c r="J94" t="str">
        <f>"证券卖出(冀东水泥)"</f>
        <v>证券卖出(冀东水泥)</v>
      </c>
      <c r="K94" t="str">
        <f>"5.00"</f>
        <v>5.00</v>
      </c>
      <c r="L94" t="str">
        <f>"7.54"</f>
        <v>7.54</v>
      </c>
      <c r="M94" t="str">
        <f t="shared" ref="M94:N96" si="40">"0.00"</f>
        <v>0.00</v>
      </c>
      <c r="N94" t="str">
        <f t="shared" si="40"/>
        <v>0.00</v>
      </c>
      <c r="O94" t="str">
        <f>"000401"</f>
        <v>000401</v>
      </c>
      <c r="P94" t="str">
        <f>"0153613480"</f>
        <v>0153613480</v>
      </c>
    </row>
    <row r="95" spans="1:16" x14ac:dyDescent="0.25">
      <c r="A95" t="str">
        <f t="shared" si="29"/>
        <v>人民币</v>
      </c>
      <c r="B95" t="str">
        <f>"延江股份"</f>
        <v>延江股份</v>
      </c>
      <c r="C95" t="str">
        <f>"20170517"</f>
        <v>20170517</v>
      </c>
      <c r="D95" t="str">
        <f>"0.000"</f>
        <v>0.000</v>
      </c>
      <c r="E95" t="str">
        <f>"7.00"</f>
        <v>7.00</v>
      </c>
      <c r="F95" t="str">
        <f>"0.00"</f>
        <v>0.00</v>
      </c>
      <c r="G95" t="str">
        <f>"10908.16"</f>
        <v>10908.16</v>
      </c>
      <c r="H95" t="str">
        <f>"0.00"</f>
        <v>0.00</v>
      </c>
      <c r="I95" t="str">
        <f>"212"</f>
        <v>212</v>
      </c>
      <c r="J95" t="str">
        <f>"申购配号(延江股份)"</f>
        <v>申购配号(延江股份)</v>
      </c>
      <c r="K95" t="str">
        <f>"0.00"</f>
        <v>0.00</v>
      </c>
      <c r="L95" t="str">
        <f>"0.00"</f>
        <v>0.00</v>
      </c>
      <c r="M95" t="str">
        <f t="shared" si="40"/>
        <v>0.00</v>
      </c>
      <c r="N95" t="str">
        <f t="shared" si="40"/>
        <v>0.00</v>
      </c>
      <c r="O95" t="str">
        <f>"300658"</f>
        <v>300658</v>
      </c>
      <c r="P95" t="str">
        <f>"0153613480"</f>
        <v>0153613480</v>
      </c>
    </row>
    <row r="96" spans="1:16" x14ac:dyDescent="0.25">
      <c r="A96" t="str">
        <f t="shared" si="29"/>
        <v>人民币</v>
      </c>
      <c r="B96" t="str">
        <f>"中孚信息"</f>
        <v>中孚信息</v>
      </c>
      <c r="C96" t="str">
        <f>"20170517"</f>
        <v>20170517</v>
      </c>
      <c r="D96" t="str">
        <f>"0.000"</f>
        <v>0.000</v>
      </c>
      <c r="E96" t="str">
        <f>"7.00"</f>
        <v>7.00</v>
      </c>
      <c r="F96" t="str">
        <f>"0.00"</f>
        <v>0.00</v>
      </c>
      <c r="G96" t="str">
        <f>"10908.16"</f>
        <v>10908.16</v>
      </c>
      <c r="H96" t="str">
        <f>"0.00"</f>
        <v>0.00</v>
      </c>
      <c r="I96" t="str">
        <f>"214"</f>
        <v>214</v>
      </c>
      <c r="J96" t="str">
        <f>"申购配号(中孚信息)"</f>
        <v>申购配号(中孚信息)</v>
      </c>
      <c r="K96" t="str">
        <f>"0.00"</f>
        <v>0.00</v>
      </c>
      <c r="L96" t="str">
        <f>"0.00"</f>
        <v>0.00</v>
      </c>
      <c r="M96" t="str">
        <f t="shared" si="40"/>
        <v>0.00</v>
      </c>
      <c r="N96" t="str">
        <f t="shared" si="40"/>
        <v>0.00</v>
      </c>
      <c r="O96" t="str">
        <f>"300659"</f>
        <v>300659</v>
      </c>
      <c r="P96" t="str">
        <f>"0153613480"</f>
        <v>0153613480</v>
      </c>
    </row>
    <row r="97" spans="1:16" x14ac:dyDescent="0.25">
      <c r="A97" t="str">
        <f t="shared" si="29"/>
        <v>人民币</v>
      </c>
      <c r="B97" t="str">
        <f>" "</f>
        <v xml:space="preserve"> </v>
      </c>
      <c r="C97" t="str">
        <f>"20170518"</f>
        <v>20170518</v>
      </c>
      <c r="D97" t="str">
        <f>"---"</f>
        <v>---</v>
      </c>
      <c r="E97" t="str">
        <f>"---"</f>
        <v>---</v>
      </c>
      <c r="F97" t="str">
        <f>"-3000.00"</f>
        <v>-3000.00</v>
      </c>
      <c r="G97" t="str">
        <f>"7908.16"</f>
        <v>7908.16</v>
      </c>
      <c r="H97" t="str">
        <f>"---"</f>
        <v>---</v>
      </c>
      <c r="I97" t="str">
        <f>"---"</f>
        <v>---</v>
      </c>
      <c r="J97" t="str">
        <f>"银行转取"</f>
        <v>银行转取</v>
      </c>
      <c r="K97" t="str">
        <f t="shared" ref="K97:P97" si="41">"---"</f>
        <v>---</v>
      </c>
      <c r="L97" t="str">
        <f t="shared" si="41"/>
        <v>---</v>
      </c>
      <c r="M97" t="str">
        <f t="shared" si="41"/>
        <v>---</v>
      </c>
      <c r="N97" t="str">
        <f t="shared" si="41"/>
        <v>---</v>
      </c>
      <c r="O97" t="str">
        <f t="shared" si="41"/>
        <v>---</v>
      </c>
      <c r="P97" t="str">
        <f t="shared" si="41"/>
        <v>---</v>
      </c>
    </row>
    <row r="98" spans="1:16" x14ac:dyDescent="0.25">
      <c r="A98" t="str">
        <f t="shared" si="29"/>
        <v>人民币</v>
      </c>
      <c r="B98" t="str">
        <f>"西部建设"</f>
        <v>西部建设</v>
      </c>
      <c r="C98" t="str">
        <f>"20170518"</f>
        <v>20170518</v>
      </c>
      <c r="D98" t="str">
        <f>"18.700"</f>
        <v>18.700</v>
      </c>
      <c r="E98" t="str">
        <f>"200.00"</f>
        <v>200.00</v>
      </c>
      <c r="F98" t="str">
        <f>"-3745.00"</f>
        <v>-3745.00</v>
      </c>
      <c r="G98" t="str">
        <f>"4163.16"</f>
        <v>4163.16</v>
      </c>
      <c r="H98" t="str">
        <f>"500.00"</f>
        <v>500.00</v>
      </c>
      <c r="I98" t="str">
        <f>"224"</f>
        <v>224</v>
      </c>
      <c r="J98" t="str">
        <f>"证券买入(西部建设)"</f>
        <v>证券买入(西部建设)</v>
      </c>
      <c r="K98" t="str">
        <f>"5.00"</f>
        <v>5.00</v>
      </c>
      <c r="L98" t="str">
        <f t="shared" ref="L98:N102" si="42">"0.00"</f>
        <v>0.00</v>
      </c>
      <c r="M98" t="str">
        <f t="shared" si="42"/>
        <v>0.00</v>
      </c>
      <c r="N98" t="str">
        <f t="shared" si="42"/>
        <v>0.00</v>
      </c>
      <c r="O98" t="str">
        <f>"002302"</f>
        <v>002302</v>
      </c>
      <c r="P98" t="str">
        <f>"0153613480"</f>
        <v>0153613480</v>
      </c>
    </row>
    <row r="99" spans="1:16" x14ac:dyDescent="0.25">
      <c r="A99" t="str">
        <f t="shared" si="29"/>
        <v>人民币</v>
      </c>
      <c r="B99" t="str">
        <f>"西部建设"</f>
        <v>西部建设</v>
      </c>
      <c r="C99" t="str">
        <f>"20170518"</f>
        <v>20170518</v>
      </c>
      <c r="D99" t="str">
        <f>"18.440"</f>
        <v>18.440</v>
      </c>
      <c r="E99" t="str">
        <f>"200.00"</f>
        <v>200.00</v>
      </c>
      <c r="F99" t="str">
        <f>"-3693.00"</f>
        <v>-3693.00</v>
      </c>
      <c r="G99" t="str">
        <f>"470.16"</f>
        <v>470.16</v>
      </c>
      <c r="H99" t="str">
        <f>"700.00"</f>
        <v>700.00</v>
      </c>
      <c r="I99" t="str">
        <f>"230"</f>
        <v>230</v>
      </c>
      <c r="J99" t="str">
        <f>"证券买入(西部建设)"</f>
        <v>证券买入(西部建设)</v>
      </c>
      <c r="K99" t="str">
        <f>"5.00"</f>
        <v>5.00</v>
      </c>
      <c r="L99" t="str">
        <f t="shared" si="42"/>
        <v>0.00</v>
      </c>
      <c r="M99" t="str">
        <f t="shared" si="42"/>
        <v>0.00</v>
      </c>
      <c r="N99" t="str">
        <f t="shared" si="42"/>
        <v>0.00</v>
      </c>
      <c r="O99" t="str">
        <f>"002302"</f>
        <v>002302</v>
      </c>
      <c r="P99" t="str">
        <f>"0153613480"</f>
        <v>0153613480</v>
      </c>
    </row>
    <row r="100" spans="1:16" x14ac:dyDescent="0.25">
      <c r="A100" t="str">
        <f t="shared" si="29"/>
        <v>人民币</v>
      </c>
      <c r="B100" t="str">
        <f>"智能自控"</f>
        <v>智能自控</v>
      </c>
      <c r="C100" t="str">
        <f>"20170523"</f>
        <v>20170523</v>
      </c>
      <c r="D100" t="str">
        <f>"0.000"</f>
        <v>0.000</v>
      </c>
      <c r="E100" t="str">
        <f>"8.00"</f>
        <v>8.00</v>
      </c>
      <c r="F100" t="str">
        <f>"0.00"</f>
        <v>0.00</v>
      </c>
      <c r="G100" t="str">
        <f>"470.16"</f>
        <v>470.16</v>
      </c>
      <c r="H100" t="str">
        <f>"0.00"</f>
        <v>0.00</v>
      </c>
      <c r="I100" t="str">
        <f>"237"</f>
        <v>237</v>
      </c>
      <c r="J100" t="str">
        <f>"申购配号(智能自控)"</f>
        <v>申购配号(智能自控)</v>
      </c>
      <c r="K100" t="str">
        <f>"0.00"</f>
        <v>0.00</v>
      </c>
      <c r="L100" t="str">
        <f t="shared" si="42"/>
        <v>0.00</v>
      </c>
      <c r="M100" t="str">
        <f t="shared" si="42"/>
        <v>0.00</v>
      </c>
      <c r="N100" t="str">
        <f t="shared" si="42"/>
        <v>0.00</v>
      </c>
      <c r="O100" t="str">
        <f>"002877"</f>
        <v>002877</v>
      </c>
      <c r="P100" t="str">
        <f>"0153613480"</f>
        <v>0153613480</v>
      </c>
    </row>
    <row r="101" spans="1:16" x14ac:dyDescent="0.25">
      <c r="A101" t="str">
        <f t="shared" si="29"/>
        <v>人民币</v>
      </c>
      <c r="B101" t="str">
        <f>"飞鹿股份"</f>
        <v>飞鹿股份</v>
      </c>
      <c r="C101" t="str">
        <f>"20170531"</f>
        <v>20170531</v>
      </c>
      <c r="D101" t="str">
        <f>"0.000"</f>
        <v>0.000</v>
      </c>
      <c r="E101" t="str">
        <f>"9.00"</f>
        <v>9.00</v>
      </c>
      <c r="F101" t="str">
        <f>"0.00"</f>
        <v>0.00</v>
      </c>
      <c r="G101" t="str">
        <f>"470.16"</f>
        <v>470.16</v>
      </c>
      <c r="H101" t="str">
        <f>"0.00"</f>
        <v>0.00</v>
      </c>
      <c r="I101" t="str">
        <f>"1"</f>
        <v>1</v>
      </c>
      <c r="J101" t="str">
        <f>"申购配号(飞鹿股份)"</f>
        <v>申购配号(飞鹿股份)</v>
      </c>
      <c r="K101" t="str">
        <f>"0.00"</f>
        <v>0.00</v>
      </c>
      <c r="L101" t="str">
        <f t="shared" si="42"/>
        <v>0.00</v>
      </c>
      <c r="M101" t="str">
        <f t="shared" si="42"/>
        <v>0.00</v>
      </c>
      <c r="N101" t="str">
        <f t="shared" si="42"/>
        <v>0.00</v>
      </c>
      <c r="O101" t="str">
        <f>"300665"</f>
        <v>300665</v>
      </c>
      <c r="P101" t="str">
        <f>"0153613480"</f>
        <v>0153613480</v>
      </c>
    </row>
    <row r="102" spans="1:16" x14ac:dyDescent="0.25">
      <c r="A102" t="str">
        <f t="shared" si="29"/>
        <v>人民币</v>
      </c>
      <c r="B102" t="str">
        <f>"江丰电子"</f>
        <v>江丰电子</v>
      </c>
      <c r="C102" t="str">
        <f>"20170605"</f>
        <v>20170605</v>
      </c>
      <c r="D102" t="str">
        <f>"0.000"</f>
        <v>0.000</v>
      </c>
      <c r="E102" t="str">
        <f>"10.00"</f>
        <v>10.00</v>
      </c>
      <c r="F102" t="str">
        <f>"0.00"</f>
        <v>0.00</v>
      </c>
      <c r="G102" t="str">
        <f>"470.16"</f>
        <v>470.16</v>
      </c>
      <c r="H102" t="str">
        <f>"0.00"</f>
        <v>0.00</v>
      </c>
      <c r="I102" t="str">
        <f>"6"</f>
        <v>6</v>
      </c>
      <c r="J102" t="str">
        <f>"申购配号(江丰电子)"</f>
        <v>申购配号(江丰电子)</v>
      </c>
      <c r="K102" t="str">
        <f>"0.00"</f>
        <v>0.00</v>
      </c>
      <c r="L102" t="str">
        <f t="shared" si="42"/>
        <v>0.00</v>
      </c>
      <c r="M102" t="str">
        <f t="shared" si="42"/>
        <v>0.00</v>
      </c>
      <c r="N102" t="str">
        <f t="shared" si="42"/>
        <v>0.00</v>
      </c>
      <c r="O102" t="str">
        <f>"300666"</f>
        <v>300666</v>
      </c>
      <c r="P102" t="str">
        <f>"0153613480"</f>
        <v>0153613480</v>
      </c>
    </row>
    <row r="103" spans="1:16" x14ac:dyDescent="0.25">
      <c r="A103" t="str">
        <f t="shared" si="29"/>
        <v>人民币</v>
      </c>
      <c r="B103" t="str">
        <f>" "</f>
        <v xml:space="preserve"> </v>
      </c>
      <c r="C103" t="str">
        <f>"20170606"</f>
        <v>20170606</v>
      </c>
      <c r="D103" t="str">
        <f>"---"</f>
        <v>---</v>
      </c>
      <c r="E103" t="str">
        <f>"---"</f>
        <v>---</v>
      </c>
      <c r="F103" t="str">
        <f>"4990.00"</f>
        <v>4990.00</v>
      </c>
      <c r="G103" t="str">
        <f>"5460.16"</f>
        <v>5460.16</v>
      </c>
      <c r="H103" t="str">
        <f>"---"</f>
        <v>---</v>
      </c>
      <c r="I103" t="str">
        <f>"---"</f>
        <v>---</v>
      </c>
      <c r="J103" t="str">
        <f>"银行转存"</f>
        <v>银行转存</v>
      </c>
      <c r="K103" t="str">
        <f t="shared" ref="K103:P103" si="43">"---"</f>
        <v>---</v>
      </c>
      <c r="L103" t="str">
        <f t="shared" si="43"/>
        <v>---</v>
      </c>
      <c r="M103" t="str">
        <f t="shared" si="43"/>
        <v>---</v>
      </c>
      <c r="N103" t="str">
        <f t="shared" si="43"/>
        <v>---</v>
      </c>
      <c r="O103" t="str">
        <f t="shared" si="43"/>
        <v>---</v>
      </c>
      <c r="P103" t="str">
        <f t="shared" si="43"/>
        <v>---</v>
      </c>
    </row>
    <row r="104" spans="1:16" x14ac:dyDescent="0.25">
      <c r="A104" t="str">
        <f t="shared" si="29"/>
        <v>人民币</v>
      </c>
      <c r="B104" t="str">
        <f>"冀东水泥"</f>
        <v>冀东水泥</v>
      </c>
      <c r="C104" t="str">
        <f>"20170606"</f>
        <v>20170606</v>
      </c>
      <c r="D104" t="str">
        <f>"16.140"</f>
        <v>16.140</v>
      </c>
      <c r="E104" t="str">
        <f>"300.00"</f>
        <v>300.00</v>
      </c>
      <c r="F104" t="str">
        <f>"-4847.00"</f>
        <v>-4847.00</v>
      </c>
      <c r="G104" t="str">
        <f>"613.16"</f>
        <v>613.16</v>
      </c>
      <c r="H104" t="str">
        <f>"1500.00"</f>
        <v>1500.00</v>
      </c>
      <c r="I104" t="str">
        <f>"18"</f>
        <v>18</v>
      </c>
      <c r="J104" t="str">
        <f>"证券买入(冀东水泥)"</f>
        <v>证券买入(冀东水泥)</v>
      </c>
      <c r="K104" t="str">
        <f>"5.00"</f>
        <v>5.00</v>
      </c>
      <c r="L104" t="str">
        <f t="shared" ref="L104:N105" si="44">"0.00"</f>
        <v>0.00</v>
      </c>
      <c r="M104" t="str">
        <f t="shared" si="44"/>
        <v>0.00</v>
      </c>
      <c r="N104" t="str">
        <f t="shared" si="44"/>
        <v>0.00</v>
      </c>
      <c r="O104" t="str">
        <f>"000401"</f>
        <v>000401</v>
      </c>
      <c r="P104" t="str">
        <f>"0153613480"</f>
        <v>0153613480</v>
      </c>
    </row>
    <row r="105" spans="1:16" x14ac:dyDescent="0.25">
      <c r="A105" t="str">
        <f t="shared" si="29"/>
        <v>人民币</v>
      </c>
      <c r="B105" t="str">
        <f>"杰恩设计"</f>
        <v>杰恩设计</v>
      </c>
      <c r="C105" t="str">
        <f>"20170606"</f>
        <v>20170606</v>
      </c>
      <c r="D105" t="str">
        <f>"0.000"</f>
        <v>0.000</v>
      </c>
      <c r="E105" t="str">
        <f>"10.00"</f>
        <v>10.00</v>
      </c>
      <c r="F105" t="str">
        <f>"0.00"</f>
        <v>0.00</v>
      </c>
      <c r="G105" t="str">
        <f>"613.16"</f>
        <v>613.16</v>
      </c>
      <c r="H105" t="str">
        <f>"0.00"</f>
        <v>0.00</v>
      </c>
      <c r="I105" t="str">
        <f>"16"</f>
        <v>16</v>
      </c>
      <c r="J105" t="str">
        <f>"申购配号(杰恩设计)"</f>
        <v>申购配号(杰恩设计)</v>
      </c>
      <c r="K105" t="str">
        <f>"0.00"</f>
        <v>0.00</v>
      </c>
      <c r="L105" t="str">
        <f t="shared" si="44"/>
        <v>0.00</v>
      </c>
      <c r="M105" t="str">
        <f t="shared" si="44"/>
        <v>0.00</v>
      </c>
      <c r="N105" t="str">
        <f t="shared" si="44"/>
        <v>0.00</v>
      </c>
      <c r="O105" t="str">
        <f>"300668"</f>
        <v>300668</v>
      </c>
      <c r="P105" t="str">
        <f>"0153613480"</f>
        <v>0153613480</v>
      </c>
    </row>
    <row r="106" spans="1:16" x14ac:dyDescent="0.25">
      <c r="A106" t="str">
        <f t="shared" si="29"/>
        <v>人民币</v>
      </c>
      <c r="B106" t="str">
        <f>"西部建设"</f>
        <v>西部建设</v>
      </c>
      <c r="C106" t="str">
        <f>"20170606"</f>
        <v>20170606</v>
      </c>
      <c r="D106" t="str">
        <f>"0.000"</f>
        <v>0.000</v>
      </c>
      <c r="E106" t="str">
        <f>"0.00"</f>
        <v>0.00</v>
      </c>
      <c r="F106" t="str">
        <f>"45.50"</f>
        <v>45.50</v>
      </c>
      <c r="G106" t="str">
        <f>"658.66"</f>
        <v>658.66</v>
      </c>
      <c r="H106" t="str">
        <f>"700.00"</f>
        <v>700.00</v>
      </c>
      <c r="I106" t="str">
        <f>"---"</f>
        <v>---</v>
      </c>
      <c r="J106" t="str">
        <f>"股息入帐(西部建设)"</f>
        <v>股息入帐(西部建设)</v>
      </c>
      <c r="K106" t="str">
        <f>"---"</f>
        <v>---</v>
      </c>
      <c r="L106" t="str">
        <f>"---"</f>
        <v>---</v>
      </c>
      <c r="M106" t="str">
        <f>"---"</f>
        <v>---</v>
      </c>
      <c r="N106" t="str">
        <f>"---"</f>
        <v>---</v>
      </c>
      <c r="O106" t="str">
        <f>"002302"</f>
        <v>002302</v>
      </c>
      <c r="P106" t="str">
        <f>"0153613480"</f>
        <v>0153613480</v>
      </c>
    </row>
    <row r="107" spans="1:16" x14ac:dyDescent="0.25">
      <c r="A107" t="str">
        <f t="shared" si="29"/>
        <v>人民币</v>
      </c>
      <c r="B107" t="str">
        <f>"冀东水泥"</f>
        <v>冀东水泥</v>
      </c>
      <c r="C107" t="str">
        <f>"20170607"</f>
        <v>20170607</v>
      </c>
      <c r="D107" t="str">
        <f>"16.560"</f>
        <v>16.560</v>
      </c>
      <c r="E107" t="str">
        <f>"-300.00"</f>
        <v>-300.00</v>
      </c>
      <c r="F107" t="str">
        <f>"4958.03"</f>
        <v>4958.03</v>
      </c>
      <c r="G107" t="str">
        <f>"5616.69"</f>
        <v>5616.69</v>
      </c>
      <c r="H107" t="str">
        <f>"1200.00"</f>
        <v>1200.00</v>
      </c>
      <c r="I107" t="str">
        <f>"37"</f>
        <v>37</v>
      </c>
      <c r="J107" t="str">
        <f>"证券卖出(冀东水泥)"</f>
        <v>证券卖出(冀东水泥)</v>
      </c>
      <c r="K107" t="str">
        <f>"5.00"</f>
        <v>5.00</v>
      </c>
      <c r="L107" t="str">
        <f>"4.97"</f>
        <v>4.97</v>
      </c>
      <c r="M107" t="str">
        <f>"0.00"</f>
        <v>0.00</v>
      </c>
      <c r="N107" t="str">
        <f>"0.00"</f>
        <v>0.00</v>
      </c>
      <c r="O107" t="str">
        <f>"000401"</f>
        <v>000401</v>
      </c>
      <c r="P107" t="str">
        <f>"0153613480"</f>
        <v>0153613480</v>
      </c>
    </row>
    <row r="108" spans="1:16" x14ac:dyDescent="0.25">
      <c r="A108" t="str">
        <f t="shared" si="29"/>
        <v>人民币</v>
      </c>
      <c r="B108" t="str">
        <f>"必创科技"</f>
        <v>必创科技</v>
      </c>
      <c r="C108" t="str">
        <f>"20170607"</f>
        <v>20170607</v>
      </c>
      <c r="D108" t="str">
        <f>"0.000"</f>
        <v>0.000</v>
      </c>
      <c r="E108" t="str">
        <f>"10.00"</f>
        <v>10.00</v>
      </c>
      <c r="F108" t="str">
        <f>"0.00"</f>
        <v>0.00</v>
      </c>
      <c r="G108" t="str">
        <f>"5616.69"</f>
        <v>5616.69</v>
      </c>
      <c r="H108" t="str">
        <f>"0.00"</f>
        <v>0.00</v>
      </c>
      <c r="I108" t="str">
        <f>"25"</f>
        <v>25</v>
      </c>
      <c r="J108" t="str">
        <f>"申购配号(必创科技)"</f>
        <v>申购配号(必创科技)</v>
      </c>
      <c r="K108" t="str">
        <f>"0.00"</f>
        <v>0.00</v>
      </c>
      <c r="L108" t="str">
        <f>"0.00"</f>
        <v>0.00</v>
      </c>
      <c r="M108" t="str">
        <f>"0.00"</f>
        <v>0.00</v>
      </c>
      <c r="N108" t="str">
        <f>"0.00"</f>
        <v>0.00</v>
      </c>
      <c r="O108" t="str">
        <f>"300667"</f>
        <v>300667</v>
      </c>
      <c r="P108" t="str">
        <f>"0153613480"</f>
        <v>0153613480</v>
      </c>
    </row>
    <row r="109" spans="1:16" x14ac:dyDescent="0.25">
      <c r="A109" t="str">
        <f t="shared" si="29"/>
        <v>人民币</v>
      </c>
      <c r="B109" t="str">
        <f>" "</f>
        <v xml:space="preserve"> </v>
      </c>
      <c r="C109" t="str">
        <f>"20170608"</f>
        <v>20170608</v>
      </c>
      <c r="D109" t="str">
        <f>"---"</f>
        <v>---</v>
      </c>
      <c r="E109" t="str">
        <f>"---"</f>
        <v>---</v>
      </c>
      <c r="F109" t="str">
        <f>"-5000.00"</f>
        <v>-5000.00</v>
      </c>
      <c r="G109" t="str">
        <f>"616.69"</f>
        <v>616.69</v>
      </c>
      <c r="H109" t="str">
        <f>"---"</f>
        <v>---</v>
      </c>
      <c r="I109" t="str">
        <f>"---"</f>
        <v>---</v>
      </c>
      <c r="J109" t="str">
        <f>"银行转取"</f>
        <v>银行转取</v>
      </c>
      <c r="K109" t="str">
        <f t="shared" ref="K109:P109" si="45">"---"</f>
        <v>---</v>
      </c>
      <c r="L109" t="str">
        <f t="shared" si="45"/>
        <v>---</v>
      </c>
      <c r="M109" t="str">
        <f t="shared" si="45"/>
        <v>---</v>
      </c>
      <c r="N109" t="str">
        <f t="shared" si="45"/>
        <v>---</v>
      </c>
      <c r="O109" t="str">
        <f t="shared" si="45"/>
        <v>---</v>
      </c>
      <c r="P109" t="str">
        <f t="shared" si="45"/>
        <v>---</v>
      </c>
    </row>
    <row r="110" spans="1:16" x14ac:dyDescent="0.25">
      <c r="A110" t="str">
        <f t="shared" si="29"/>
        <v>人民币</v>
      </c>
      <c r="B110" t="str">
        <f>"金龙羽"</f>
        <v>金龙羽</v>
      </c>
      <c r="C110" t="str">
        <f>"20170613"</f>
        <v>20170613</v>
      </c>
      <c r="D110" t="str">
        <f>"0.000"</f>
        <v>0.000</v>
      </c>
      <c r="E110" t="str">
        <f>"10.00"</f>
        <v>10.00</v>
      </c>
      <c r="F110" t="str">
        <f>"0.00"</f>
        <v>0.00</v>
      </c>
      <c r="G110" t="str">
        <f>"616.69"</f>
        <v>616.69</v>
      </c>
      <c r="H110" t="str">
        <f>"0.00"</f>
        <v>0.00</v>
      </c>
      <c r="I110" t="str">
        <f>"43"</f>
        <v>43</v>
      </c>
      <c r="J110" t="str">
        <f>"申购配号(金龙羽)"</f>
        <v>申购配号(金龙羽)</v>
      </c>
      <c r="K110" t="str">
        <f t="shared" ref="K110:N112" si="46">"0.00"</f>
        <v>0.00</v>
      </c>
      <c r="L110" t="str">
        <f t="shared" si="46"/>
        <v>0.00</v>
      </c>
      <c r="M110" t="str">
        <f t="shared" si="46"/>
        <v>0.00</v>
      </c>
      <c r="N110" t="str">
        <f t="shared" si="46"/>
        <v>0.00</v>
      </c>
      <c r="O110" t="str">
        <f>"002882"</f>
        <v>002882</v>
      </c>
      <c r="P110" t="str">
        <f t="shared" ref="P110:P119" si="47">"0153613480"</f>
        <v>0153613480</v>
      </c>
    </row>
    <row r="111" spans="1:16" x14ac:dyDescent="0.25">
      <c r="A111" t="str">
        <f t="shared" si="29"/>
        <v>人民币</v>
      </c>
      <c r="B111" t="str">
        <f>"沃特股份"</f>
        <v>沃特股份</v>
      </c>
      <c r="C111" t="str">
        <f>"20170614"</f>
        <v>20170614</v>
      </c>
      <c r="D111" t="str">
        <f>"0.000"</f>
        <v>0.000</v>
      </c>
      <c r="E111" t="str">
        <f>"10.00"</f>
        <v>10.00</v>
      </c>
      <c r="F111" t="str">
        <f>"0.00"</f>
        <v>0.00</v>
      </c>
      <c r="G111" t="str">
        <f>"616.69"</f>
        <v>616.69</v>
      </c>
      <c r="H111" t="str">
        <f>"0.00"</f>
        <v>0.00</v>
      </c>
      <c r="I111" t="str">
        <f>"48"</f>
        <v>48</v>
      </c>
      <c r="J111" t="str">
        <f>"申购配号(沃特股份)"</f>
        <v>申购配号(沃特股份)</v>
      </c>
      <c r="K111" t="str">
        <f t="shared" si="46"/>
        <v>0.00</v>
      </c>
      <c r="L111" t="str">
        <f t="shared" si="46"/>
        <v>0.00</v>
      </c>
      <c r="M111" t="str">
        <f t="shared" si="46"/>
        <v>0.00</v>
      </c>
      <c r="N111" t="str">
        <f t="shared" si="46"/>
        <v>0.00</v>
      </c>
      <c r="O111" t="str">
        <f>"002886"</f>
        <v>002886</v>
      </c>
      <c r="P111" t="str">
        <f t="shared" si="47"/>
        <v>0153613480</v>
      </c>
    </row>
    <row r="112" spans="1:16" x14ac:dyDescent="0.25">
      <c r="A112" t="str">
        <f t="shared" si="29"/>
        <v>人民币</v>
      </c>
      <c r="B112" t="str">
        <f>"京泉华"</f>
        <v>京泉华</v>
      </c>
      <c r="C112" t="str">
        <f>"20170615"</f>
        <v>20170615</v>
      </c>
      <c r="D112" t="str">
        <f>"0.000"</f>
        <v>0.000</v>
      </c>
      <c r="E112" t="str">
        <f>"10.00"</f>
        <v>10.00</v>
      </c>
      <c r="F112" t="str">
        <f>"0.00"</f>
        <v>0.00</v>
      </c>
      <c r="G112" t="str">
        <f>"616.69"</f>
        <v>616.69</v>
      </c>
      <c r="H112" t="str">
        <f>"0.00"</f>
        <v>0.00</v>
      </c>
      <c r="I112" t="str">
        <f>"51"</f>
        <v>51</v>
      </c>
      <c r="J112" t="str">
        <f>"申购配号(京泉华)"</f>
        <v>申购配号(京泉华)</v>
      </c>
      <c r="K112" t="str">
        <f t="shared" si="46"/>
        <v>0.00</v>
      </c>
      <c r="L112" t="str">
        <f t="shared" si="46"/>
        <v>0.00</v>
      </c>
      <c r="M112" t="str">
        <f t="shared" si="46"/>
        <v>0.00</v>
      </c>
      <c r="N112" t="str">
        <f t="shared" si="46"/>
        <v>0.00</v>
      </c>
      <c r="O112" t="str">
        <f>"002885"</f>
        <v>002885</v>
      </c>
      <c r="P112" t="str">
        <f t="shared" si="47"/>
        <v>0153613480</v>
      </c>
    </row>
    <row r="113" spans="1:16" x14ac:dyDescent="0.25">
      <c r="A113" t="str">
        <f t="shared" si="29"/>
        <v>人民币</v>
      </c>
      <c r="B113" t="str">
        <f>"西部建设"</f>
        <v>西部建设</v>
      </c>
      <c r="C113" t="str">
        <f t="shared" ref="C113:C118" si="48">"20170616"</f>
        <v>20170616</v>
      </c>
      <c r="D113" t="str">
        <f>"19.740"</f>
        <v>19.740</v>
      </c>
      <c r="E113" t="str">
        <f>"-300.00"</f>
        <v>-300.00</v>
      </c>
      <c r="F113" t="str">
        <f>"5911.08"</f>
        <v>5911.08</v>
      </c>
      <c r="G113" t="str">
        <f>"6527.77"</f>
        <v>6527.77</v>
      </c>
      <c r="H113" t="str">
        <f>"400.00"</f>
        <v>400.00</v>
      </c>
      <c r="I113" t="str">
        <f>"54"</f>
        <v>54</v>
      </c>
      <c r="J113" t="str">
        <f>"证券卖出(西部建设)"</f>
        <v>证券卖出(西部建设)</v>
      </c>
      <c r="K113" t="str">
        <f t="shared" ref="K113:K118" si="49">"5.00"</f>
        <v>5.00</v>
      </c>
      <c r="L113" t="str">
        <f>"5.92"</f>
        <v>5.92</v>
      </c>
      <c r="M113" t="str">
        <f t="shared" ref="M113:N118" si="50">"0.00"</f>
        <v>0.00</v>
      </c>
      <c r="N113" t="str">
        <f t="shared" si="50"/>
        <v>0.00</v>
      </c>
      <c r="O113" t="str">
        <f>"002302"</f>
        <v>002302</v>
      </c>
      <c r="P113" t="str">
        <f t="shared" si="47"/>
        <v>0153613480</v>
      </c>
    </row>
    <row r="114" spans="1:16" x14ac:dyDescent="0.25">
      <c r="A114" t="str">
        <f t="shared" si="29"/>
        <v>人民币</v>
      </c>
      <c r="B114" t="str">
        <f>"西部建设"</f>
        <v>西部建设</v>
      </c>
      <c r="C114" t="str">
        <f t="shared" si="48"/>
        <v>20170616</v>
      </c>
      <c r="D114" t="str">
        <f>"19.800"</f>
        <v>19.800</v>
      </c>
      <c r="E114" t="str">
        <f>"-200.00"</f>
        <v>-200.00</v>
      </c>
      <c r="F114" t="str">
        <f>"3951.04"</f>
        <v>3951.04</v>
      </c>
      <c r="G114" t="str">
        <f>"10478.81"</f>
        <v>10478.81</v>
      </c>
      <c r="H114" t="str">
        <f>"200.00"</f>
        <v>200.00</v>
      </c>
      <c r="I114" t="str">
        <f>"56"</f>
        <v>56</v>
      </c>
      <c r="J114" t="str">
        <f>"证券卖出(西部建设)"</f>
        <v>证券卖出(西部建设)</v>
      </c>
      <c r="K114" t="str">
        <f t="shared" si="49"/>
        <v>5.00</v>
      </c>
      <c r="L114" t="str">
        <f>"3.96"</f>
        <v>3.96</v>
      </c>
      <c r="M114" t="str">
        <f t="shared" si="50"/>
        <v>0.00</v>
      </c>
      <c r="N114" t="str">
        <f t="shared" si="50"/>
        <v>0.00</v>
      </c>
      <c r="O114" t="str">
        <f>"002302"</f>
        <v>002302</v>
      </c>
      <c r="P114" t="str">
        <f t="shared" si="47"/>
        <v>0153613480</v>
      </c>
    </row>
    <row r="115" spans="1:16" x14ac:dyDescent="0.25">
      <c r="A115" t="str">
        <f t="shared" si="29"/>
        <v>人民币</v>
      </c>
      <c r="B115" t="str">
        <f>"西部建设"</f>
        <v>西部建设</v>
      </c>
      <c r="C115" t="str">
        <f t="shared" si="48"/>
        <v>20170616</v>
      </c>
      <c r="D115" t="str">
        <f>"19.400"</f>
        <v>19.400</v>
      </c>
      <c r="E115" t="str">
        <f>"-200.00"</f>
        <v>-200.00</v>
      </c>
      <c r="F115" t="str">
        <f>"3871.12"</f>
        <v>3871.12</v>
      </c>
      <c r="G115" t="str">
        <f>"14349.93"</f>
        <v>14349.93</v>
      </c>
      <c r="H115" t="str">
        <f>"0.00"</f>
        <v>0.00</v>
      </c>
      <c r="I115" t="str">
        <f>"66"</f>
        <v>66</v>
      </c>
      <c r="J115" t="str">
        <f>"证券卖出(西部建设)"</f>
        <v>证券卖出(西部建设)</v>
      </c>
      <c r="K115" t="str">
        <f t="shared" si="49"/>
        <v>5.00</v>
      </c>
      <c r="L115" t="str">
        <f>"3.88"</f>
        <v>3.88</v>
      </c>
      <c r="M115" t="str">
        <f t="shared" si="50"/>
        <v>0.00</v>
      </c>
      <c r="N115" t="str">
        <f t="shared" si="50"/>
        <v>0.00</v>
      </c>
      <c r="O115" t="str">
        <f>"002302"</f>
        <v>002302</v>
      </c>
      <c r="P115" t="str">
        <f t="shared" si="47"/>
        <v>0153613480</v>
      </c>
    </row>
    <row r="116" spans="1:16" x14ac:dyDescent="0.25">
      <c r="A116" t="str">
        <f t="shared" si="29"/>
        <v>人民币</v>
      </c>
      <c r="B116" t="str">
        <f>"汉钟精机"</f>
        <v>汉钟精机</v>
      </c>
      <c r="C116" t="str">
        <f t="shared" si="48"/>
        <v>20170616</v>
      </c>
      <c r="D116" t="str">
        <f>"16.530"</f>
        <v>16.530</v>
      </c>
      <c r="E116" t="str">
        <f>"300.00"</f>
        <v>300.00</v>
      </c>
      <c r="F116" t="str">
        <f>"-4964.00"</f>
        <v>-4964.00</v>
      </c>
      <c r="G116" t="str">
        <f>"9385.93"</f>
        <v>9385.93</v>
      </c>
      <c r="H116" t="str">
        <f>"300.00"</f>
        <v>300.00</v>
      </c>
      <c r="I116" t="str">
        <f>"79"</f>
        <v>79</v>
      </c>
      <c r="J116" t="str">
        <f>"证券买入(汉钟精机)"</f>
        <v>证券买入(汉钟精机)</v>
      </c>
      <c r="K116" t="str">
        <f t="shared" si="49"/>
        <v>5.00</v>
      </c>
      <c r="L116" t="str">
        <f>"0.00"</f>
        <v>0.00</v>
      </c>
      <c r="M116" t="str">
        <f t="shared" si="50"/>
        <v>0.00</v>
      </c>
      <c r="N116" t="str">
        <f t="shared" si="50"/>
        <v>0.00</v>
      </c>
      <c r="O116" t="str">
        <f>"002158"</f>
        <v>002158</v>
      </c>
      <c r="P116" t="str">
        <f t="shared" si="47"/>
        <v>0153613480</v>
      </c>
    </row>
    <row r="117" spans="1:16" x14ac:dyDescent="0.25">
      <c r="A117" t="str">
        <f t="shared" si="29"/>
        <v>人民币</v>
      </c>
      <c r="B117" t="str">
        <f>"汉钟精机"</f>
        <v>汉钟精机</v>
      </c>
      <c r="C117" t="str">
        <f t="shared" si="48"/>
        <v>20170616</v>
      </c>
      <c r="D117" t="str">
        <f>"16.530"</f>
        <v>16.530</v>
      </c>
      <c r="E117" t="str">
        <f>"200.00"</f>
        <v>200.00</v>
      </c>
      <c r="F117" t="str">
        <f>"-3311.00"</f>
        <v>-3311.00</v>
      </c>
      <c r="G117" t="str">
        <f>"6074.93"</f>
        <v>6074.93</v>
      </c>
      <c r="H117" t="str">
        <f>"500.00"</f>
        <v>500.00</v>
      </c>
      <c r="I117" t="str">
        <f>"82"</f>
        <v>82</v>
      </c>
      <c r="J117" t="str">
        <f>"证券买入(汉钟精机)"</f>
        <v>证券买入(汉钟精机)</v>
      </c>
      <c r="K117" t="str">
        <f t="shared" si="49"/>
        <v>5.00</v>
      </c>
      <c r="L117" t="str">
        <f>"0.00"</f>
        <v>0.00</v>
      </c>
      <c r="M117" t="str">
        <f t="shared" si="50"/>
        <v>0.00</v>
      </c>
      <c r="N117" t="str">
        <f t="shared" si="50"/>
        <v>0.00</v>
      </c>
      <c r="O117" t="str">
        <f>"002158"</f>
        <v>002158</v>
      </c>
      <c r="P117" t="str">
        <f t="shared" si="47"/>
        <v>0153613480</v>
      </c>
    </row>
    <row r="118" spans="1:16" x14ac:dyDescent="0.25">
      <c r="A118" t="str">
        <f t="shared" si="29"/>
        <v>人民币</v>
      </c>
      <c r="B118" t="str">
        <f>"冀东水泥"</f>
        <v>冀东水泥</v>
      </c>
      <c r="C118" t="str">
        <f t="shared" si="48"/>
        <v>20170616</v>
      </c>
      <c r="D118" t="str">
        <f>"16.300"</f>
        <v>16.300</v>
      </c>
      <c r="E118" t="str">
        <f>"-500.00"</f>
        <v>-500.00</v>
      </c>
      <c r="F118" t="str">
        <f>"8136.85"</f>
        <v>8136.85</v>
      </c>
      <c r="G118" t="str">
        <f>"14211.78"</f>
        <v>14211.78</v>
      </c>
      <c r="H118" t="str">
        <f>"700.00"</f>
        <v>700.00</v>
      </c>
      <c r="I118" t="str">
        <f>"69"</f>
        <v>69</v>
      </c>
      <c r="J118" t="str">
        <f>"证券卖出(冀东水泥)"</f>
        <v>证券卖出(冀东水泥)</v>
      </c>
      <c r="K118" t="str">
        <f t="shared" si="49"/>
        <v>5.00</v>
      </c>
      <c r="L118" t="str">
        <f>"8.15"</f>
        <v>8.15</v>
      </c>
      <c r="M118" t="str">
        <f t="shared" si="50"/>
        <v>0.00</v>
      </c>
      <c r="N118" t="str">
        <f t="shared" si="50"/>
        <v>0.00</v>
      </c>
      <c r="O118" t="str">
        <f>"000401"</f>
        <v>000401</v>
      </c>
      <c r="P118" t="str">
        <f t="shared" si="47"/>
        <v>0153613480</v>
      </c>
    </row>
    <row r="119" spans="1:16" x14ac:dyDescent="0.25">
      <c r="A119" t="str">
        <f t="shared" si="29"/>
        <v>人民币</v>
      </c>
      <c r="B119" t="str">
        <f>"西部建设"</f>
        <v>西部建设</v>
      </c>
      <c r="C119" t="str">
        <f>"20170619"</f>
        <v>20170619</v>
      </c>
      <c r="D119" t="str">
        <f>"0.000"</f>
        <v>0.000</v>
      </c>
      <c r="E119" t="str">
        <f>"0.00"</f>
        <v>0.00</v>
      </c>
      <c r="F119" t="str">
        <f>"-9.10"</f>
        <v>-9.10</v>
      </c>
      <c r="G119" t="str">
        <f>"14202.68"</f>
        <v>14202.68</v>
      </c>
      <c r="H119" t="str">
        <f>"0.00"</f>
        <v>0.00</v>
      </c>
      <c r="I119" t="str">
        <f>"---"</f>
        <v>---</v>
      </c>
      <c r="J119" t="str">
        <f>"红利差异税扣税(西部建设)"</f>
        <v>红利差异税扣税(西部建设)</v>
      </c>
      <c r="K119" t="str">
        <f t="shared" ref="K119:N120" si="51">"---"</f>
        <v>---</v>
      </c>
      <c r="L119" t="str">
        <f t="shared" si="51"/>
        <v>---</v>
      </c>
      <c r="M119" t="str">
        <f t="shared" si="51"/>
        <v>---</v>
      </c>
      <c r="N119" t="str">
        <f t="shared" si="51"/>
        <v>---</v>
      </c>
      <c r="O119" t="str">
        <f>"002302"</f>
        <v>002302</v>
      </c>
      <c r="P119" t="str">
        <f t="shared" si="47"/>
        <v>0153613480</v>
      </c>
    </row>
    <row r="120" spans="1:16" x14ac:dyDescent="0.25">
      <c r="A120" t="str">
        <f t="shared" si="29"/>
        <v>人民币</v>
      </c>
      <c r="B120" t="str">
        <f>" "</f>
        <v xml:space="preserve"> </v>
      </c>
      <c r="C120" t="str">
        <f>"20170619"</f>
        <v>20170619</v>
      </c>
      <c r="D120" t="str">
        <f>"---"</f>
        <v>---</v>
      </c>
      <c r="E120" t="str">
        <f>"---"</f>
        <v>---</v>
      </c>
      <c r="F120" t="str">
        <f>"-10000.00"</f>
        <v>-10000.00</v>
      </c>
      <c r="G120" t="str">
        <f>"4202.68"</f>
        <v>4202.68</v>
      </c>
      <c r="H120" t="str">
        <f>"---"</f>
        <v>---</v>
      </c>
      <c r="I120" t="str">
        <f>"---"</f>
        <v>---</v>
      </c>
      <c r="J120" t="str">
        <f>"银行转取"</f>
        <v>银行转取</v>
      </c>
      <c r="K120" t="str">
        <f t="shared" si="51"/>
        <v>---</v>
      </c>
      <c r="L120" t="str">
        <f t="shared" si="51"/>
        <v>---</v>
      </c>
      <c r="M120" t="str">
        <f t="shared" si="51"/>
        <v>---</v>
      </c>
      <c r="N120" t="str">
        <f t="shared" si="51"/>
        <v>---</v>
      </c>
      <c r="O120" t="str">
        <f>"---"</f>
        <v>---</v>
      </c>
      <c r="P120" t="str">
        <f>"---"</f>
        <v>---</v>
      </c>
    </row>
    <row r="121" spans="1:16" x14ac:dyDescent="0.25">
      <c r="A121" t="str">
        <f t="shared" si="29"/>
        <v>人民币</v>
      </c>
      <c r="B121" t="str">
        <f>"汉钟精机"</f>
        <v>汉钟精机</v>
      </c>
      <c r="C121" t="str">
        <f>"20170619"</f>
        <v>20170619</v>
      </c>
      <c r="D121" t="str">
        <f>"17.470"</f>
        <v>17.470</v>
      </c>
      <c r="E121" t="str">
        <f>"-300.00"</f>
        <v>-300.00</v>
      </c>
      <c r="F121" t="str">
        <f>"5230.76"</f>
        <v>5230.76</v>
      </c>
      <c r="G121" t="str">
        <f>"9433.44"</f>
        <v>9433.44</v>
      </c>
      <c r="H121" t="str">
        <f>"200.00"</f>
        <v>200.00</v>
      </c>
      <c r="I121" t="str">
        <f>"95"</f>
        <v>95</v>
      </c>
      <c r="J121" t="str">
        <f>"证券卖出(汉钟精机)"</f>
        <v>证券卖出(汉钟精机)</v>
      </c>
      <c r="K121" t="str">
        <f>"5.00"</f>
        <v>5.00</v>
      </c>
      <c r="L121" t="str">
        <f>"5.24"</f>
        <v>5.24</v>
      </c>
      <c r="M121" t="str">
        <f>"0.00"</f>
        <v>0.00</v>
      </c>
      <c r="N121" t="str">
        <f>"0.00"</f>
        <v>0.00</v>
      </c>
      <c r="O121" t="str">
        <f>"002158"</f>
        <v>002158</v>
      </c>
      <c r="P121" t="str">
        <f>"0153613480"</f>
        <v>0153613480</v>
      </c>
    </row>
    <row r="122" spans="1:16" x14ac:dyDescent="0.25">
      <c r="A122" t="str">
        <f t="shared" si="29"/>
        <v>人民币</v>
      </c>
      <c r="B122" t="str">
        <f>"汉钟精机"</f>
        <v>汉钟精机</v>
      </c>
      <c r="C122" t="str">
        <f>"20170619"</f>
        <v>20170619</v>
      </c>
      <c r="D122" t="str">
        <f>"16.930"</f>
        <v>16.930</v>
      </c>
      <c r="E122" t="str">
        <f>"200.00"</f>
        <v>200.00</v>
      </c>
      <c r="F122" t="str">
        <f>"-3391.00"</f>
        <v>-3391.00</v>
      </c>
      <c r="G122" t="str">
        <f>"6042.44"</f>
        <v>6042.44</v>
      </c>
      <c r="H122" t="str">
        <f>"400.00"</f>
        <v>400.00</v>
      </c>
      <c r="I122" t="str">
        <f>"99"</f>
        <v>99</v>
      </c>
      <c r="J122" t="str">
        <f>"证券买入(汉钟精机)"</f>
        <v>证券买入(汉钟精机)</v>
      </c>
      <c r="K122" t="str">
        <f>"5.00"</f>
        <v>5.00</v>
      </c>
      <c r="L122" t="str">
        <f>"0.00"</f>
        <v>0.00</v>
      </c>
      <c r="M122" t="str">
        <f>"0.00"</f>
        <v>0.00</v>
      </c>
      <c r="N122" t="str">
        <f>"0.00"</f>
        <v>0.00</v>
      </c>
      <c r="O122" t="str">
        <f>"002158"</f>
        <v>002158</v>
      </c>
      <c r="P122" t="str">
        <f>"0153613480"</f>
        <v>0153613480</v>
      </c>
    </row>
    <row r="123" spans="1:16" x14ac:dyDescent="0.25">
      <c r="A123" t="str">
        <f t="shared" si="29"/>
        <v>人民币</v>
      </c>
      <c r="B123" t="str">
        <f>" "</f>
        <v xml:space="preserve"> </v>
      </c>
      <c r="C123" t="str">
        <f>"20170620"</f>
        <v>20170620</v>
      </c>
      <c r="D123" t="str">
        <f>"---"</f>
        <v>---</v>
      </c>
      <c r="E123" t="str">
        <f>"---"</f>
        <v>---</v>
      </c>
      <c r="F123" t="str">
        <f>"3.20"</f>
        <v>3.20</v>
      </c>
      <c r="G123" t="str">
        <f>"6045.64"</f>
        <v>6045.64</v>
      </c>
      <c r="H123" t="str">
        <f>"---"</f>
        <v>---</v>
      </c>
      <c r="I123" t="str">
        <f>"---"</f>
        <v>---</v>
      </c>
      <c r="J123" t="str">
        <f>"批量利息归本"</f>
        <v>批量利息归本</v>
      </c>
      <c r="K123" t="str">
        <f t="shared" ref="K123:P123" si="52">"---"</f>
        <v>---</v>
      </c>
      <c r="L123" t="str">
        <f t="shared" si="52"/>
        <v>---</v>
      </c>
      <c r="M123" t="str">
        <f t="shared" si="52"/>
        <v>---</v>
      </c>
      <c r="N123" t="str">
        <f t="shared" si="52"/>
        <v>---</v>
      </c>
      <c r="O123" t="str">
        <f t="shared" si="52"/>
        <v>---</v>
      </c>
      <c r="P123" t="str">
        <f t="shared" si="52"/>
        <v>---</v>
      </c>
    </row>
    <row r="124" spans="1:16" x14ac:dyDescent="0.25">
      <c r="A124" t="str">
        <f t="shared" si="29"/>
        <v>人民币</v>
      </c>
      <c r="B124" t="str">
        <f>"汉钟精机"</f>
        <v>汉钟精机</v>
      </c>
      <c r="C124" t="str">
        <f>"20170620"</f>
        <v>20170620</v>
      </c>
      <c r="D124" t="str">
        <f>"18.400"</f>
        <v>18.400</v>
      </c>
      <c r="E124" t="str">
        <f>"-400.00"</f>
        <v>-400.00</v>
      </c>
      <c r="F124" t="str">
        <f>"7347.64"</f>
        <v>7347.64</v>
      </c>
      <c r="G124" t="str">
        <f>"13393.28"</f>
        <v>13393.28</v>
      </c>
      <c r="H124" t="str">
        <f>"0.00"</f>
        <v>0.00</v>
      </c>
      <c r="I124" t="str">
        <f>"104"</f>
        <v>104</v>
      </c>
      <c r="J124" t="str">
        <f>"证券卖出(汉钟精机)"</f>
        <v>证券卖出(汉钟精机)</v>
      </c>
      <c r="K124" t="str">
        <f t="shared" ref="K124:K137" si="53">"5.00"</f>
        <v>5.00</v>
      </c>
      <c r="L124" t="str">
        <f>"7.36"</f>
        <v>7.36</v>
      </c>
      <c r="M124" t="str">
        <f>"0.00"</f>
        <v>0.00</v>
      </c>
      <c r="N124" t="str">
        <f>"0.00"</f>
        <v>0.00</v>
      </c>
      <c r="O124" t="str">
        <f>"002158"</f>
        <v>002158</v>
      </c>
      <c r="P124" t="str">
        <f>"0153613480"</f>
        <v>0153613480</v>
      </c>
    </row>
    <row r="125" spans="1:16" x14ac:dyDescent="0.25">
      <c r="A125" t="str">
        <f t="shared" si="29"/>
        <v>人民币</v>
      </c>
      <c r="B125" t="str">
        <f>"银龙股份"</f>
        <v>银龙股份</v>
      </c>
      <c r="C125" t="str">
        <f>"20170621"</f>
        <v>20170621</v>
      </c>
      <c r="D125" t="str">
        <f>"21.930"</f>
        <v>21.930</v>
      </c>
      <c r="E125" t="str">
        <f>"200.00"</f>
        <v>200.00</v>
      </c>
      <c r="F125" t="str">
        <f>"-4391.09"</f>
        <v>-4391.09</v>
      </c>
      <c r="G125" t="str">
        <f>"9002.19"</f>
        <v>9002.19</v>
      </c>
      <c r="H125" t="str">
        <f>"200.00"</f>
        <v>200.00</v>
      </c>
      <c r="I125" t="str">
        <f>"109"</f>
        <v>109</v>
      </c>
      <c r="J125" t="str">
        <f>"证券买入(银龙股份)"</f>
        <v>证券买入(银龙股份)</v>
      </c>
      <c r="K125" t="str">
        <f t="shared" si="53"/>
        <v>5.00</v>
      </c>
      <c r="L125" t="str">
        <f>"0.00"</f>
        <v>0.00</v>
      </c>
      <c r="M125" t="str">
        <f>"0.09"</f>
        <v>0.09</v>
      </c>
      <c r="N125" t="str">
        <f t="shared" ref="N125:N143" si="54">"0.00"</f>
        <v>0.00</v>
      </c>
      <c r="O125" t="str">
        <f>"603969"</f>
        <v>603969</v>
      </c>
      <c r="P125" t="str">
        <f>"A400948245"</f>
        <v>A400948245</v>
      </c>
    </row>
    <row r="126" spans="1:16" x14ac:dyDescent="0.25">
      <c r="A126" t="str">
        <f t="shared" si="29"/>
        <v>人民币</v>
      </c>
      <c r="B126" t="str">
        <f>"银龙股份"</f>
        <v>银龙股份</v>
      </c>
      <c r="C126" t="str">
        <f>"20170622"</f>
        <v>20170622</v>
      </c>
      <c r="D126" t="str">
        <f>"21.700"</f>
        <v>21.700</v>
      </c>
      <c r="E126" t="str">
        <f>"100.00"</f>
        <v>100.00</v>
      </c>
      <c r="F126" t="str">
        <f>"-2175.04"</f>
        <v>-2175.04</v>
      </c>
      <c r="G126" t="str">
        <f>"6827.15"</f>
        <v>6827.15</v>
      </c>
      <c r="H126" t="str">
        <f>"300.00"</f>
        <v>300.00</v>
      </c>
      <c r="I126" t="str">
        <f>"131"</f>
        <v>131</v>
      </c>
      <c r="J126" t="str">
        <f>"证券买入(银龙股份)"</f>
        <v>证券买入(银龙股份)</v>
      </c>
      <c r="K126" t="str">
        <f t="shared" si="53"/>
        <v>5.00</v>
      </c>
      <c r="L126" t="str">
        <f>"0.00"</f>
        <v>0.00</v>
      </c>
      <c r="M126" t="str">
        <f>"0.04"</f>
        <v>0.04</v>
      </c>
      <c r="N126" t="str">
        <f t="shared" si="54"/>
        <v>0.00</v>
      </c>
      <c r="O126" t="str">
        <f>"603969"</f>
        <v>603969</v>
      </c>
      <c r="P126" t="str">
        <f>"A400948245"</f>
        <v>A400948245</v>
      </c>
    </row>
    <row r="127" spans="1:16" x14ac:dyDescent="0.25">
      <c r="A127" t="str">
        <f t="shared" si="29"/>
        <v>人民币</v>
      </c>
      <c r="B127" t="str">
        <f>"太空板业"</f>
        <v>太空板业</v>
      </c>
      <c r="C127" t="str">
        <f>"20170622"</f>
        <v>20170622</v>
      </c>
      <c r="D127" t="str">
        <f>"20.870"</f>
        <v>20.870</v>
      </c>
      <c r="E127" t="str">
        <f>"200.00"</f>
        <v>200.00</v>
      </c>
      <c r="F127" t="str">
        <f>"-4179.00"</f>
        <v>-4179.00</v>
      </c>
      <c r="G127" t="str">
        <f>"2648.15"</f>
        <v>2648.15</v>
      </c>
      <c r="H127" t="str">
        <f>"200.00"</f>
        <v>200.00</v>
      </c>
      <c r="I127" t="str">
        <f>"113"</f>
        <v>113</v>
      </c>
      <c r="J127" t="str">
        <f>"证券买入(太空板业)"</f>
        <v>证券买入(太空板业)</v>
      </c>
      <c r="K127" t="str">
        <f t="shared" si="53"/>
        <v>5.00</v>
      </c>
      <c r="L127" t="str">
        <f>"0.00"</f>
        <v>0.00</v>
      </c>
      <c r="M127" t="str">
        <f t="shared" ref="M127:M143" si="55">"0.00"</f>
        <v>0.00</v>
      </c>
      <c r="N127" t="str">
        <f t="shared" si="54"/>
        <v>0.00</v>
      </c>
      <c r="O127" t="str">
        <f>"300344"</f>
        <v>300344</v>
      </c>
      <c r="P127" t="str">
        <f t="shared" ref="P127:P146" si="56">"0153613480"</f>
        <v>0153613480</v>
      </c>
    </row>
    <row r="128" spans="1:16" x14ac:dyDescent="0.25">
      <c r="A128" t="str">
        <f t="shared" si="29"/>
        <v>人民币</v>
      </c>
      <c r="B128" t="str">
        <f>"太空板业"</f>
        <v>太空板业</v>
      </c>
      <c r="C128" t="str">
        <f>"20170622"</f>
        <v>20170622</v>
      </c>
      <c r="D128" t="str">
        <f>"20.790"</f>
        <v>20.790</v>
      </c>
      <c r="E128" t="str">
        <f>"200.00"</f>
        <v>200.00</v>
      </c>
      <c r="F128" t="str">
        <f>"-4163.00"</f>
        <v>-4163.00</v>
      </c>
      <c r="G128" t="str">
        <f>"-1514.85"</f>
        <v>-1514.85</v>
      </c>
      <c r="H128" t="str">
        <f>"400.00"</f>
        <v>400.00</v>
      </c>
      <c r="I128" t="str">
        <f>"124"</f>
        <v>124</v>
      </c>
      <c r="J128" t="str">
        <f>"证券买入(太空板业)"</f>
        <v>证券买入(太空板业)</v>
      </c>
      <c r="K128" t="str">
        <f t="shared" si="53"/>
        <v>5.00</v>
      </c>
      <c r="L128" t="str">
        <f>"0.00"</f>
        <v>0.00</v>
      </c>
      <c r="M128" t="str">
        <f t="shared" si="55"/>
        <v>0.00</v>
      </c>
      <c r="N128" t="str">
        <f t="shared" si="54"/>
        <v>0.00</v>
      </c>
      <c r="O128" t="str">
        <f>"300344"</f>
        <v>300344</v>
      </c>
      <c r="P128" t="str">
        <f t="shared" si="56"/>
        <v>0153613480</v>
      </c>
    </row>
    <row r="129" spans="1:16" x14ac:dyDescent="0.25">
      <c r="A129" t="str">
        <f t="shared" si="29"/>
        <v>人民币</v>
      </c>
      <c r="B129" t="str">
        <f>"太空板业"</f>
        <v>太空板业</v>
      </c>
      <c r="C129" t="str">
        <f>"20170622"</f>
        <v>20170622</v>
      </c>
      <c r="D129" t="str">
        <f>"20.730"</f>
        <v>20.730</v>
      </c>
      <c r="E129" t="str">
        <f>"200.00"</f>
        <v>200.00</v>
      </c>
      <c r="F129" t="str">
        <f>"-4151.00"</f>
        <v>-4151.00</v>
      </c>
      <c r="G129" t="str">
        <f>"-5665.85"</f>
        <v>-5665.85</v>
      </c>
      <c r="H129" t="str">
        <f>"600.00"</f>
        <v>600.00</v>
      </c>
      <c r="I129" t="str">
        <f>"122"</f>
        <v>122</v>
      </c>
      <c r="J129" t="str">
        <f>"证券买入(太空板业)"</f>
        <v>证券买入(太空板业)</v>
      </c>
      <c r="K129" t="str">
        <f t="shared" si="53"/>
        <v>5.00</v>
      </c>
      <c r="L129" t="str">
        <f>"0.00"</f>
        <v>0.00</v>
      </c>
      <c r="M129" t="str">
        <f t="shared" si="55"/>
        <v>0.00</v>
      </c>
      <c r="N129" t="str">
        <f t="shared" si="54"/>
        <v>0.00</v>
      </c>
      <c r="O129" t="str">
        <f>"300344"</f>
        <v>300344</v>
      </c>
      <c r="P129" t="str">
        <f t="shared" si="56"/>
        <v>0153613480</v>
      </c>
    </row>
    <row r="130" spans="1:16" x14ac:dyDescent="0.25">
      <c r="A130" t="str">
        <f t="shared" ref="A130:A193" si="57">"人民币"</f>
        <v>人民币</v>
      </c>
      <c r="B130" t="str">
        <f>"合肥城建"</f>
        <v>合肥城建</v>
      </c>
      <c r="C130" t="str">
        <f>"20170622"</f>
        <v>20170622</v>
      </c>
      <c r="D130" t="str">
        <f>"12.390"</f>
        <v>12.390</v>
      </c>
      <c r="E130" t="str">
        <f>"-500.00"</f>
        <v>-500.00</v>
      </c>
      <c r="F130" t="str">
        <f>"6183.80"</f>
        <v>6183.80</v>
      </c>
      <c r="G130" t="str">
        <f>"517.95"</f>
        <v>517.95</v>
      </c>
      <c r="H130" t="str">
        <f>"1300.00"</f>
        <v>1300.00</v>
      </c>
      <c r="I130" t="str">
        <f>"119"</f>
        <v>119</v>
      </c>
      <c r="J130" t="str">
        <f>"证券卖出(合肥城建)"</f>
        <v>证券卖出(合肥城建)</v>
      </c>
      <c r="K130" t="str">
        <f t="shared" si="53"/>
        <v>5.00</v>
      </c>
      <c r="L130" t="str">
        <f>"6.20"</f>
        <v>6.20</v>
      </c>
      <c r="M130" t="str">
        <f t="shared" si="55"/>
        <v>0.00</v>
      </c>
      <c r="N130" t="str">
        <f t="shared" si="54"/>
        <v>0.00</v>
      </c>
      <c r="O130" t="str">
        <f>"002208"</f>
        <v>002208</v>
      </c>
      <c r="P130" t="str">
        <f t="shared" si="56"/>
        <v>0153613480</v>
      </c>
    </row>
    <row r="131" spans="1:16" x14ac:dyDescent="0.25">
      <c r="A131" t="str">
        <f t="shared" si="57"/>
        <v>人民币</v>
      </c>
      <c r="B131" t="str">
        <f>"冀东水泥"</f>
        <v>冀东水泥</v>
      </c>
      <c r="C131" t="str">
        <f t="shared" ref="C131:C138" si="58">"20170623"</f>
        <v>20170623</v>
      </c>
      <c r="D131" t="str">
        <f>"15.800"</f>
        <v>15.800</v>
      </c>
      <c r="E131" t="str">
        <f>"-300.00"</f>
        <v>-300.00</v>
      </c>
      <c r="F131" t="str">
        <f>"4730.26"</f>
        <v>4730.26</v>
      </c>
      <c r="G131" t="str">
        <f>"5248.21"</f>
        <v>5248.21</v>
      </c>
      <c r="H131" t="str">
        <f>"400.00"</f>
        <v>400.00</v>
      </c>
      <c r="I131" t="str">
        <f>"139"</f>
        <v>139</v>
      </c>
      <c r="J131" t="str">
        <f>"证券卖出(冀东水泥)"</f>
        <v>证券卖出(冀东水泥)</v>
      </c>
      <c r="K131" t="str">
        <f t="shared" si="53"/>
        <v>5.00</v>
      </c>
      <c r="L131" t="str">
        <f>"4.74"</f>
        <v>4.74</v>
      </c>
      <c r="M131" t="str">
        <f t="shared" si="55"/>
        <v>0.00</v>
      </c>
      <c r="N131" t="str">
        <f t="shared" si="54"/>
        <v>0.00</v>
      </c>
      <c r="O131" t="str">
        <f>"000401"</f>
        <v>000401</v>
      </c>
      <c r="P131" t="str">
        <f t="shared" si="56"/>
        <v>0153613480</v>
      </c>
    </row>
    <row r="132" spans="1:16" x14ac:dyDescent="0.25">
      <c r="A132" t="str">
        <f t="shared" si="57"/>
        <v>人民币</v>
      </c>
      <c r="B132" t="str">
        <f>"冀东水泥"</f>
        <v>冀东水泥</v>
      </c>
      <c r="C132" t="str">
        <f t="shared" si="58"/>
        <v>20170623</v>
      </c>
      <c r="D132" t="str">
        <f>"15.740"</f>
        <v>15.740</v>
      </c>
      <c r="E132" t="str">
        <f>"-300.00"</f>
        <v>-300.00</v>
      </c>
      <c r="F132" t="str">
        <f>"4712.28"</f>
        <v>4712.28</v>
      </c>
      <c r="G132" t="str">
        <f>"9960.49"</f>
        <v>9960.49</v>
      </c>
      <c r="H132" t="str">
        <f>"100.00"</f>
        <v>100.00</v>
      </c>
      <c r="I132" t="str">
        <f>"145"</f>
        <v>145</v>
      </c>
      <c r="J132" t="str">
        <f>"证券卖出(冀东水泥)"</f>
        <v>证券卖出(冀东水泥)</v>
      </c>
      <c r="K132" t="str">
        <f t="shared" si="53"/>
        <v>5.00</v>
      </c>
      <c r="L132" t="str">
        <f>"4.72"</f>
        <v>4.72</v>
      </c>
      <c r="M132" t="str">
        <f t="shared" si="55"/>
        <v>0.00</v>
      </c>
      <c r="N132" t="str">
        <f t="shared" si="54"/>
        <v>0.00</v>
      </c>
      <c r="O132" t="str">
        <f>"000401"</f>
        <v>000401</v>
      </c>
      <c r="P132" t="str">
        <f t="shared" si="56"/>
        <v>0153613480</v>
      </c>
    </row>
    <row r="133" spans="1:16" x14ac:dyDescent="0.25">
      <c r="A133" t="str">
        <f t="shared" si="57"/>
        <v>人民币</v>
      </c>
      <c r="B133" t="str">
        <f>"冀东水泥"</f>
        <v>冀东水泥</v>
      </c>
      <c r="C133" t="str">
        <f t="shared" si="58"/>
        <v>20170623</v>
      </c>
      <c r="D133" t="str">
        <f>"15.700"</f>
        <v>15.700</v>
      </c>
      <c r="E133" t="str">
        <f>"-100.00"</f>
        <v>-100.00</v>
      </c>
      <c r="F133" t="str">
        <f>"1563.43"</f>
        <v>1563.43</v>
      </c>
      <c r="G133" t="str">
        <f>"11523.92"</f>
        <v>11523.92</v>
      </c>
      <c r="H133" t="str">
        <f>"0.00"</f>
        <v>0.00</v>
      </c>
      <c r="I133" t="str">
        <f>"163"</f>
        <v>163</v>
      </c>
      <c r="J133" t="str">
        <f>"证券卖出(冀东水泥)"</f>
        <v>证券卖出(冀东水泥)</v>
      </c>
      <c r="K133" t="str">
        <f t="shared" si="53"/>
        <v>5.00</v>
      </c>
      <c r="L133" t="str">
        <f>"1.57"</f>
        <v>1.57</v>
      </c>
      <c r="M133" t="str">
        <f t="shared" si="55"/>
        <v>0.00</v>
      </c>
      <c r="N133" t="str">
        <f t="shared" si="54"/>
        <v>0.00</v>
      </c>
      <c r="O133" t="str">
        <f>"000401"</f>
        <v>000401</v>
      </c>
      <c r="P133" t="str">
        <f t="shared" si="56"/>
        <v>0153613480</v>
      </c>
    </row>
    <row r="134" spans="1:16" x14ac:dyDescent="0.25">
      <c r="A134" t="str">
        <f t="shared" si="57"/>
        <v>人民币</v>
      </c>
      <c r="B134" t="str">
        <f>"汉钟精机"</f>
        <v>汉钟精机</v>
      </c>
      <c r="C134" t="str">
        <f t="shared" si="58"/>
        <v>20170623</v>
      </c>
      <c r="D134" t="str">
        <f>"18.000"</f>
        <v>18.000</v>
      </c>
      <c r="E134" t="str">
        <f>"200.00"</f>
        <v>200.00</v>
      </c>
      <c r="F134" t="str">
        <f>"-3605.00"</f>
        <v>-3605.00</v>
      </c>
      <c r="G134" t="str">
        <f>"7918.92"</f>
        <v>7918.92</v>
      </c>
      <c r="H134" t="str">
        <f>"200.00"</f>
        <v>200.00</v>
      </c>
      <c r="I134" t="str">
        <f>"142"</f>
        <v>142</v>
      </c>
      <c r="J134" t="str">
        <f>"证券买入(汉钟精机)"</f>
        <v>证券买入(汉钟精机)</v>
      </c>
      <c r="K134" t="str">
        <f t="shared" si="53"/>
        <v>5.00</v>
      </c>
      <c r="L134" t="str">
        <f>"0.00"</f>
        <v>0.00</v>
      </c>
      <c r="M134" t="str">
        <f t="shared" si="55"/>
        <v>0.00</v>
      </c>
      <c r="N134" t="str">
        <f t="shared" si="54"/>
        <v>0.00</v>
      </c>
      <c r="O134" t="str">
        <f>"002158"</f>
        <v>002158</v>
      </c>
      <c r="P134" t="str">
        <f t="shared" si="56"/>
        <v>0153613480</v>
      </c>
    </row>
    <row r="135" spans="1:16" x14ac:dyDescent="0.25">
      <c r="A135" t="str">
        <f t="shared" si="57"/>
        <v>人民币</v>
      </c>
      <c r="B135" t="str">
        <f>"汉钟精机"</f>
        <v>汉钟精机</v>
      </c>
      <c r="C135" t="str">
        <f t="shared" si="58"/>
        <v>20170623</v>
      </c>
      <c r="D135" t="str">
        <f>"17.990"</f>
        <v>17.990</v>
      </c>
      <c r="E135" t="str">
        <f>"100.00"</f>
        <v>100.00</v>
      </c>
      <c r="F135" t="str">
        <f>"-1804.00"</f>
        <v>-1804.00</v>
      </c>
      <c r="G135" t="str">
        <f>"6114.92"</f>
        <v>6114.92</v>
      </c>
      <c r="H135" t="str">
        <f>"300.00"</f>
        <v>300.00</v>
      </c>
      <c r="I135" t="str">
        <f>"154"</f>
        <v>154</v>
      </c>
      <c r="J135" t="str">
        <f>"证券买入(汉钟精机)"</f>
        <v>证券买入(汉钟精机)</v>
      </c>
      <c r="K135" t="str">
        <f t="shared" si="53"/>
        <v>5.00</v>
      </c>
      <c r="L135" t="str">
        <f>"0.00"</f>
        <v>0.00</v>
      </c>
      <c r="M135" t="str">
        <f t="shared" si="55"/>
        <v>0.00</v>
      </c>
      <c r="N135" t="str">
        <f t="shared" si="54"/>
        <v>0.00</v>
      </c>
      <c r="O135" t="str">
        <f>"002158"</f>
        <v>002158</v>
      </c>
      <c r="P135" t="str">
        <f t="shared" si="56"/>
        <v>0153613480</v>
      </c>
    </row>
    <row r="136" spans="1:16" x14ac:dyDescent="0.25">
      <c r="A136" t="str">
        <f t="shared" si="57"/>
        <v>人民币</v>
      </c>
      <c r="B136" t="str">
        <f>"汉钟精机"</f>
        <v>汉钟精机</v>
      </c>
      <c r="C136" t="str">
        <f t="shared" si="58"/>
        <v>20170623</v>
      </c>
      <c r="D136" t="str">
        <f>"17.980"</f>
        <v>17.980</v>
      </c>
      <c r="E136" t="str">
        <f>"200.00"</f>
        <v>200.00</v>
      </c>
      <c r="F136" t="str">
        <f>"-3601.00"</f>
        <v>-3601.00</v>
      </c>
      <c r="G136" t="str">
        <f>"2513.92"</f>
        <v>2513.92</v>
      </c>
      <c r="H136" t="str">
        <f>"500.00"</f>
        <v>500.00</v>
      </c>
      <c r="I136" t="str">
        <f>"160"</f>
        <v>160</v>
      </c>
      <c r="J136" t="str">
        <f>"证券买入(汉钟精机)"</f>
        <v>证券买入(汉钟精机)</v>
      </c>
      <c r="K136" t="str">
        <f t="shared" si="53"/>
        <v>5.00</v>
      </c>
      <c r="L136" t="str">
        <f>"0.00"</f>
        <v>0.00</v>
      </c>
      <c r="M136" t="str">
        <f t="shared" si="55"/>
        <v>0.00</v>
      </c>
      <c r="N136" t="str">
        <f t="shared" si="54"/>
        <v>0.00</v>
      </c>
      <c r="O136" t="str">
        <f>"002158"</f>
        <v>002158</v>
      </c>
      <c r="P136" t="str">
        <f t="shared" si="56"/>
        <v>0153613480</v>
      </c>
    </row>
    <row r="137" spans="1:16" x14ac:dyDescent="0.25">
      <c r="A137" t="str">
        <f t="shared" si="57"/>
        <v>人民币</v>
      </c>
      <c r="B137" t="str">
        <f>"汉钟精机"</f>
        <v>汉钟精机</v>
      </c>
      <c r="C137" t="str">
        <f t="shared" si="58"/>
        <v>20170623</v>
      </c>
      <c r="D137" t="str">
        <f>"17.930"</f>
        <v>17.930</v>
      </c>
      <c r="E137" t="str">
        <f>"100.00"</f>
        <v>100.00</v>
      </c>
      <c r="F137" t="str">
        <f>"-1798.00"</f>
        <v>-1798.00</v>
      </c>
      <c r="G137" t="str">
        <f>"715.92"</f>
        <v>715.92</v>
      </c>
      <c r="H137" t="str">
        <f>"600.00"</f>
        <v>600.00</v>
      </c>
      <c r="I137" t="str">
        <f>"171"</f>
        <v>171</v>
      </c>
      <c r="J137" t="str">
        <f>"证券买入(汉钟精机)"</f>
        <v>证券买入(汉钟精机)</v>
      </c>
      <c r="K137" t="str">
        <f t="shared" si="53"/>
        <v>5.00</v>
      </c>
      <c r="L137" t="str">
        <f>"0.00"</f>
        <v>0.00</v>
      </c>
      <c r="M137" t="str">
        <f t="shared" si="55"/>
        <v>0.00</v>
      </c>
      <c r="N137" t="str">
        <f t="shared" si="54"/>
        <v>0.00</v>
      </c>
      <c r="O137" t="str">
        <f>"002158"</f>
        <v>002158</v>
      </c>
      <c r="P137" t="str">
        <f t="shared" si="56"/>
        <v>0153613480</v>
      </c>
    </row>
    <row r="138" spans="1:16" x14ac:dyDescent="0.25">
      <c r="A138" t="str">
        <f t="shared" si="57"/>
        <v>人民币</v>
      </c>
      <c r="B138" t="str">
        <f>"富满电子"</f>
        <v>富满电子</v>
      </c>
      <c r="C138" t="str">
        <f t="shared" si="58"/>
        <v>20170623</v>
      </c>
      <c r="D138" t="str">
        <f>"0.000"</f>
        <v>0.000</v>
      </c>
      <c r="E138" t="str">
        <f>"10.00"</f>
        <v>10.00</v>
      </c>
      <c r="F138" t="str">
        <f>"0.00"</f>
        <v>0.00</v>
      </c>
      <c r="G138" t="str">
        <f>"715.92"</f>
        <v>715.92</v>
      </c>
      <c r="H138" t="str">
        <f>"0.00"</f>
        <v>0.00</v>
      </c>
      <c r="I138" t="str">
        <f>"168"</f>
        <v>168</v>
      </c>
      <c r="J138" t="str">
        <f>"申购配号(富满电子)"</f>
        <v>申购配号(富满电子)</v>
      </c>
      <c r="K138" t="str">
        <f>"0.00"</f>
        <v>0.00</v>
      </c>
      <c r="L138" t="str">
        <f>"0.00"</f>
        <v>0.00</v>
      </c>
      <c r="M138" t="str">
        <f t="shared" si="55"/>
        <v>0.00</v>
      </c>
      <c r="N138" t="str">
        <f t="shared" si="54"/>
        <v>0.00</v>
      </c>
      <c r="O138" t="str">
        <f>"300671"</f>
        <v>300671</v>
      </c>
      <c r="P138" t="str">
        <f t="shared" si="56"/>
        <v>0153613480</v>
      </c>
    </row>
    <row r="139" spans="1:16" x14ac:dyDescent="0.25">
      <c r="A139" t="str">
        <f t="shared" si="57"/>
        <v>人民币</v>
      </c>
      <c r="B139" t="str">
        <f>"汉钟精机"</f>
        <v>汉钟精机</v>
      </c>
      <c r="C139" t="str">
        <f>"20170626"</f>
        <v>20170626</v>
      </c>
      <c r="D139" t="str">
        <f>"19.390"</f>
        <v>19.390</v>
      </c>
      <c r="E139" t="str">
        <f>"-500.00"</f>
        <v>-500.00</v>
      </c>
      <c r="F139" t="str">
        <f>"9680.30"</f>
        <v>9680.30</v>
      </c>
      <c r="G139" t="str">
        <f>"10396.22"</f>
        <v>10396.22</v>
      </c>
      <c r="H139" t="str">
        <f>"100.00"</f>
        <v>100.00</v>
      </c>
      <c r="I139" t="str">
        <f>"183"</f>
        <v>183</v>
      </c>
      <c r="J139" t="str">
        <f>"证券卖出(汉钟精机)"</f>
        <v>证券卖出(汉钟精机)</v>
      </c>
      <c r="K139" t="str">
        <f>"5.00"</f>
        <v>5.00</v>
      </c>
      <c r="L139" t="str">
        <f>"9.70"</f>
        <v>9.70</v>
      </c>
      <c r="M139" t="str">
        <f t="shared" si="55"/>
        <v>0.00</v>
      </c>
      <c r="N139" t="str">
        <f t="shared" si="54"/>
        <v>0.00</v>
      </c>
      <c r="O139" t="str">
        <f>"002158"</f>
        <v>002158</v>
      </c>
      <c r="P139" t="str">
        <f t="shared" si="56"/>
        <v>0153613480</v>
      </c>
    </row>
    <row r="140" spans="1:16" x14ac:dyDescent="0.25">
      <c r="A140" t="str">
        <f t="shared" si="57"/>
        <v>人民币</v>
      </c>
      <c r="B140" t="str">
        <f>"汉钟精机"</f>
        <v>汉钟精机</v>
      </c>
      <c r="C140" t="str">
        <f>"20170626"</f>
        <v>20170626</v>
      </c>
      <c r="D140" t="str">
        <f>"19.090"</f>
        <v>19.090</v>
      </c>
      <c r="E140" t="str">
        <f>"100.00"</f>
        <v>100.00</v>
      </c>
      <c r="F140" t="str">
        <f>"-1914.00"</f>
        <v>-1914.00</v>
      </c>
      <c r="G140" t="str">
        <f>"8482.22"</f>
        <v>8482.22</v>
      </c>
      <c r="H140" t="str">
        <f>"200.00"</f>
        <v>200.00</v>
      </c>
      <c r="I140" t="str">
        <f>"189"</f>
        <v>189</v>
      </c>
      <c r="J140" t="str">
        <f>"证券买入(汉钟精机)"</f>
        <v>证券买入(汉钟精机)</v>
      </c>
      <c r="K140" t="str">
        <f>"5.00"</f>
        <v>5.00</v>
      </c>
      <c r="L140" t="str">
        <f>"0.00"</f>
        <v>0.00</v>
      </c>
      <c r="M140" t="str">
        <f t="shared" si="55"/>
        <v>0.00</v>
      </c>
      <c r="N140" t="str">
        <f t="shared" si="54"/>
        <v>0.00</v>
      </c>
      <c r="O140" t="str">
        <f>"002158"</f>
        <v>002158</v>
      </c>
      <c r="P140" t="str">
        <f t="shared" si="56"/>
        <v>0153613480</v>
      </c>
    </row>
    <row r="141" spans="1:16" x14ac:dyDescent="0.25">
      <c r="A141" t="str">
        <f t="shared" si="57"/>
        <v>人民币</v>
      </c>
      <c r="B141" t="str">
        <f>"汉钟精机"</f>
        <v>汉钟精机</v>
      </c>
      <c r="C141" t="str">
        <f>"20170627"</f>
        <v>20170627</v>
      </c>
      <c r="D141" t="str">
        <f>"18.500"</f>
        <v>18.500</v>
      </c>
      <c r="E141" t="str">
        <f>"200.00"</f>
        <v>200.00</v>
      </c>
      <c r="F141" t="str">
        <f>"-3705.00"</f>
        <v>-3705.00</v>
      </c>
      <c r="G141" t="str">
        <f>"4777.22"</f>
        <v>4777.22</v>
      </c>
      <c r="H141" t="str">
        <f>"400.00"</f>
        <v>400.00</v>
      </c>
      <c r="I141" t="str">
        <f>"202"</f>
        <v>202</v>
      </c>
      <c r="J141" t="str">
        <f>"证券买入(汉钟精机)"</f>
        <v>证券买入(汉钟精机)</v>
      </c>
      <c r="K141" t="str">
        <f>"5.00"</f>
        <v>5.00</v>
      </c>
      <c r="L141" t="str">
        <f>"0.00"</f>
        <v>0.00</v>
      </c>
      <c r="M141" t="str">
        <f t="shared" si="55"/>
        <v>0.00</v>
      </c>
      <c r="N141" t="str">
        <f t="shared" si="54"/>
        <v>0.00</v>
      </c>
      <c r="O141" t="str">
        <f>"002158"</f>
        <v>002158</v>
      </c>
      <c r="P141" t="str">
        <f t="shared" si="56"/>
        <v>0153613480</v>
      </c>
    </row>
    <row r="142" spans="1:16" x14ac:dyDescent="0.25">
      <c r="A142" t="str">
        <f t="shared" si="57"/>
        <v>人民币</v>
      </c>
      <c r="B142" t="str">
        <f>"汉钟精机"</f>
        <v>汉钟精机</v>
      </c>
      <c r="C142" t="str">
        <f>"20170627"</f>
        <v>20170627</v>
      </c>
      <c r="D142" t="str">
        <f>"18.300"</f>
        <v>18.300</v>
      </c>
      <c r="E142" t="str">
        <f>"200.00"</f>
        <v>200.00</v>
      </c>
      <c r="F142" t="str">
        <f>"-3665.00"</f>
        <v>-3665.00</v>
      </c>
      <c r="G142" t="str">
        <f>"1112.22"</f>
        <v>1112.22</v>
      </c>
      <c r="H142" t="str">
        <f>"600.00"</f>
        <v>600.00</v>
      </c>
      <c r="I142" t="str">
        <f>"208"</f>
        <v>208</v>
      </c>
      <c r="J142" t="str">
        <f>"证券买入(汉钟精机)"</f>
        <v>证券买入(汉钟精机)</v>
      </c>
      <c r="K142" t="str">
        <f>"5.00"</f>
        <v>5.00</v>
      </c>
      <c r="L142" t="str">
        <f>"0.00"</f>
        <v>0.00</v>
      </c>
      <c r="M142" t="str">
        <f t="shared" si="55"/>
        <v>0.00</v>
      </c>
      <c r="N142" t="str">
        <f t="shared" si="54"/>
        <v>0.00</v>
      </c>
      <c r="O142" t="str">
        <f>"002158"</f>
        <v>002158</v>
      </c>
      <c r="P142" t="str">
        <f t="shared" si="56"/>
        <v>0153613480</v>
      </c>
    </row>
    <row r="143" spans="1:16" x14ac:dyDescent="0.25">
      <c r="A143" t="str">
        <f t="shared" si="57"/>
        <v>人民币</v>
      </c>
      <c r="B143" t="str">
        <f>"太空板业"</f>
        <v>太空板业</v>
      </c>
      <c r="C143" t="str">
        <f>"20170627"</f>
        <v>20170627</v>
      </c>
      <c r="D143" t="str">
        <f>"0.000"</f>
        <v>0.000</v>
      </c>
      <c r="E143" t="str">
        <f>"240.00"</f>
        <v>240.00</v>
      </c>
      <c r="F143" t="str">
        <f>"0.00"</f>
        <v>0.00</v>
      </c>
      <c r="G143" t="str">
        <f>"1112.22"</f>
        <v>1112.22</v>
      </c>
      <c r="H143" t="str">
        <f>"840.00"</f>
        <v>840.00</v>
      </c>
      <c r="I143" t="str">
        <f>" "</f>
        <v xml:space="preserve"> </v>
      </c>
      <c r="J143" t="str">
        <f>"红股入帐(太空板业)"</f>
        <v>红股入帐(太空板业)</v>
      </c>
      <c r="K143" t="str">
        <f>"0.00"</f>
        <v>0.00</v>
      </c>
      <c r="L143" t="str">
        <f>"0.00"</f>
        <v>0.00</v>
      </c>
      <c r="M143" t="str">
        <f t="shared" si="55"/>
        <v>0.00</v>
      </c>
      <c r="N143" t="str">
        <f t="shared" si="54"/>
        <v>0.00</v>
      </c>
      <c r="O143" t="str">
        <f>"300344"</f>
        <v>300344</v>
      </c>
      <c r="P143" t="str">
        <f t="shared" si="56"/>
        <v>0153613480</v>
      </c>
    </row>
    <row r="144" spans="1:16" x14ac:dyDescent="0.25">
      <c r="A144" t="str">
        <f t="shared" si="57"/>
        <v>人民币</v>
      </c>
      <c r="B144" t="str">
        <f>"太空板业"</f>
        <v>太空板业</v>
      </c>
      <c r="C144" t="str">
        <f>"20170627"</f>
        <v>20170627</v>
      </c>
      <c r="D144" t="str">
        <f>"0.000"</f>
        <v>0.000</v>
      </c>
      <c r="E144" t="str">
        <f>"0.00"</f>
        <v>0.00</v>
      </c>
      <c r="F144" t="str">
        <f>"12.00"</f>
        <v>12.00</v>
      </c>
      <c r="G144" t="str">
        <f>"1124.22"</f>
        <v>1124.22</v>
      </c>
      <c r="H144" t="str">
        <f>"840.00"</f>
        <v>840.00</v>
      </c>
      <c r="I144" t="str">
        <f>"---"</f>
        <v>---</v>
      </c>
      <c r="J144" t="str">
        <f>"股息入帐(太空板业)"</f>
        <v>股息入帐(太空板业)</v>
      </c>
      <c r="K144" t="str">
        <f>"---"</f>
        <v>---</v>
      </c>
      <c r="L144" t="str">
        <f>"---"</f>
        <v>---</v>
      </c>
      <c r="M144" t="str">
        <f>"---"</f>
        <v>---</v>
      </c>
      <c r="N144" t="str">
        <f>"---"</f>
        <v>---</v>
      </c>
      <c r="O144" t="str">
        <f>"300344"</f>
        <v>300344</v>
      </c>
      <c r="P144" t="str">
        <f t="shared" si="56"/>
        <v>0153613480</v>
      </c>
    </row>
    <row r="145" spans="1:16" x14ac:dyDescent="0.25">
      <c r="A145" t="str">
        <f t="shared" si="57"/>
        <v>人民币</v>
      </c>
      <c r="B145" t="str">
        <f>"汉钟精机"</f>
        <v>汉钟精机</v>
      </c>
      <c r="C145" t="str">
        <f>"20170628"</f>
        <v>20170628</v>
      </c>
      <c r="D145" t="str">
        <f>"18.720"</f>
        <v>18.720</v>
      </c>
      <c r="E145" t="str">
        <f>"-200.00"</f>
        <v>-200.00</v>
      </c>
      <c r="F145" t="str">
        <f>"3735.26"</f>
        <v>3735.26</v>
      </c>
      <c r="G145" t="str">
        <f>"4859.48"</f>
        <v>4859.48</v>
      </c>
      <c r="H145" t="str">
        <f>"400.00"</f>
        <v>400.00</v>
      </c>
      <c r="I145" t="str">
        <f>"217"</f>
        <v>217</v>
      </c>
      <c r="J145" t="str">
        <f>"证券卖出(汉钟精机)"</f>
        <v>证券卖出(汉钟精机)</v>
      </c>
      <c r="K145" t="str">
        <f>"5.00"</f>
        <v>5.00</v>
      </c>
      <c r="L145" t="str">
        <f>"3.74"</f>
        <v>3.74</v>
      </c>
      <c r="M145" t="str">
        <f>"0.00"</f>
        <v>0.00</v>
      </c>
      <c r="N145" t="str">
        <f>"0.00"</f>
        <v>0.00</v>
      </c>
      <c r="O145" t="str">
        <f>"002158"</f>
        <v>002158</v>
      </c>
      <c r="P145" t="str">
        <f t="shared" si="56"/>
        <v>0153613480</v>
      </c>
    </row>
    <row r="146" spans="1:16" x14ac:dyDescent="0.25">
      <c r="A146" t="str">
        <f t="shared" si="57"/>
        <v>人民币</v>
      </c>
      <c r="B146" t="str">
        <f>"国科微"</f>
        <v>国科微</v>
      </c>
      <c r="C146" t="str">
        <f>"20170628"</f>
        <v>20170628</v>
      </c>
      <c r="D146" t="str">
        <f>"0.000"</f>
        <v>0.000</v>
      </c>
      <c r="E146" t="str">
        <f>"9.00"</f>
        <v>9.00</v>
      </c>
      <c r="F146" t="str">
        <f>"0.00"</f>
        <v>0.00</v>
      </c>
      <c r="G146" t="str">
        <f>"4859.48"</f>
        <v>4859.48</v>
      </c>
      <c r="H146" t="str">
        <f>"0.00"</f>
        <v>0.00</v>
      </c>
      <c r="I146" t="str">
        <f>"215"</f>
        <v>215</v>
      </c>
      <c r="J146" t="str">
        <f>"申购配号(国科微)"</f>
        <v>申购配号(国科微)</v>
      </c>
      <c r="K146" t="str">
        <f>"0.00"</f>
        <v>0.00</v>
      </c>
      <c r="L146" t="str">
        <f>"0.00"</f>
        <v>0.00</v>
      </c>
      <c r="M146" t="str">
        <f>"0.00"</f>
        <v>0.00</v>
      </c>
      <c r="N146" t="str">
        <f>"0.00"</f>
        <v>0.00</v>
      </c>
      <c r="O146" t="str">
        <f>"300672"</f>
        <v>300672</v>
      </c>
      <c r="P146" t="str">
        <f t="shared" si="56"/>
        <v>0153613480</v>
      </c>
    </row>
    <row r="147" spans="1:16" x14ac:dyDescent="0.25">
      <c r="A147" t="str">
        <f t="shared" si="57"/>
        <v>人民币</v>
      </c>
      <c r="B147" t="str">
        <f>" "</f>
        <v xml:space="preserve"> </v>
      </c>
      <c r="C147" t="str">
        <f>"20170629"</f>
        <v>20170629</v>
      </c>
      <c r="D147" t="str">
        <f>"---"</f>
        <v>---</v>
      </c>
      <c r="E147" t="str">
        <f>"---"</f>
        <v>---</v>
      </c>
      <c r="F147" t="str">
        <f>"-4800.00"</f>
        <v>-4800.00</v>
      </c>
      <c r="G147" t="str">
        <f>"59.48"</f>
        <v>59.48</v>
      </c>
      <c r="H147" t="str">
        <f>"---"</f>
        <v>---</v>
      </c>
      <c r="I147" t="str">
        <f>"---"</f>
        <v>---</v>
      </c>
      <c r="J147" t="str">
        <f>"银行转取"</f>
        <v>银行转取</v>
      </c>
      <c r="K147" t="str">
        <f t="shared" ref="K147:P147" si="59">"---"</f>
        <v>---</v>
      </c>
      <c r="L147" t="str">
        <f t="shared" si="59"/>
        <v>---</v>
      </c>
      <c r="M147" t="str">
        <f t="shared" si="59"/>
        <v>---</v>
      </c>
      <c r="N147" t="str">
        <f t="shared" si="59"/>
        <v>---</v>
      </c>
      <c r="O147" t="str">
        <f t="shared" si="59"/>
        <v>---</v>
      </c>
      <c r="P147" t="str">
        <f t="shared" si="59"/>
        <v>---</v>
      </c>
    </row>
    <row r="148" spans="1:16" x14ac:dyDescent="0.25">
      <c r="A148" t="str">
        <f t="shared" si="57"/>
        <v>人民币</v>
      </c>
      <c r="B148" t="str">
        <f>"凌霄泵业"</f>
        <v>凌霄泵业</v>
      </c>
      <c r="C148" t="str">
        <f>"20170629"</f>
        <v>20170629</v>
      </c>
      <c r="D148" t="str">
        <f>"0.000"</f>
        <v>0.000</v>
      </c>
      <c r="E148" t="str">
        <f>"9.00"</f>
        <v>9.00</v>
      </c>
      <c r="F148" t="str">
        <f>"0.00"</f>
        <v>0.00</v>
      </c>
      <c r="G148" t="str">
        <f>"59.48"</f>
        <v>59.48</v>
      </c>
      <c r="H148" t="str">
        <f>"0.00"</f>
        <v>0.00</v>
      </c>
      <c r="I148" t="str">
        <f>"230"</f>
        <v>230</v>
      </c>
      <c r="J148" t="str">
        <f>"申购配号(凌霄泵业)"</f>
        <v>申购配号(凌霄泵业)</v>
      </c>
      <c r="K148" t="str">
        <f>"0.00"</f>
        <v>0.00</v>
      </c>
      <c r="L148" t="str">
        <f>"0.00"</f>
        <v>0.00</v>
      </c>
      <c r="M148" t="str">
        <f>"0.00"</f>
        <v>0.00</v>
      </c>
      <c r="N148" t="str">
        <f>"0.00"</f>
        <v>0.00</v>
      </c>
      <c r="O148" t="str">
        <f>"002884"</f>
        <v>002884</v>
      </c>
      <c r="P148" t="str">
        <f t="shared" ref="P148:P153" si="60">"0153613480"</f>
        <v>0153613480</v>
      </c>
    </row>
    <row r="149" spans="1:16" x14ac:dyDescent="0.25">
      <c r="A149" t="str">
        <f t="shared" si="57"/>
        <v>人民币</v>
      </c>
      <c r="B149" t="str">
        <f>"汉钟精机"</f>
        <v>汉钟精机</v>
      </c>
      <c r="C149" t="str">
        <f>"20170630"</f>
        <v>20170630</v>
      </c>
      <c r="D149" t="str">
        <f>"17.820"</f>
        <v>17.820</v>
      </c>
      <c r="E149" t="str">
        <f>"200.00"</f>
        <v>200.00</v>
      </c>
      <c r="F149" t="str">
        <f>"-3569.00"</f>
        <v>-3569.00</v>
      </c>
      <c r="G149" t="str">
        <f>"-3509.52"</f>
        <v>-3509.52</v>
      </c>
      <c r="H149" t="str">
        <f>"600.00"</f>
        <v>600.00</v>
      </c>
      <c r="I149" t="str">
        <f>"240"</f>
        <v>240</v>
      </c>
      <c r="J149" t="str">
        <f>"证券买入(汉钟精机)"</f>
        <v>证券买入(汉钟精机)</v>
      </c>
      <c r="K149" t="str">
        <f>"5.00"</f>
        <v>5.00</v>
      </c>
      <c r="L149" t="str">
        <f>"0.00"</f>
        <v>0.00</v>
      </c>
      <c r="M149" t="str">
        <f>"0.00"</f>
        <v>0.00</v>
      </c>
      <c r="N149" t="str">
        <f>"0.00"</f>
        <v>0.00</v>
      </c>
      <c r="O149" t="str">
        <f>"002158"</f>
        <v>002158</v>
      </c>
      <c r="P149" t="str">
        <f t="shared" si="60"/>
        <v>0153613480</v>
      </c>
    </row>
    <row r="150" spans="1:16" x14ac:dyDescent="0.25">
      <c r="A150" t="str">
        <f t="shared" si="57"/>
        <v>人民币</v>
      </c>
      <c r="B150" t="str">
        <f>"合肥城建"</f>
        <v>合肥城建</v>
      </c>
      <c r="C150" t="str">
        <f>"20170630"</f>
        <v>20170630</v>
      </c>
      <c r="D150" t="str">
        <f>"13.040"</f>
        <v>13.040</v>
      </c>
      <c r="E150" t="str">
        <f>"-500.00"</f>
        <v>-500.00</v>
      </c>
      <c r="F150" t="str">
        <f>"6508.48"</f>
        <v>6508.48</v>
      </c>
      <c r="G150" t="str">
        <f>"2998.96"</f>
        <v>2998.96</v>
      </c>
      <c r="H150" t="str">
        <f>"800.00"</f>
        <v>800.00</v>
      </c>
      <c r="I150" t="str">
        <f>"234"</f>
        <v>234</v>
      </c>
      <c r="J150" t="str">
        <f>"证券卖出(合肥城建)"</f>
        <v>证券卖出(合肥城建)</v>
      </c>
      <c r="K150" t="str">
        <f>"5.00"</f>
        <v>5.00</v>
      </c>
      <c r="L150" t="str">
        <f>"6.52"</f>
        <v>6.52</v>
      </c>
      <c r="M150" t="str">
        <f t="shared" ref="M150:N153" si="61">"0.00"</f>
        <v>0.00</v>
      </c>
      <c r="N150" t="str">
        <f t="shared" si="61"/>
        <v>0.00</v>
      </c>
      <c r="O150" t="str">
        <f>"002208"</f>
        <v>002208</v>
      </c>
      <c r="P150" t="str">
        <f t="shared" si="60"/>
        <v>0153613480</v>
      </c>
    </row>
    <row r="151" spans="1:16" x14ac:dyDescent="0.25">
      <c r="A151" t="str">
        <f t="shared" si="57"/>
        <v>人民币</v>
      </c>
      <c r="B151" t="str">
        <f>"太空板业"</f>
        <v>太空板业</v>
      </c>
      <c r="C151" t="str">
        <f>"20170703"</f>
        <v>20170703</v>
      </c>
      <c r="D151" t="str">
        <f>"14.150"</f>
        <v>14.150</v>
      </c>
      <c r="E151" t="str">
        <f>"200.00"</f>
        <v>200.00</v>
      </c>
      <c r="F151" t="str">
        <f>"-2835.00"</f>
        <v>-2835.00</v>
      </c>
      <c r="G151" t="str">
        <f>"163.96"</f>
        <v>163.96</v>
      </c>
      <c r="H151" t="str">
        <f>"1040.00"</f>
        <v>1040.00</v>
      </c>
      <c r="I151" t="str">
        <f>"248"</f>
        <v>248</v>
      </c>
      <c r="J151" t="str">
        <f>"证券买入(太空板业)"</f>
        <v>证券买入(太空板业)</v>
      </c>
      <c r="K151" t="str">
        <f>"5.00"</f>
        <v>5.00</v>
      </c>
      <c r="L151" t="str">
        <f>"0.00"</f>
        <v>0.00</v>
      </c>
      <c r="M151" t="str">
        <f t="shared" si="61"/>
        <v>0.00</v>
      </c>
      <c r="N151" t="str">
        <f t="shared" si="61"/>
        <v>0.00</v>
      </c>
      <c r="O151" t="str">
        <f>"300344"</f>
        <v>300344</v>
      </c>
      <c r="P151" t="str">
        <f t="shared" si="60"/>
        <v>0153613480</v>
      </c>
    </row>
    <row r="152" spans="1:16" x14ac:dyDescent="0.25">
      <c r="A152" t="str">
        <f t="shared" si="57"/>
        <v>人民币</v>
      </c>
      <c r="B152" t="str">
        <f>"汉钟精机"</f>
        <v>汉钟精机</v>
      </c>
      <c r="C152" t="str">
        <f>"20170704"</f>
        <v>20170704</v>
      </c>
      <c r="D152" t="str">
        <f>"18.830"</f>
        <v>18.830</v>
      </c>
      <c r="E152" t="str">
        <f>"-200.00"</f>
        <v>-200.00</v>
      </c>
      <c r="F152" t="str">
        <f>"3757.23"</f>
        <v>3757.23</v>
      </c>
      <c r="G152" t="str">
        <f>"3921.19"</f>
        <v>3921.19</v>
      </c>
      <c r="H152" t="str">
        <f>"400.00"</f>
        <v>400.00</v>
      </c>
      <c r="I152" t="str">
        <f>"3"</f>
        <v>3</v>
      </c>
      <c r="J152" t="str">
        <f>"证券卖出(汉钟精机)"</f>
        <v>证券卖出(汉钟精机)</v>
      </c>
      <c r="K152" t="str">
        <f>"5.00"</f>
        <v>5.00</v>
      </c>
      <c r="L152" t="str">
        <f>"3.77"</f>
        <v>3.77</v>
      </c>
      <c r="M152" t="str">
        <f t="shared" si="61"/>
        <v>0.00</v>
      </c>
      <c r="N152" t="str">
        <f t="shared" si="61"/>
        <v>0.00</v>
      </c>
      <c r="O152" t="str">
        <f>"002158"</f>
        <v>002158</v>
      </c>
      <c r="P152" t="str">
        <f t="shared" si="60"/>
        <v>0153613480</v>
      </c>
    </row>
    <row r="153" spans="1:16" x14ac:dyDescent="0.25">
      <c r="A153" t="str">
        <f t="shared" si="57"/>
        <v>人民币</v>
      </c>
      <c r="B153" t="str">
        <f>"汉钟精机"</f>
        <v>汉钟精机</v>
      </c>
      <c r="C153" t="str">
        <f>"20170705"</f>
        <v>20170705</v>
      </c>
      <c r="D153" t="str">
        <f>"18.300"</f>
        <v>18.300</v>
      </c>
      <c r="E153" t="str">
        <f>"-400.00"</f>
        <v>-400.00</v>
      </c>
      <c r="F153" t="str">
        <f>"7307.68"</f>
        <v>7307.68</v>
      </c>
      <c r="G153" t="str">
        <f>"11228.87"</f>
        <v>11228.87</v>
      </c>
      <c r="H153" t="str">
        <f>"0.00"</f>
        <v>0.00</v>
      </c>
      <c r="I153" t="str">
        <f>"8"</f>
        <v>8</v>
      </c>
      <c r="J153" t="str">
        <f>"证券卖出(汉钟精机)"</f>
        <v>证券卖出(汉钟精机)</v>
      </c>
      <c r="K153" t="str">
        <f>"5.00"</f>
        <v>5.00</v>
      </c>
      <c r="L153" t="str">
        <f>"7.32"</f>
        <v>7.32</v>
      </c>
      <c r="M153" t="str">
        <f t="shared" si="61"/>
        <v>0.00</v>
      </c>
      <c r="N153" t="str">
        <f t="shared" si="61"/>
        <v>0.00</v>
      </c>
      <c r="O153" t="str">
        <f>"002158"</f>
        <v>002158</v>
      </c>
      <c r="P153" t="str">
        <f t="shared" si="60"/>
        <v>0153613480</v>
      </c>
    </row>
    <row r="154" spans="1:16" x14ac:dyDescent="0.25">
      <c r="A154" t="str">
        <f t="shared" si="57"/>
        <v>人民币</v>
      </c>
      <c r="B154" t="str">
        <f>" "</f>
        <v xml:space="preserve"> </v>
      </c>
      <c r="C154" t="str">
        <f t="shared" ref="C154:C161" si="62">"20170706"</f>
        <v>20170706</v>
      </c>
      <c r="D154" t="str">
        <f>"---"</f>
        <v>---</v>
      </c>
      <c r="E154" t="str">
        <f>"---"</f>
        <v>---</v>
      </c>
      <c r="F154" t="str">
        <f>"-3200.00"</f>
        <v>-3200.00</v>
      </c>
      <c r="G154" t="str">
        <f>"8028.87"</f>
        <v>8028.87</v>
      </c>
      <c r="H154" t="str">
        <f>"---"</f>
        <v>---</v>
      </c>
      <c r="I154" t="str">
        <f>"---"</f>
        <v>---</v>
      </c>
      <c r="J154" t="str">
        <f>"银行转取"</f>
        <v>银行转取</v>
      </c>
      <c r="K154" t="str">
        <f t="shared" ref="K154:P154" si="63">"---"</f>
        <v>---</v>
      </c>
      <c r="L154" t="str">
        <f t="shared" si="63"/>
        <v>---</v>
      </c>
      <c r="M154" t="str">
        <f t="shared" si="63"/>
        <v>---</v>
      </c>
      <c r="N154" t="str">
        <f t="shared" si="63"/>
        <v>---</v>
      </c>
      <c r="O154" t="str">
        <f t="shared" si="63"/>
        <v>---</v>
      </c>
      <c r="P154" t="str">
        <f t="shared" si="63"/>
        <v>---</v>
      </c>
    </row>
    <row r="155" spans="1:16" x14ac:dyDescent="0.25">
      <c r="A155" t="str">
        <f t="shared" si="57"/>
        <v>人民币</v>
      </c>
      <c r="B155" t="str">
        <f>"科大智能"</f>
        <v>科大智能</v>
      </c>
      <c r="C155" t="str">
        <f t="shared" si="62"/>
        <v>20170706</v>
      </c>
      <c r="D155" t="str">
        <f>"23.570"</f>
        <v>23.570</v>
      </c>
      <c r="E155" t="str">
        <f>"200.00"</f>
        <v>200.00</v>
      </c>
      <c r="F155" t="str">
        <f>"-4719.00"</f>
        <v>-4719.00</v>
      </c>
      <c r="G155" t="str">
        <f>"3309.87"</f>
        <v>3309.87</v>
      </c>
      <c r="H155" t="str">
        <f>"200.00"</f>
        <v>200.00</v>
      </c>
      <c r="I155" t="str">
        <f>"12"</f>
        <v>12</v>
      </c>
      <c r="J155" t="str">
        <f>"证券买入(科大智能)"</f>
        <v>证券买入(科大智能)</v>
      </c>
      <c r="K155" t="str">
        <f t="shared" ref="K155:K161" si="64">"5.00"</f>
        <v>5.00</v>
      </c>
      <c r="L155" t="str">
        <f t="shared" ref="L155:N159" si="65">"0.00"</f>
        <v>0.00</v>
      </c>
      <c r="M155" t="str">
        <f t="shared" si="65"/>
        <v>0.00</v>
      </c>
      <c r="N155" t="str">
        <f t="shared" si="65"/>
        <v>0.00</v>
      </c>
      <c r="O155" t="str">
        <f>"300222"</f>
        <v>300222</v>
      </c>
      <c r="P155" t="str">
        <f t="shared" ref="P155:P161" si="66">"0153613480"</f>
        <v>0153613480</v>
      </c>
    </row>
    <row r="156" spans="1:16" x14ac:dyDescent="0.25">
      <c r="A156" t="str">
        <f t="shared" si="57"/>
        <v>人民币</v>
      </c>
      <c r="B156" t="str">
        <f>"科大智能"</f>
        <v>科大智能</v>
      </c>
      <c r="C156" t="str">
        <f t="shared" si="62"/>
        <v>20170706</v>
      </c>
      <c r="D156" t="str">
        <f>"23.550"</f>
        <v>23.550</v>
      </c>
      <c r="E156" t="str">
        <f>"200.00"</f>
        <v>200.00</v>
      </c>
      <c r="F156" t="str">
        <f>"-4715.00"</f>
        <v>-4715.00</v>
      </c>
      <c r="G156" t="str">
        <f>"-1405.13"</f>
        <v>-1405.13</v>
      </c>
      <c r="H156" t="str">
        <f>"400.00"</f>
        <v>400.00</v>
      </c>
      <c r="I156" t="str">
        <f>"18"</f>
        <v>18</v>
      </c>
      <c r="J156" t="str">
        <f>"证券买入(科大智能)"</f>
        <v>证券买入(科大智能)</v>
      </c>
      <c r="K156" t="str">
        <f t="shared" si="64"/>
        <v>5.00</v>
      </c>
      <c r="L156" t="str">
        <f t="shared" si="65"/>
        <v>0.00</v>
      </c>
      <c r="M156" t="str">
        <f t="shared" si="65"/>
        <v>0.00</v>
      </c>
      <c r="N156" t="str">
        <f t="shared" si="65"/>
        <v>0.00</v>
      </c>
      <c r="O156" t="str">
        <f>"300222"</f>
        <v>300222</v>
      </c>
      <c r="P156" t="str">
        <f t="shared" si="66"/>
        <v>0153613480</v>
      </c>
    </row>
    <row r="157" spans="1:16" x14ac:dyDescent="0.25">
      <c r="A157" t="str">
        <f t="shared" si="57"/>
        <v>人民币</v>
      </c>
      <c r="B157" t="str">
        <f>"科大智能"</f>
        <v>科大智能</v>
      </c>
      <c r="C157" t="str">
        <f t="shared" si="62"/>
        <v>20170706</v>
      </c>
      <c r="D157" t="str">
        <f>"22.970"</f>
        <v>22.970</v>
      </c>
      <c r="E157" t="str">
        <f>"100.00"</f>
        <v>100.00</v>
      </c>
      <c r="F157" t="str">
        <f>"-2302.00"</f>
        <v>-2302.00</v>
      </c>
      <c r="G157" t="str">
        <f>"-3707.13"</f>
        <v>-3707.13</v>
      </c>
      <c r="H157" t="str">
        <f>"500.00"</f>
        <v>500.00</v>
      </c>
      <c r="I157" t="str">
        <f>"21"</f>
        <v>21</v>
      </c>
      <c r="J157" t="str">
        <f>"证券买入(科大智能)"</f>
        <v>证券买入(科大智能)</v>
      </c>
      <c r="K157" t="str">
        <f t="shared" si="64"/>
        <v>5.00</v>
      </c>
      <c r="L157" t="str">
        <f t="shared" si="65"/>
        <v>0.00</v>
      </c>
      <c r="M157" t="str">
        <f t="shared" si="65"/>
        <v>0.00</v>
      </c>
      <c r="N157" t="str">
        <f t="shared" si="65"/>
        <v>0.00</v>
      </c>
      <c r="O157" t="str">
        <f>"300222"</f>
        <v>300222</v>
      </c>
      <c r="P157" t="str">
        <f t="shared" si="66"/>
        <v>0153613480</v>
      </c>
    </row>
    <row r="158" spans="1:16" x14ac:dyDescent="0.25">
      <c r="A158" t="str">
        <f t="shared" si="57"/>
        <v>人民币</v>
      </c>
      <c r="B158" t="str">
        <f>"科大智能"</f>
        <v>科大智能</v>
      </c>
      <c r="C158" t="str">
        <f t="shared" si="62"/>
        <v>20170706</v>
      </c>
      <c r="D158" t="str">
        <f>"22.960"</f>
        <v>22.960</v>
      </c>
      <c r="E158" t="str">
        <f>"100.00"</f>
        <v>100.00</v>
      </c>
      <c r="F158" t="str">
        <f>"-2301.00"</f>
        <v>-2301.00</v>
      </c>
      <c r="G158" t="str">
        <f>"-6008.13"</f>
        <v>-6008.13</v>
      </c>
      <c r="H158" t="str">
        <f>"600.00"</f>
        <v>600.00</v>
      </c>
      <c r="I158" t="str">
        <f>"24"</f>
        <v>24</v>
      </c>
      <c r="J158" t="str">
        <f>"证券买入(科大智能)"</f>
        <v>证券买入(科大智能)</v>
      </c>
      <c r="K158" t="str">
        <f t="shared" si="64"/>
        <v>5.00</v>
      </c>
      <c r="L158" t="str">
        <f t="shared" si="65"/>
        <v>0.00</v>
      </c>
      <c r="M158" t="str">
        <f t="shared" si="65"/>
        <v>0.00</v>
      </c>
      <c r="N158" t="str">
        <f t="shared" si="65"/>
        <v>0.00</v>
      </c>
      <c r="O158" t="str">
        <f>"300222"</f>
        <v>300222</v>
      </c>
      <c r="P158" t="str">
        <f t="shared" si="66"/>
        <v>0153613480</v>
      </c>
    </row>
    <row r="159" spans="1:16" x14ac:dyDescent="0.25">
      <c r="A159" t="str">
        <f t="shared" si="57"/>
        <v>人民币</v>
      </c>
      <c r="B159" t="str">
        <f>"科大智能"</f>
        <v>科大智能</v>
      </c>
      <c r="C159" t="str">
        <f t="shared" si="62"/>
        <v>20170706</v>
      </c>
      <c r="D159" t="str">
        <f>"23.040"</f>
        <v>23.040</v>
      </c>
      <c r="E159" t="str">
        <f>"100.00"</f>
        <v>100.00</v>
      </c>
      <c r="F159" t="str">
        <f>"-2309.00"</f>
        <v>-2309.00</v>
      </c>
      <c r="G159" t="str">
        <f>"-8317.13"</f>
        <v>-8317.13</v>
      </c>
      <c r="H159" t="str">
        <f>"700.00"</f>
        <v>700.00</v>
      </c>
      <c r="I159" t="str">
        <f>"31"</f>
        <v>31</v>
      </c>
      <c r="J159" t="str">
        <f>"证券买入(科大智能)"</f>
        <v>证券买入(科大智能)</v>
      </c>
      <c r="K159" t="str">
        <f t="shared" si="64"/>
        <v>5.00</v>
      </c>
      <c r="L159" t="str">
        <f t="shared" si="65"/>
        <v>0.00</v>
      </c>
      <c r="M159" t="str">
        <f t="shared" si="65"/>
        <v>0.00</v>
      </c>
      <c r="N159" t="str">
        <f t="shared" si="65"/>
        <v>0.00</v>
      </c>
      <c r="O159" t="str">
        <f>"300222"</f>
        <v>300222</v>
      </c>
      <c r="P159" t="str">
        <f t="shared" si="66"/>
        <v>0153613480</v>
      </c>
    </row>
    <row r="160" spans="1:16" x14ac:dyDescent="0.25">
      <c r="A160" t="str">
        <f t="shared" si="57"/>
        <v>人民币</v>
      </c>
      <c r="B160" t="str">
        <f>"合肥城建"</f>
        <v>合肥城建</v>
      </c>
      <c r="C160" t="str">
        <f t="shared" si="62"/>
        <v>20170706</v>
      </c>
      <c r="D160" t="str">
        <f>"12.760"</f>
        <v>12.760</v>
      </c>
      <c r="E160" t="str">
        <f>"-400.00"</f>
        <v>-400.00</v>
      </c>
      <c r="F160" t="str">
        <f>"5093.90"</f>
        <v>5093.90</v>
      </c>
      <c r="G160" t="str">
        <f>"-3223.23"</f>
        <v>-3223.23</v>
      </c>
      <c r="H160" t="str">
        <f>"400.00"</f>
        <v>400.00</v>
      </c>
      <c r="I160" t="str">
        <f>"15"</f>
        <v>15</v>
      </c>
      <c r="J160" t="str">
        <f>"证券卖出(合肥城建)"</f>
        <v>证券卖出(合肥城建)</v>
      </c>
      <c r="K160" t="str">
        <f t="shared" si="64"/>
        <v>5.00</v>
      </c>
      <c r="L160" t="str">
        <f>"5.10"</f>
        <v>5.10</v>
      </c>
      <c r="M160" t="str">
        <f>"0.00"</f>
        <v>0.00</v>
      </c>
      <c r="N160" t="str">
        <f>"0.00"</f>
        <v>0.00</v>
      </c>
      <c r="O160" t="str">
        <f>"002208"</f>
        <v>002208</v>
      </c>
      <c r="P160" t="str">
        <f t="shared" si="66"/>
        <v>0153613480</v>
      </c>
    </row>
    <row r="161" spans="1:16" x14ac:dyDescent="0.25">
      <c r="A161" t="str">
        <f t="shared" si="57"/>
        <v>人民币</v>
      </c>
      <c r="B161" t="str">
        <f>"合肥城建"</f>
        <v>合肥城建</v>
      </c>
      <c r="C161" t="str">
        <f t="shared" si="62"/>
        <v>20170706</v>
      </c>
      <c r="D161" t="str">
        <f>"12.650"</f>
        <v>12.650</v>
      </c>
      <c r="E161" t="str">
        <f>"-300.00"</f>
        <v>-300.00</v>
      </c>
      <c r="F161" t="str">
        <f>"3786.20"</f>
        <v>3786.20</v>
      </c>
      <c r="G161" t="str">
        <f>"562.97"</f>
        <v>562.97</v>
      </c>
      <c r="H161" t="str">
        <f>"100.00"</f>
        <v>100.00</v>
      </c>
      <c r="I161" t="str">
        <f>"28"</f>
        <v>28</v>
      </c>
      <c r="J161" t="str">
        <f>"证券卖出(合肥城建)"</f>
        <v>证券卖出(合肥城建)</v>
      </c>
      <c r="K161" t="str">
        <f t="shared" si="64"/>
        <v>5.00</v>
      </c>
      <c r="L161" t="str">
        <f>"3.80"</f>
        <v>3.80</v>
      </c>
      <c r="M161" t="str">
        <f>"0.00"</f>
        <v>0.00</v>
      </c>
      <c r="N161" t="str">
        <f>"0.00"</f>
        <v>0.00</v>
      </c>
      <c r="O161" t="str">
        <f>"002208"</f>
        <v>002208</v>
      </c>
      <c r="P161" t="str">
        <f t="shared" si="66"/>
        <v>0153613480</v>
      </c>
    </row>
    <row r="162" spans="1:16" x14ac:dyDescent="0.25">
      <c r="A162" t="str">
        <f t="shared" si="57"/>
        <v>人民币</v>
      </c>
      <c r="B162" t="str">
        <f>" "</f>
        <v xml:space="preserve"> </v>
      </c>
      <c r="C162" t="str">
        <f>"20170711"</f>
        <v>20170711</v>
      </c>
      <c r="D162" t="str">
        <f>"---"</f>
        <v>---</v>
      </c>
      <c r="E162" t="str">
        <f>"---"</f>
        <v>---</v>
      </c>
      <c r="F162" t="str">
        <f>"6500.00"</f>
        <v>6500.00</v>
      </c>
      <c r="G162" t="str">
        <f>"7062.97"</f>
        <v>7062.97</v>
      </c>
      <c r="H162" t="str">
        <f>"---"</f>
        <v>---</v>
      </c>
      <c r="I162" t="str">
        <f>"---"</f>
        <v>---</v>
      </c>
      <c r="J162" t="str">
        <f>"银行转存"</f>
        <v>银行转存</v>
      </c>
      <c r="K162" t="str">
        <f t="shared" ref="K162:P162" si="67">"---"</f>
        <v>---</v>
      </c>
      <c r="L162" t="str">
        <f t="shared" si="67"/>
        <v>---</v>
      </c>
      <c r="M162" t="str">
        <f t="shared" si="67"/>
        <v>---</v>
      </c>
      <c r="N162" t="str">
        <f t="shared" si="67"/>
        <v>---</v>
      </c>
      <c r="O162" t="str">
        <f t="shared" si="67"/>
        <v>---</v>
      </c>
      <c r="P162" t="str">
        <f t="shared" si="67"/>
        <v>---</v>
      </c>
    </row>
    <row r="163" spans="1:16" x14ac:dyDescent="0.25">
      <c r="A163" t="str">
        <f t="shared" si="57"/>
        <v>人民币</v>
      </c>
      <c r="B163" t="str">
        <f>"科大智能"</f>
        <v>科大智能</v>
      </c>
      <c r="C163" t="str">
        <f>"20170711"</f>
        <v>20170711</v>
      </c>
      <c r="D163" t="str">
        <f>"21.820"</f>
        <v>21.820</v>
      </c>
      <c r="E163" t="str">
        <f>"200.00"</f>
        <v>200.00</v>
      </c>
      <c r="F163" t="str">
        <f>"-4369.00"</f>
        <v>-4369.00</v>
      </c>
      <c r="G163" t="str">
        <f>"2693.97"</f>
        <v>2693.97</v>
      </c>
      <c r="H163" t="str">
        <f>"900.00"</f>
        <v>900.00</v>
      </c>
      <c r="I163" t="str">
        <f>"43"</f>
        <v>43</v>
      </c>
      <c r="J163" t="str">
        <f>"证券买入(科大智能)"</f>
        <v>证券买入(科大智能)</v>
      </c>
      <c r="K163" t="str">
        <f>"5.00"</f>
        <v>5.00</v>
      </c>
      <c r="L163" t="str">
        <f t="shared" ref="L163:N164" si="68">"0.00"</f>
        <v>0.00</v>
      </c>
      <c r="M163" t="str">
        <f t="shared" si="68"/>
        <v>0.00</v>
      </c>
      <c r="N163" t="str">
        <f t="shared" si="68"/>
        <v>0.00</v>
      </c>
      <c r="O163" t="str">
        <f>"300222"</f>
        <v>300222</v>
      </c>
      <c r="P163" t="str">
        <f>"0153613480"</f>
        <v>0153613480</v>
      </c>
    </row>
    <row r="164" spans="1:16" x14ac:dyDescent="0.25">
      <c r="A164" t="str">
        <f t="shared" si="57"/>
        <v>人民币</v>
      </c>
      <c r="B164" t="str">
        <f>"太空板业"</f>
        <v>太空板业</v>
      </c>
      <c r="C164" t="str">
        <f>"20170712"</f>
        <v>20170712</v>
      </c>
      <c r="D164" t="str">
        <f>"11.690"</f>
        <v>11.690</v>
      </c>
      <c r="E164" t="str">
        <f>"200.00"</f>
        <v>200.00</v>
      </c>
      <c r="F164" t="str">
        <f>"-2343.00"</f>
        <v>-2343.00</v>
      </c>
      <c r="G164" t="str">
        <f>"350.97"</f>
        <v>350.97</v>
      </c>
      <c r="H164" t="str">
        <f>"1240.00"</f>
        <v>1240.00</v>
      </c>
      <c r="I164" t="str">
        <f>"48"</f>
        <v>48</v>
      </c>
      <c r="J164" t="str">
        <f>"证券买入(太空板业)"</f>
        <v>证券买入(太空板业)</v>
      </c>
      <c r="K164" t="str">
        <f>"5.00"</f>
        <v>5.00</v>
      </c>
      <c r="L164" t="str">
        <f t="shared" si="68"/>
        <v>0.00</v>
      </c>
      <c r="M164" t="str">
        <f t="shared" si="68"/>
        <v>0.00</v>
      </c>
      <c r="N164" t="str">
        <f t="shared" si="68"/>
        <v>0.00</v>
      </c>
      <c r="O164" t="str">
        <f>"300344"</f>
        <v>300344</v>
      </c>
      <c r="P164" t="str">
        <f>"0153613480"</f>
        <v>0153613480</v>
      </c>
    </row>
    <row r="165" spans="1:16" x14ac:dyDescent="0.25">
      <c r="A165" t="str">
        <f t="shared" si="57"/>
        <v>人民币</v>
      </c>
      <c r="B165" t="str">
        <f>"太空板业"</f>
        <v>太空板业</v>
      </c>
      <c r="C165" t="str">
        <f>"20170712"</f>
        <v>20170712</v>
      </c>
      <c r="D165" t="str">
        <f>"12.150"</f>
        <v>12.150</v>
      </c>
      <c r="E165" t="str">
        <f>"-200.00"</f>
        <v>-200.00</v>
      </c>
      <c r="F165" t="str">
        <f>"2422.57"</f>
        <v>2422.57</v>
      </c>
      <c r="G165" t="str">
        <f>"2773.54"</f>
        <v>2773.54</v>
      </c>
      <c r="H165" t="str">
        <f>"1040.00"</f>
        <v>1040.00</v>
      </c>
      <c r="I165" t="str">
        <f>"52"</f>
        <v>52</v>
      </c>
      <c r="J165" t="str">
        <f>"证券卖出(太空板业)"</f>
        <v>证券卖出(太空板业)</v>
      </c>
      <c r="K165" t="str">
        <f>"5.00"</f>
        <v>5.00</v>
      </c>
      <c r="L165" t="str">
        <f>"2.43"</f>
        <v>2.43</v>
      </c>
      <c r="M165" t="str">
        <f>"0.00"</f>
        <v>0.00</v>
      </c>
      <c r="N165" t="str">
        <f>"0.00"</f>
        <v>0.00</v>
      </c>
      <c r="O165" t="str">
        <f>"300344"</f>
        <v>300344</v>
      </c>
      <c r="P165" t="str">
        <f>"0153613480"</f>
        <v>0153613480</v>
      </c>
    </row>
    <row r="166" spans="1:16" x14ac:dyDescent="0.25">
      <c r="A166" t="str">
        <f t="shared" si="57"/>
        <v>人民币</v>
      </c>
      <c r="B166" t="str">
        <f>"太空板业"</f>
        <v>太空板业</v>
      </c>
      <c r="C166" t="str">
        <f>"20170712"</f>
        <v>20170712</v>
      </c>
      <c r="D166" t="str">
        <f>"12.650"</f>
        <v>12.650</v>
      </c>
      <c r="E166" t="str">
        <f>"200.00"</f>
        <v>200.00</v>
      </c>
      <c r="F166" t="str">
        <f>"-2535.00"</f>
        <v>-2535.00</v>
      </c>
      <c r="G166" t="str">
        <f>"238.54"</f>
        <v>238.54</v>
      </c>
      <c r="H166" t="str">
        <f>"1240.00"</f>
        <v>1240.00</v>
      </c>
      <c r="I166" t="str">
        <f>"58"</f>
        <v>58</v>
      </c>
      <c r="J166" t="str">
        <f>"证券买入(太空板业)"</f>
        <v>证券买入(太空板业)</v>
      </c>
      <c r="K166" t="str">
        <f>"5.00"</f>
        <v>5.00</v>
      </c>
      <c r="L166" t="str">
        <f>"0.00"</f>
        <v>0.00</v>
      </c>
      <c r="M166" t="str">
        <f>"0.00"</f>
        <v>0.00</v>
      </c>
      <c r="N166" t="str">
        <f>"0.00"</f>
        <v>0.00</v>
      </c>
      <c r="O166" t="str">
        <f>"300344"</f>
        <v>300344</v>
      </c>
      <c r="P166" t="str">
        <f>"0153613480"</f>
        <v>0153613480</v>
      </c>
    </row>
    <row r="167" spans="1:16" x14ac:dyDescent="0.25">
      <c r="A167" t="str">
        <f t="shared" si="57"/>
        <v>人民币</v>
      </c>
      <c r="B167" t="str">
        <f>" "</f>
        <v xml:space="preserve"> </v>
      </c>
      <c r="C167" t="str">
        <f>"20170719"</f>
        <v>20170719</v>
      </c>
      <c r="D167" t="str">
        <f>"---"</f>
        <v>---</v>
      </c>
      <c r="E167" t="str">
        <f>"---"</f>
        <v>---</v>
      </c>
      <c r="F167" t="str">
        <f>"9948.00"</f>
        <v>9948.00</v>
      </c>
      <c r="G167" t="str">
        <f>"10186.54"</f>
        <v>10186.54</v>
      </c>
      <c r="H167" t="str">
        <f>"---"</f>
        <v>---</v>
      </c>
      <c r="I167" t="str">
        <f>"---"</f>
        <v>---</v>
      </c>
      <c r="J167" t="str">
        <f>"银行转存"</f>
        <v>银行转存</v>
      </c>
      <c r="K167" t="str">
        <f t="shared" ref="K167:P167" si="69">"---"</f>
        <v>---</v>
      </c>
      <c r="L167" t="str">
        <f t="shared" si="69"/>
        <v>---</v>
      </c>
      <c r="M167" t="str">
        <f t="shared" si="69"/>
        <v>---</v>
      </c>
      <c r="N167" t="str">
        <f t="shared" si="69"/>
        <v>---</v>
      </c>
      <c r="O167" t="str">
        <f t="shared" si="69"/>
        <v>---</v>
      </c>
      <c r="P167" t="str">
        <f t="shared" si="69"/>
        <v>---</v>
      </c>
    </row>
    <row r="168" spans="1:16" x14ac:dyDescent="0.25">
      <c r="A168" t="str">
        <f t="shared" si="57"/>
        <v>人民币</v>
      </c>
      <c r="B168" t="str">
        <f>"科大智能"</f>
        <v>科大智能</v>
      </c>
      <c r="C168" t="str">
        <f>"20170719"</f>
        <v>20170719</v>
      </c>
      <c r="D168" t="str">
        <f>"20.310"</f>
        <v>20.310</v>
      </c>
      <c r="E168" t="str">
        <f>"100.00"</f>
        <v>100.00</v>
      </c>
      <c r="F168" t="str">
        <f>"-2036.00"</f>
        <v>-2036.00</v>
      </c>
      <c r="G168" t="str">
        <f>"8150.54"</f>
        <v>8150.54</v>
      </c>
      <c r="H168" t="str">
        <f>"1000.00"</f>
        <v>1000.00</v>
      </c>
      <c r="I168" t="str">
        <f>"69"</f>
        <v>69</v>
      </c>
      <c r="J168" t="str">
        <f>"证券买入(科大智能)"</f>
        <v>证券买入(科大智能)</v>
      </c>
      <c r="K168" t="str">
        <f>"5.00"</f>
        <v>5.00</v>
      </c>
      <c r="L168" t="str">
        <f t="shared" ref="L168:N169" si="70">"0.00"</f>
        <v>0.00</v>
      </c>
      <c r="M168" t="str">
        <f t="shared" si="70"/>
        <v>0.00</v>
      </c>
      <c r="N168" t="str">
        <f t="shared" si="70"/>
        <v>0.00</v>
      </c>
      <c r="O168" t="str">
        <f>"300222"</f>
        <v>300222</v>
      </c>
      <c r="P168" t="str">
        <f>"0153613480"</f>
        <v>0153613480</v>
      </c>
    </row>
    <row r="169" spans="1:16" x14ac:dyDescent="0.25">
      <c r="A169" t="str">
        <f t="shared" si="57"/>
        <v>人民币</v>
      </c>
      <c r="B169" t="str">
        <f>"电连技术"</f>
        <v>电连技术</v>
      </c>
      <c r="C169" t="str">
        <f>"20170719"</f>
        <v>20170719</v>
      </c>
      <c r="D169" t="str">
        <f>"0.000"</f>
        <v>0.000</v>
      </c>
      <c r="E169" t="str">
        <f>"6.00"</f>
        <v>6.00</v>
      </c>
      <c r="F169" t="str">
        <f>"0.00"</f>
        <v>0.00</v>
      </c>
      <c r="G169" t="str">
        <f>"8150.54"</f>
        <v>8150.54</v>
      </c>
      <c r="H169" t="str">
        <f>"0.00"</f>
        <v>0.00</v>
      </c>
      <c r="I169" t="str">
        <f>"64"</f>
        <v>64</v>
      </c>
      <c r="J169" t="str">
        <f>"申购配号(电连技术)"</f>
        <v>申购配号(电连技术)</v>
      </c>
      <c r="K169" t="str">
        <f>"0.00"</f>
        <v>0.00</v>
      </c>
      <c r="L169" t="str">
        <f t="shared" si="70"/>
        <v>0.00</v>
      </c>
      <c r="M169" t="str">
        <f t="shared" si="70"/>
        <v>0.00</v>
      </c>
      <c r="N169" t="str">
        <f t="shared" si="70"/>
        <v>0.00</v>
      </c>
      <c r="O169" t="str">
        <f>"300679"</f>
        <v>300679</v>
      </c>
      <c r="P169" t="str">
        <f>"0153613480"</f>
        <v>0153613480</v>
      </c>
    </row>
    <row r="170" spans="1:16" x14ac:dyDescent="0.25">
      <c r="A170" t="str">
        <f t="shared" si="57"/>
        <v>人民币</v>
      </c>
      <c r="B170" t="str">
        <f>" "</f>
        <v xml:space="preserve"> </v>
      </c>
      <c r="C170" t="str">
        <f t="shared" ref="C170:C176" si="71">"20170720"</f>
        <v>20170720</v>
      </c>
      <c r="D170" t="str">
        <f>"---"</f>
        <v>---</v>
      </c>
      <c r="E170" t="str">
        <f>"---"</f>
        <v>---</v>
      </c>
      <c r="F170" t="str">
        <f>"-2000.00"</f>
        <v>-2000.00</v>
      </c>
      <c r="G170" t="str">
        <f>"6150.54"</f>
        <v>6150.54</v>
      </c>
      <c r="H170" t="str">
        <f>"---"</f>
        <v>---</v>
      </c>
      <c r="I170" t="str">
        <f>"---"</f>
        <v>---</v>
      </c>
      <c r="J170" t="str">
        <f>"银行转取"</f>
        <v>银行转取</v>
      </c>
      <c r="K170" t="str">
        <f t="shared" ref="K170:P171" si="72">"---"</f>
        <v>---</v>
      </c>
      <c r="L170" t="str">
        <f t="shared" si="72"/>
        <v>---</v>
      </c>
      <c r="M170" t="str">
        <f t="shared" si="72"/>
        <v>---</v>
      </c>
      <c r="N170" t="str">
        <f t="shared" si="72"/>
        <v>---</v>
      </c>
      <c r="O170" t="str">
        <f t="shared" si="72"/>
        <v>---</v>
      </c>
      <c r="P170" t="str">
        <f t="shared" si="72"/>
        <v>---</v>
      </c>
    </row>
    <row r="171" spans="1:16" x14ac:dyDescent="0.25">
      <c r="A171" t="str">
        <f t="shared" si="57"/>
        <v>人民币</v>
      </c>
      <c r="B171" t="str">
        <f>" "</f>
        <v xml:space="preserve"> </v>
      </c>
      <c r="C171" t="str">
        <f t="shared" si="71"/>
        <v>20170720</v>
      </c>
      <c r="D171" t="str">
        <f>"---"</f>
        <v>---</v>
      </c>
      <c r="E171" t="str">
        <f>"---"</f>
        <v>---</v>
      </c>
      <c r="F171" t="str">
        <f>"-2500.00"</f>
        <v>-2500.00</v>
      </c>
      <c r="G171" t="str">
        <f>"3650.54"</f>
        <v>3650.54</v>
      </c>
      <c r="H171" t="str">
        <f>"---"</f>
        <v>---</v>
      </c>
      <c r="I171" t="str">
        <f>"---"</f>
        <v>---</v>
      </c>
      <c r="J171" t="str">
        <f>"银行转取"</f>
        <v>银行转取</v>
      </c>
      <c r="K171" t="str">
        <f t="shared" si="72"/>
        <v>---</v>
      </c>
      <c r="L171" t="str">
        <f t="shared" si="72"/>
        <v>---</v>
      </c>
      <c r="M171" t="str">
        <f t="shared" si="72"/>
        <v>---</v>
      </c>
      <c r="N171" t="str">
        <f t="shared" si="72"/>
        <v>---</v>
      </c>
      <c r="O171" t="str">
        <f t="shared" si="72"/>
        <v>---</v>
      </c>
      <c r="P171" t="str">
        <f t="shared" si="72"/>
        <v>---</v>
      </c>
    </row>
    <row r="172" spans="1:16" x14ac:dyDescent="0.25">
      <c r="A172" t="str">
        <f t="shared" si="57"/>
        <v>人民币</v>
      </c>
      <c r="B172" t="str">
        <f>"银龙股份"</f>
        <v>银龙股份</v>
      </c>
      <c r="C172" t="str">
        <f t="shared" si="71"/>
        <v>20170720</v>
      </c>
      <c r="D172" t="str">
        <f>"16.730"</f>
        <v>16.730</v>
      </c>
      <c r="E172" t="str">
        <f>"200.00"</f>
        <v>200.00</v>
      </c>
      <c r="F172" t="str">
        <f>"-3351.07"</f>
        <v>-3351.07</v>
      </c>
      <c r="G172" t="str">
        <f>"299.47"</f>
        <v>299.47</v>
      </c>
      <c r="H172" t="str">
        <f>"500.00"</f>
        <v>500.00</v>
      </c>
      <c r="I172" t="str">
        <f>"88"</f>
        <v>88</v>
      </c>
      <c r="J172" t="str">
        <f>"证券买入(银龙股份)"</f>
        <v>证券买入(银龙股份)</v>
      </c>
      <c r="K172" t="str">
        <f>"5.00"</f>
        <v>5.00</v>
      </c>
      <c r="L172" t="str">
        <f>"0.00"</f>
        <v>0.00</v>
      </c>
      <c r="M172" t="str">
        <f>"0.07"</f>
        <v>0.07</v>
      </c>
      <c r="N172" t="str">
        <f>"0.00"</f>
        <v>0.00</v>
      </c>
      <c r="O172" t="str">
        <f>"603969"</f>
        <v>603969</v>
      </c>
      <c r="P172" t="str">
        <f>"A400948245"</f>
        <v>A400948245</v>
      </c>
    </row>
    <row r="173" spans="1:16" x14ac:dyDescent="0.25">
      <c r="A173" t="str">
        <f t="shared" si="57"/>
        <v>人民币</v>
      </c>
      <c r="B173" t="str">
        <f>"科大智能"</f>
        <v>科大智能</v>
      </c>
      <c r="C173" t="str">
        <f t="shared" si="71"/>
        <v>20170720</v>
      </c>
      <c r="D173" t="str">
        <f>"21.220"</f>
        <v>21.220</v>
      </c>
      <c r="E173" t="str">
        <f>"-100.00"</f>
        <v>-100.00</v>
      </c>
      <c r="F173" t="str">
        <f>"2114.88"</f>
        <v>2114.88</v>
      </c>
      <c r="G173" t="str">
        <f>"2414.35"</f>
        <v>2414.35</v>
      </c>
      <c r="H173" t="str">
        <f>"900.00"</f>
        <v>900.00</v>
      </c>
      <c r="I173" t="str">
        <f>"78"</f>
        <v>78</v>
      </c>
      <c r="J173" t="str">
        <f>"证券卖出(科大智能)"</f>
        <v>证券卖出(科大智能)</v>
      </c>
      <c r="K173" t="str">
        <f>"5.00"</f>
        <v>5.00</v>
      </c>
      <c r="L173" t="str">
        <f>"2.12"</f>
        <v>2.12</v>
      </c>
      <c r="M173" t="str">
        <f>"0.00"</f>
        <v>0.00</v>
      </c>
      <c r="N173" t="str">
        <f>"0.00"</f>
        <v>0.00</v>
      </c>
      <c r="O173" t="str">
        <f>"300222"</f>
        <v>300222</v>
      </c>
      <c r="P173" t="str">
        <f>"0153613480"</f>
        <v>0153613480</v>
      </c>
    </row>
    <row r="174" spans="1:16" x14ac:dyDescent="0.25">
      <c r="A174" t="str">
        <f t="shared" si="57"/>
        <v>人民币</v>
      </c>
      <c r="B174" t="str">
        <f>"科大智能"</f>
        <v>科大智能</v>
      </c>
      <c r="C174" t="str">
        <f t="shared" si="71"/>
        <v>20170720</v>
      </c>
      <c r="D174" t="str">
        <f>"21.670"</f>
        <v>21.670</v>
      </c>
      <c r="E174" t="str">
        <f>"100.00"</f>
        <v>100.00</v>
      </c>
      <c r="F174" t="str">
        <f>"-2172.00"</f>
        <v>-2172.00</v>
      </c>
      <c r="G174" t="str">
        <f>"242.35"</f>
        <v>242.35</v>
      </c>
      <c r="H174" t="str">
        <f>"1000.00"</f>
        <v>1000.00</v>
      </c>
      <c r="I174" t="str">
        <f>"81"</f>
        <v>81</v>
      </c>
      <c r="J174" t="str">
        <f>"证券买入(科大智能)"</f>
        <v>证券买入(科大智能)</v>
      </c>
      <c r="K174" t="str">
        <f>"5.00"</f>
        <v>5.00</v>
      </c>
      <c r="L174" t="str">
        <f>"0.00"</f>
        <v>0.00</v>
      </c>
      <c r="M174" t="str">
        <f>"0.00"</f>
        <v>0.00</v>
      </c>
      <c r="N174" t="str">
        <f>"0.00"</f>
        <v>0.00</v>
      </c>
      <c r="O174" t="str">
        <f>"300222"</f>
        <v>300222</v>
      </c>
      <c r="P174" t="str">
        <f>"0153613480"</f>
        <v>0153613480</v>
      </c>
    </row>
    <row r="175" spans="1:16" x14ac:dyDescent="0.25">
      <c r="A175" t="str">
        <f t="shared" si="57"/>
        <v>人民币</v>
      </c>
      <c r="B175" t="str">
        <f>"绿茵生态"</f>
        <v>绿茵生态</v>
      </c>
      <c r="C175" t="str">
        <f t="shared" si="71"/>
        <v>20170720</v>
      </c>
      <c r="D175" t="str">
        <f>"0.000"</f>
        <v>0.000</v>
      </c>
      <c r="E175" t="str">
        <f>"6.00"</f>
        <v>6.00</v>
      </c>
      <c r="F175" t="str">
        <f>"0.00"</f>
        <v>0.00</v>
      </c>
      <c r="G175" t="str">
        <f>"242.35"</f>
        <v>242.35</v>
      </c>
      <c r="H175" t="str">
        <f>"0.00"</f>
        <v>0.00</v>
      </c>
      <c r="I175" t="str">
        <f>"74"</f>
        <v>74</v>
      </c>
      <c r="J175" t="str">
        <f>"申购配号(绿茵生态)"</f>
        <v>申购配号(绿茵生态)</v>
      </c>
      <c r="K175" t="str">
        <f>"0.00"</f>
        <v>0.00</v>
      </c>
      <c r="L175" t="str">
        <f>"0.00"</f>
        <v>0.00</v>
      </c>
      <c r="M175" t="str">
        <f>"0.00"</f>
        <v>0.00</v>
      </c>
      <c r="N175" t="str">
        <f>"0.00"</f>
        <v>0.00</v>
      </c>
      <c r="O175" t="str">
        <f>"002887"</f>
        <v>002887</v>
      </c>
      <c r="P175" t="str">
        <f>"0153613480"</f>
        <v>0153613480</v>
      </c>
    </row>
    <row r="176" spans="1:16" x14ac:dyDescent="0.25">
      <c r="A176" t="str">
        <f t="shared" si="57"/>
        <v>人民币</v>
      </c>
      <c r="B176" t="str">
        <f>"朗新科技"</f>
        <v>朗新科技</v>
      </c>
      <c r="C176" t="str">
        <f t="shared" si="71"/>
        <v>20170720</v>
      </c>
      <c r="D176" t="str">
        <f>"0.000"</f>
        <v>0.000</v>
      </c>
      <c r="E176" t="str">
        <f>"6.00"</f>
        <v>6.00</v>
      </c>
      <c r="F176" t="str">
        <f>"0.00"</f>
        <v>0.00</v>
      </c>
      <c r="G176" t="str">
        <f>"242.35"</f>
        <v>242.35</v>
      </c>
      <c r="H176" t="str">
        <f>"0.00"</f>
        <v>0.00</v>
      </c>
      <c r="I176" t="str">
        <f>"76"</f>
        <v>76</v>
      </c>
      <c r="J176" t="str">
        <f>"申购配号(朗新科技)"</f>
        <v>申购配号(朗新科技)</v>
      </c>
      <c r="K176" t="str">
        <f>"0.00"</f>
        <v>0.00</v>
      </c>
      <c r="L176" t="str">
        <f>"0.00"</f>
        <v>0.00</v>
      </c>
      <c r="M176" t="str">
        <f>"0.00"</f>
        <v>0.00</v>
      </c>
      <c r="N176" t="str">
        <f>"0.00"</f>
        <v>0.00</v>
      </c>
      <c r="O176" t="str">
        <f>"300682"</f>
        <v>300682</v>
      </c>
      <c r="P176" t="str">
        <f>"0153613480"</f>
        <v>0153613480</v>
      </c>
    </row>
    <row r="177" spans="1:16" x14ac:dyDescent="0.25">
      <c r="A177" t="str">
        <f t="shared" si="57"/>
        <v>人民币</v>
      </c>
      <c r="B177" t="str">
        <f>"合肥城建"</f>
        <v>合肥城建</v>
      </c>
      <c r="C177" t="str">
        <f>"20170724"</f>
        <v>20170724</v>
      </c>
      <c r="D177" t="str">
        <f>"0.000"</f>
        <v>0.000</v>
      </c>
      <c r="E177" t="str">
        <f>"0.00"</f>
        <v>0.00</v>
      </c>
      <c r="F177" t="str">
        <f>"10.00"</f>
        <v>10.00</v>
      </c>
      <c r="G177" t="str">
        <f>"252.35"</f>
        <v>252.35</v>
      </c>
      <c r="H177" t="str">
        <f>"100.00"</f>
        <v>100.00</v>
      </c>
      <c r="I177" t="str">
        <f>"---"</f>
        <v>---</v>
      </c>
      <c r="J177" t="str">
        <f>"股息入帐(合肥城建)"</f>
        <v>股息入帐(合肥城建)</v>
      </c>
      <c r="K177" t="str">
        <f t="shared" ref="K177:N178" si="73">"---"</f>
        <v>---</v>
      </c>
      <c r="L177" t="str">
        <f t="shared" si="73"/>
        <v>---</v>
      </c>
      <c r="M177" t="str">
        <f t="shared" si="73"/>
        <v>---</v>
      </c>
      <c r="N177" t="str">
        <f t="shared" si="73"/>
        <v>---</v>
      </c>
      <c r="O177" t="str">
        <f>"002208"</f>
        <v>002208</v>
      </c>
      <c r="P177" t="str">
        <f>"0153613480"</f>
        <v>0153613480</v>
      </c>
    </row>
    <row r="178" spans="1:16" x14ac:dyDescent="0.25">
      <c r="A178" t="str">
        <f t="shared" si="57"/>
        <v>人民币</v>
      </c>
      <c r="B178" t="str">
        <f>" "</f>
        <v xml:space="preserve"> </v>
      </c>
      <c r="C178" t="str">
        <f>"20170725"</f>
        <v>20170725</v>
      </c>
      <c r="D178" t="str">
        <f>"---"</f>
        <v>---</v>
      </c>
      <c r="E178" t="str">
        <f>"---"</f>
        <v>---</v>
      </c>
      <c r="F178" t="str">
        <f>"9730.00"</f>
        <v>9730.00</v>
      </c>
      <c r="G178" t="str">
        <f>"9982.35"</f>
        <v>9982.35</v>
      </c>
      <c r="H178" t="str">
        <f>"---"</f>
        <v>---</v>
      </c>
      <c r="I178" t="str">
        <f>"---"</f>
        <v>---</v>
      </c>
      <c r="J178" t="str">
        <f>"银行转存"</f>
        <v>银行转存</v>
      </c>
      <c r="K178" t="str">
        <f t="shared" si="73"/>
        <v>---</v>
      </c>
      <c r="L178" t="str">
        <f t="shared" si="73"/>
        <v>---</v>
      </c>
      <c r="M178" t="str">
        <f t="shared" si="73"/>
        <v>---</v>
      </c>
      <c r="N178" t="str">
        <f t="shared" si="73"/>
        <v>---</v>
      </c>
      <c r="O178" t="str">
        <f>"---"</f>
        <v>---</v>
      </c>
      <c r="P178" t="str">
        <f>"---"</f>
        <v>---</v>
      </c>
    </row>
    <row r="179" spans="1:16" x14ac:dyDescent="0.25">
      <c r="A179" t="str">
        <f t="shared" si="57"/>
        <v>人民币</v>
      </c>
      <c r="B179" t="str">
        <f>"北方国际"</f>
        <v>北方国际</v>
      </c>
      <c r="C179" t="str">
        <f>"20170725"</f>
        <v>20170725</v>
      </c>
      <c r="D179" t="str">
        <f>"25.610"</f>
        <v>25.610</v>
      </c>
      <c r="E179" t="str">
        <f>"100.00"</f>
        <v>100.00</v>
      </c>
      <c r="F179" t="str">
        <f>"-2566.00"</f>
        <v>-2566.00</v>
      </c>
      <c r="G179" t="str">
        <f>"7416.35"</f>
        <v>7416.35</v>
      </c>
      <c r="H179" t="str">
        <f>"100.00"</f>
        <v>100.00</v>
      </c>
      <c r="I179" t="str">
        <f>"105"</f>
        <v>105</v>
      </c>
      <c r="J179" t="str">
        <f>"证券买入(北方国际)"</f>
        <v>证券买入(北方国际)</v>
      </c>
      <c r="K179" t="str">
        <f>"5.00"</f>
        <v>5.00</v>
      </c>
      <c r="L179" t="str">
        <f t="shared" ref="L179:N183" si="74">"0.00"</f>
        <v>0.00</v>
      </c>
      <c r="M179" t="str">
        <f t="shared" si="74"/>
        <v>0.00</v>
      </c>
      <c r="N179" t="str">
        <f t="shared" si="74"/>
        <v>0.00</v>
      </c>
      <c r="O179" t="str">
        <f>"000065"</f>
        <v>000065</v>
      </c>
      <c r="P179" t="str">
        <f>"0153613480"</f>
        <v>0153613480</v>
      </c>
    </row>
    <row r="180" spans="1:16" x14ac:dyDescent="0.25">
      <c r="A180" t="str">
        <f t="shared" si="57"/>
        <v>人民币</v>
      </c>
      <c r="B180" t="str">
        <f>"北方国际"</f>
        <v>北方国际</v>
      </c>
      <c r="C180" t="str">
        <f>"20170725"</f>
        <v>20170725</v>
      </c>
      <c r="D180" t="str">
        <f>"25.410"</f>
        <v>25.410</v>
      </c>
      <c r="E180" t="str">
        <f>"100.00"</f>
        <v>100.00</v>
      </c>
      <c r="F180" t="str">
        <f>"-2546.00"</f>
        <v>-2546.00</v>
      </c>
      <c r="G180" t="str">
        <f>"4870.35"</f>
        <v>4870.35</v>
      </c>
      <c r="H180" t="str">
        <f>"200.00"</f>
        <v>200.00</v>
      </c>
      <c r="I180" t="str">
        <f>"110"</f>
        <v>110</v>
      </c>
      <c r="J180" t="str">
        <f>"证券买入(北方国际)"</f>
        <v>证券买入(北方国际)</v>
      </c>
      <c r="K180" t="str">
        <f>"5.00"</f>
        <v>5.00</v>
      </c>
      <c r="L180" t="str">
        <f t="shared" si="74"/>
        <v>0.00</v>
      </c>
      <c r="M180" t="str">
        <f t="shared" si="74"/>
        <v>0.00</v>
      </c>
      <c r="N180" t="str">
        <f t="shared" si="74"/>
        <v>0.00</v>
      </c>
      <c r="O180" t="str">
        <f>"000065"</f>
        <v>000065</v>
      </c>
      <c r="P180" t="str">
        <f>"0153613480"</f>
        <v>0153613480</v>
      </c>
    </row>
    <row r="181" spans="1:16" x14ac:dyDescent="0.25">
      <c r="A181" t="str">
        <f t="shared" si="57"/>
        <v>人民币</v>
      </c>
      <c r="B181" t="str">
        <f>"赛意信息"</f>
        <v>赛意信息</v>
      </c>
      <c r="C181" t="str">
        <f>"20170725"</f>
        <v>20170725</v>
      </c>
      <c r="D181" t="str">
        <f>"0.000"</f>
        <v>0.000</v>
      </c>
      <c r="E181" t="str">
        <f>"6.00"</f>
        <v>6.00</v>
      </c>
      <c r="F181" t="str">
        <f>"0.00"</f>
        <v>0.00</v>
      </c>
      <c r="G181" t="str">
        <f>"4870.35"</f>
        <v>4870.35</v>
      </c>
      <c r="H181" t="str">
        <f>"0.00"</f>
        <v>0.00</v>
      </c>
      <c r="I181" t="str">
        <f>"108"</f>
        <v>108</v>
      </c>
      <c r="J181" t="str">
        <f>"申购配号(赛意信息)"</f>
        <v>申购配号(赛意信息)</v>
      </c>
      <c r="K181" t="str">
        <f>"0.00"</f>
        <v>0.00</v>
      </c>
      <c r="L181" t="str">
        <f t="shared" si="74"/>
        <v>0.00</v>
      </c>
      <c r="M181" t="str">
        <f t="shared" si="74"/>
        <v>0.00</v>
      </c>
      <c r="N181" t="str">
        <f t="shared" si="74"/>
        <v>0.00</v>
      </c>
      <c r="O181" t="str">
        <f>"300687"</f>
        <v>300687</v>
      </c>
      <c r="P181" t="str">
        <f>"0153613480"</f>
        <v>0153613480</v>
      </c>
    </row>
    <row r="182" spans="1:16" x14ac:dyDescent="0.25">
      <c r="A182" t="str">
        <f t="shared" si="57"/>
        <v>人民币</v>
      </c>
      <c r="B182" t="str">
        <f>"北方国际"</f>
        <v>北方国际</v>
      </c>
      <c r="C182" t="str">
        <f>"20170726"</f>
        <v>20170726</v>
      </c>
      <c r="D182" t="str">
        <f>"24.430"</f>
        <v>24.430</v>
      </c>
      <c r="E182" t="str">
        <f>"100.00"</f>
        <v>100.00</v>
      </c>
      <c r="F182" t="str">
        <f>"-2448.00"</f>
        <v>-2448.00</v>
      </c>
      <c r="G182" t="str">
        <f>"2422.35"</f>
        <v>2422.35</v>
      </c>
      <c r="H182" t="str">
        <f>"300.00"</f>
        <v>300.00</v>
      </c>
      <c r="I182" t="str">
        <f>"116"</f>
        <v>116</v>
      </c>
      <c r="J182" t="str">
        <f>"证券买入(北方国际)"</f>
        <v>证券买入(北方国际)</v>
      </c>
      <c r="K182" t="str">
        <f>"5.00"</f>
        <v>5.00</v>
      </c>
      <c r="L182" t="str">
        <f t="shared" si="74"/>
        <v>0.00</v>
      </c>
      <c r="M182" t="str">
        <f t="shared" si="74"/>
        <v>0.00</v>
      </c>
      <c r="N182" t="str">
        <f t="shared" si="74"/>
        <v>0.00</v>
      </c>
      <c r="O182" t="str">
        <f>"000065"</f>
        <v>000065</v>
      </c>
      <c r="P182" t="str">
        <f>"0153613480"</f>
        <v>0153613480</v>
      </c>
    </row>
    <row r="183" spans="1:16" x14ac:dyDescent="0.25">
      <c r="A183" t="str">
        <f t="shared" si="57"/>
        <v>人民币</v>
      </c>
      <c r="B183" t="str">
        <f>"智动力"</f>
        <v>智动力</v>
      </c>
      <c r="C183" t="str">
        <f>"20170726"</f>
        <v>20170726</v>
      </c>
      <c r="D183" t="str">
        <f>"0.000"</f>
        <v>0.000</v>
      </c>
      <c r="E183" t="str">
        <f>"6.00"</f>
        <v>6.00</v>
      </c>
      <c r="F183" t="str">
        <f>"0.00"</f>
        <v>0.00</v>
      </c>
      <c r="G183" t="str">
        <f>"2422.35"</f>
        <v>2422.35</v>
      </c>
      <c r="H183" t="str">
        <f>"0.00"</f>
        <v>0.00</v>
      </c>
      <c r="I183" t="str">
        <f>"120"</f>
        <v>120</v>
      </c>
      <c r="J183" t="str">
        <f>"申购配号(智动力)"</f>
        <v>申购配号(智动力)</v>
      </c>
      <c r="K183" t="str">
        <f>"0.00"</f>
        <v>0.00</v>
      </c>
      <c r="L183" t="str">
        <f t="shared" si="74"/>
        <v>0.00</v>
      </c>
      <c r="M183" t="str">
        <f t="shared" si="74"/>
        <v>0.00</v>
      </c>
      <c r="N183" t="str">
        <f t="shared" si="74"/>
        <v>0.00</v>
      </c>
      <c r="O183" t="str">
        <f>"300686"</f>
        <v>300686</v>
      </c>
      <c r="P183" t="str">
        <f>"0153613480"</f>
        <v>0153613480</v>
      </c>
    </row>
    <row r="184" spans="1:16" x14ac:dyDescent="0.25">
      <c r="A184" t="str">
        <f t="shared" si="57"/>
        <v>人民币</v>
      </c>
      <c r="B184" t="str">
        <f>"银龙股份"</f>
        <v>银龙股份</v>
      </c>
      <c r="C184" t="str">
        <f>"20170727"</f>
        <v>20170727</v>
      </c>
      <c r="D184" t="str">
        <f>"17.370"</f>
        <v>17.370</v>
      </c>
      <c r="E184" t="str">
        <f>"-100.00"</f>
        <v>-100.00</v>
      </c>
      <c r="F184" t="str">
        <f>"1730.23"</f>
        <v>1730.23</v>
      </c>
      <c r="G184" t="str">
        <f>"4152.58"</f>
        <v>4152.58</v>
      </c>
      <c r="H184" t="str">
        <f>"400.00"</f>
        <v>400.00</v>
      </c>
      <c r="I184" t="str">
        <f>"132"</f>
        <v>132</v>
      </c>
      <c r="J184" t="str">
        <f>"证券卖出(银龙股份)"</f>
        <v>证券卖出(银龙股份)</v>
      </c>
      <c r="K184" t="str">
        <f>"5.00"</f>
        <v>5.00</v>
      </c>
      <c r="L184" t="str">
        <f>"1.74"</f>
        <v>1.74</v>
      </c>
      <c r="M184" t="str">
        <f>"0.03"</f>
        <v>0.03</v>
      </c>
      <c r="N184" t="str">
        <f>"0.00"</f>
        <v>0.00</v>
      </c>
      <c r="O184" t="str">
        <f>"603969"</f>
        <v>603969</v>
      </c>
      <c r="P184" t="str">
        <f>"A400948245"</f>
        <v>A400948245</v>
      </c>
    </row>
    <row r="185" spans="1:16" x14ac:dyDescent="0.25">
      <c r="A185" t="str">
        <f t="shared" si="57"/>
        <v>人民币</v>
      </c>
      <c r="B185" t="str">
        <f>"科大智能"</f>
        <v>科大智能</v>
      </c>
      <c r="C185" t="str">
        <f>"20170727"</f>
        <v>20170727</v>
      </c>
      <c r="D185" t="str">
        <f>"23.390"</f>
        <v>23.390</v>
      </c>
      <c r="E185" t="str">
        <f>"-300.00"</f>
        <v>-300.00</v>
      </c>
      <c r="F185" t="str">
        <f>"7004.98"</f>
        <v>7004.98</v>
      </c>
      <c r="G185" t="str">
        <f>"11157.56"</f>
        <v>11157.56</v>
      </c>
      <c r="H185" t="str">
        <f>"700.00"</f>
        <v>700.00</v>
      </c>
      <c r="I185" t="str">
        <f>"135"</f>
        <v>135</v>
      </c>
      <c r="J185" t="str">
        <f>"证券卖出(科大智能)"</f>
        <v>证券卖出(科大智能)</v>
      </c>
      <c r="K185" t="str">
        <f>"5.00"</f>
        <v>5.00</v>
      </c>
      <c r="L185" t="str">
        <f>"7.02"</f>
        <v>7.02</v>
      </c>
      <c r="M185" t="str">
        <f>"0.00"</f>
        <v>0.00</v>
      </c>
      <c r="N185" t="str">
        <f>"0.00"</f>
        <v>0.00</v>
      </c>
      <c r="O185" t="str">
        <f>"300222"</f>
        <v>300222</v>
      </c>
      <c r="P185" t="str">
        <f>"0153613480"</f>
        <v>0153613480</v>
      </c>
    </row>
    <row r="186" spans="1:16" x14ac:dyDescent="0.25">
      <c r="A186" t="str">
        <f t="shared" si="57"/>
        <v>人民币</v>
      </c>
      <c r="B186" t="str">
        <f>"科大智能"</f>
        <v>科大智能</v>
      </c>
      <c r="C186" t="str">
        <f>"20170727"</f>
        <v>20170727</v>
      </c>
      <c r="D186" t="str">
        <f>"23.460"</f>
        <v>23.460</v>
      </c>
      <c r="E186" t="str">
        <f>"-200.00"</f>
        <v>-200.00</v>
      </c>
      <c r="F186" t="str">
        <f>"4682.31"</f>
        <v>4682.31</v>
      </c>
      <c r="G186" t="str">
        <f>"15839.87"</f>
        <v>15839.87</v>
      </c>
      <c r="H186" t="str">
        <f>"500.00"</f>
        <v>500.00</v>
      </c>
      <c r="I186" t="str">
        <f>"138"</f>
        <v>138</v>
      </c>
      <c r="J186" t="str">
        <f>"证券卖出(科大智能)"</f>
        <v>证券卖出(科大智能)</v>
      </c>
      <c r="K186" t="str">
        <f>"5.00"</f>
        <v>5.00</v>
      </c>
      <c r="L186" t="str">
        <f>"4.69"</f>
        <v>4.69</v>
      </c>
      <c r="M186" t="str">
        <f>"0.00"</f>
        <v>0.00</v>
      </c>
      <c r="N186" t="str">
        <f>"0.00"</f>
        <v>0.00</v>
      </c>
      <c r="O186" t="str">
        <f>"300222"</f>
        <v>300222</v>
      </c>
      <c r="P186" t="str">
        <f>"0153613480"</f>
        <v>0153613480</v>
      </c>
    </row>
    <row r="187" spans="1:16" x14ac:dyDescent="0.25">
      <c r="A187" t="str">
        <f t="shared" si="57"/>
        <v>人民币</v>
      </c>
      <c r="B187" t="str">
        <f>"海特生物"</f>
        <v>海特生物</v>
      </c>
      <c r="C187" t="str">
        <f>"20170727"</f>
        <v>20170727</v>
      </c>
      <c r="D187" t="str">
        <f>"0.000"</f>
        <v>0.000</v>
      </c>
      <c r="E187" t="str">
        <f>"6.00"</f>
        <v>6.00</v>
      </c>
      <c r="F187" t="str">
        <f>"0.00"</f>
        <v>0.00</v>
      </c>
      <c r="G187" t="str">
        <f>"15839.87"</f>
        <v>15839.87</v>
      </c>
      <c r="H187" t="str">
        <f>"0.00"</f>
        <v>0.00</v>
      </c>
      <c r="I187" t="str">
        <f>"130"</f>
        <v>130</v>
      </c>
      <c r="J187" t="str">
        <f>"申购配号(海特生物)"</f>
        <v>申购配号(海特生物)</v>
      </c>
      <c r="K187" t="str">
        <f>"0.00"</f>
        <v>0.00</v>
      </c>
      <c r="L187" t="str">
        <f>"0.00"</f>
        <v>0.00</v>
      </c>
      <c r="M187" t="str">
        <f>"0.00"</f>
        <v>0.00</v>
      </c>
      <c r="N187" t="str">
        <f>"0.00"</f>
        <v>0.00</v>
      </c>
      <c r="O187" t="str">
        <f>"300683"</f>
        <v>300683</v>
      </c>
      <c r="P187" t="str">
        <f>"0153613480"</f>
        <v>0153613480</v>
      </c>
    </row>
    <row r="188" spans="1:16" x14ac:dyDescent="0.25">
      <c r="A188" t="str">
        <f t="shared" si="57"/>
        <v>人民币</v>
      </c>
      <c r="B188" t="str">
        <f>" "</f>
        <v xml:space="preserve"> </v>
      </c>
      <c r="C188" t="str">
        <f t="shared" ref="C188:C195" si="75">"20170728"</f>
        <v>20170728</v>
      </c>
      <c r="D188" t="str">
        <f>"---"</f>
        <v>---</v>
      </c>
      <c r="E188" t="str">
        <f>"---"</f>
        <v>---</v>
      </c>
      <c r="F188" t="str">
        <f>"-15000.00"</f>
        <v>-15000.00</v>
      </c>
      <c r="G188" t="str">
        <f>"839.87"</f>
        <v>839.87</v>
      </c>
      <c r="H188" t="str">
        <f>"---"</f>
        <v>---</v>
      </c>
      <c r="I188" t="str">
        <f>"---"</f>
        <v>---</v>
      </c>
      <c r="J188" t="str">
        <f>"银行转取"</f>
        <v>银行转取</v>
      </c>
      <c r="K188" t="str">
        <f t="shared" ref="K188:P188" si="76">"---"</f>
        <v>---</v>
      </c>
      <c r="L188" t="str">
        <f t="shared" si="76"/>
        <v>---</v>
      </c>
      <c r="M188" t="str">
        <f t="shared" si="76"/>
        <v>---</v>
      </c>
      <c r="N188" t="str">
        <f t="shared" si="76"/>
        <v>---</v>
      </c>
      <c r="O188" t="str">
        <f t="shared" si="76"/>
        <v>---</v>
      </c>
      <c r="P188" t="str">
        <f t="shared" si="76"/>
        <v>---</v>
      </c>
    </row>
    <row r="189" spans="1:16" x14ac:dyDescent="0.25">
      <c r="A189" t="str">
        <f t="shared" si="57"/>
        <v>人民币</v>
      </c>
      <c r="B189" t="str">
        <f>"北方国际"</f>
        <v>北方国际</v>
      </c>
      <c r="C189" t="str">
        <f t="shared" si="75"/>
        <v>20170728</v>
      </c>
      <c r="D189" t="str">
        <f>"24.510"</f>
        <v>24.510</v>
      </c>
      <c r="E189" t="str">
        <f>"100.00"</f>
        <v>100.00</v>
      </c>
      <c r="F189" t="str">
        <f>"-2456.00"</f>
        <v>-2456.00</v>
      </c>
      <c r="G189" t="str">
        <f>"-1616.13"</f>
        <v>-1616.13</v>
      </c>
      <c r="H189" t="str">
        <f>"400.00"</f>
        <v>400.00</v>
      </c>
      <c r="I189" t="str">
        <f>"156"</f>
        <v>156</v>
      </c>
      <c r="J189" t="str">
        <f>"证券买入(北方国际)"</f>
        <v>证券买入(北方国际)</v>
      </c>
      <c r="K189" t="str">
        <f t="shared" ref="K189:K194" si="77">"5.00"</f>
        <v>5.00</v>
      </c>
      <c r="L189" t="str">
        <f>"0.00"</f>
        <v>0.00</v>
      </c>
      <c r="M189" t="str">
        <f>"0.00"</f>
        <v>0.00</v>
      </c>
      <c r="N189" t="str">
        <f>"0.00"</f>
        <v>0.00</v>
      </c>
      <c r="O189" t="str">
        <f>"000065"</f>
        <v>000065</v>
      </c>
      <c r="P189" t="str">
        <f t="shared" ref="P189:P201" si="78">"0153613480"</f>
        <v>0153613480</v>
      </c>
    </row>
    <row r="190" spans="1:16" x14ac:dyDescent="0.25">
      <c r="A190" t="str">
        <f t="shared" si="57"/>
        <v>人民币</v>
      </c>
      <c r="B190" t="str">
        <f>"科大智能"</f>
        <v>科大智能</v>
      </c>
      <c r="C190" t="str">
        <f t="shared" si="75"/>
        <v>20170728</v>
      </c>
      <c r="D190" t="str">
        <f>"24.030"</f>
        <v>24.030</v>
      </c>
      <c r="E190" t="str">
        <f>"-300.00"</f>
        <v>-300.00</v>
      </c>
      <c r="F190" t="str">
        <f>"7196.79"</f>
        <v>7196.79</v>
      </c>
      <c r="G190" t="str">
        <f>"5580.66"</f>
        <v>5580.66</v>
      </c>
      <c r="H190" t="str">
        <f>"200.00"</f>
        <v>200.00</v>
      </c>
      <c r="I190" t="str">
        <f>"145"</f>
        <v>145</v>
      </c>
      <c r="J190" t="str">
        <f>"证券卖出(科大智能)"</f>
        <v>证券卖出(科大智能)</v>
      </c>
      <c r="K190" t="str">
        <f t="shared" si="77"/>
        <v>5.00</v>
      </c>
      <c r="L190" t="str">
        <f>"7.21"</f>
        <v>7.21</v>
      </c>
      <c r="M190" t="str">
        <f t="shared" ref="M190:N201" si="79">"0.00"</f>
        <v>0.00</v>
      </c>
      <c r="N190" t="str">
        <f t="shared" si="79"/>
        <v>0.00</v>
      </c>
      <c r="O190" t="str">
        <f>"300222"</f>
        <v>300222</v>
      </c>
      <c r="P190" t="str">
        <f t="shared" si="78"/>
        <v>0153613480</v>
      </c>
    </row>
    <row r="191" spans="1:16" x14ac:dyDescent="0.25">
      <c r="A191" t="str">
        <f t="shared" si="57"/>
        <v>人民币</v>
      </c>
      <c r="B191" t="str">
        <f>"科大智能"</f>
        <v>科大智能</v>
      </c>
      <c r="C191" t="str">
        <f t="shared" si="75"/>
        <v>20170728</v>
      </c>
      <c r="D191" t="str">
        <f>"24.400"</f>
        <v>24.400</v>
      </c>
      <c r="E191" t="str">
        <f>"-200.00"</f>
        <v>-200.00</v>
      </c>
      <c r="F191" t="str">
        <f>"4870.12"</f>
        <v>4870.12</v>
      </c>
      <c r="G191" t="str">
        <f>"10450.78"</f>
        <v>10450.78</v>
      </c>
      <c r="H191" t="str">
        <f>"0.00"</f>
        <v>0.00</v>
      </c>
      <c r="I191" t="str">
        <f>"148"</f>
        <v>148</v>
      </c>
      <c r="J191" t="str">
        <f>"证券卖出(科大智能)"</f>
        <v>证券卖出(科大智能)</v>
      </c>
      <c r="K191" t="str">
        <f t="shared" si="77"/>
        <v>5.00</v>
      </c>
      <c r="L191" t="str">
        <f>"4.88"</f>
        <v>4.88</v>
      </c>
      <c r="M191" t="str">
        <f t="shared" si="79"/>
        <v>0.00</v>
      </c>
      <c r="N191" t="str">
        <f t="shared" si="79"/>
        <v>0.00</v>
      </c>
      <c r="O191" t="str">
        <f>"300222"</f>
        <v>300222</v>
      </c>
      <c r="P191" t="str">
        <f t="shared" si="78"/>
        <v>0153613480</v>
      </c>
    </row>
    <row r="192" spans="1:16" x14ac:dyDescent="0.25">
      <c r="A192" t="str">
        <f t="shared" si="57"/>
        <v>人民币</v>
      </c>
      <c r="B192" t="str">
        <f>"亿纬锂能"</f>
        <v>亿纬锂能</v>
      </c>
      <c r="C192" t="str">
        <f t="shared" si="75"/>
        <v>20170728</v>
      </c>
      <c r="D192" t="str">
        <f>"23.370"</f>
        <v>23.370</v>
      </c>
      <c r="E192" t="str">
        <f>"100.00"</f>
        <v>100.00</v>
      </c>
      <c r="F192" t="str">
        <f>"-2342.00"</f>
        <v>-2342.00</v>
      </c>
      <c r="G192" t="str">
        <f>"8108.78"</f>
        <v>8108.78</v>
      </c>
      <c r="H192" t="str">
        <f>"100.00"</f>
        <v>100.00</v>
      </c>
      <c r="I192" t="str">
        <f>"151"</f>
        <v>151</v>
      </c>
      <c r="J192" t="str">
        <f>"证券买入(亿纬锂能)"</f>
        <v>证券买入(亿纬锂能)</v>
      </c>
      <c r="K192" t="str">
        <f t="shared" si="77"/>
        <v>5.00</v>
      </c>
      <c r="L192" t="str">
        <f t="shared" ref="L192:L198" si="80">"0.00"</f>
        <v>0.00</v>
      </c>
      <c r="M192" t="str">
        <f t="shared" si="79"/>
        <v>0.00</v>
      </c>
      <c r="N192" t="str">
        <f t="shared" si="79"/>
        <v>0.00</v>
      </c>
      <c r="O192" t="str">
        <f>"300014"</f>
        <v>300014</v>
      </c>
      <c r="P192" t="str">
        <f t="shared" si="78"/>
        <v>0153613480</v>
      </c>
    </row>
    <row r="193" spans="1:16" x14ac:dyDescent="0.25">
      <c r="A193" t="str">
        <f t="shared" si="57"/>
        <v>人民币</v>
      </c>
      <c r="B193" t="str">
        <f>"亿纬锂能"</f>
        <v>亿纬锂能</v>
      </c>
      <c r="C193" t="str">
        <f t="shared" si="75"/>
        <v>20170728</v>
      </c>
      <c r="D193" t="str">
        <f>"23.250"</f>
        <v>23.250</v>
      </c>
      <c r="E193" t="str">
        <f>"100.00"</f>
        <v>100.00</v>
      </c>
      <c r="F193" t="str">
        <f>"-2330.00"</f>
        <v>-2330.00</v>
      </c>
      <c r="G193" t="str">
        <f>"5778.78"</f>
        <v>5778.78</v>
      </c>
      <c r="H193" t="str">
        <f>"200.00"</f>
        <v>200.00</v>
      </c>
      <c r="I193" t="str">
        <f>"159"</f>
        <v>159</v>
      </c>
      <c r="J193" t="str">
        <f>"证券买入(亿纬锂能)"</f>
        <v>证券买入(亿纬锂能)</v>
      </c>
      <c r="K193" t="str">
        <f t="shared" si="77"/>
        <v>5.00</v>
      </c>
      <c r="L193" t="str">
        <f t="shared" si="80"/>
        <v>0.00</v>
      </c>
      <c r="M193" t="str">
        <f t="shared" si="79"/>
        <v>0.00</v>
      </c>
      <c r="N193" t="str">
        <f t="shared" si="79"/>
        <v>0.00</v>
      </c>
      <c r="O193" t="str">
        <f>"300014"</f>
        <v>300014</v>
      </c>
      <c r="P193" t="str">
        <f t="shared" si="78"/>
        <v>0153613480</v>
      </c>
    </row>
    <row r="194" spans="1:16" x14ac:dyDescent="0.25">
      <c r="A194" t="str">
        <f t="shared" ref="A194:A257" si="81">"人民币"</f>
        <v>人民币</v>
      </c>
      <c r="B194" t="str">
        <f>"亿纬锂能"</f>
        <v>亿纬锂能</v>
      </c>
      <c r="C194" t="str">
        <f t="shared" si="75"/>
        <v>20170728</v>
      </c>
      <c r="D194" t="str">
        <f>"23.240"</f>
        <v>23.240</v>
      </c>
      <c r="E194" t="str">
        <f>"100.00"</f>
        <v>100.00</v>
      </c>
      <c r="F194" t="str">
        <f>"-2329.00"</f>
        <v>-2329.00</v>
      </c>
      <c r="G194" t="str">
        <f>"3449.78"</f>
        <v>3449.78</v>
      </c>
      <c r="H194" t="str">
        <f>"300.00"</f>
        <v>300.00</v>
      </c>
      <c r="I194" t="str">
        <f>"162"</f>
        <v>162</v>
      </c>
      <c r="J194" t="str">
        <f>"证券买入(亿纬锂能)"</f>
        <v>证券买入(亿纬锂能)</v>
      </c>
      <c r="K194" t="str">
        <f t="shared" si="77"/>
        <v>5.00</v>
      </c>
      <c r="L194" t="str">
        <f t="shared" si="80"/>
        <v>0.00</v>
      </c>
      <c r="M194" t="str">
        <f t="shared" si="79"/>
        <v>0.00</v>
      </c>
      <c r="N194" t="str">
        <f t="shared" si="79"/>
        <v>0.00</v>
      </c>
      <c r="O194" t="str">
        <f>"300014"</f>
        <v>300014</v>
      </c>
      <c r="P194" t="str">
        <f t="shared" si="78"/>
        <v>0153613480</v>
      </c>
    </row>
    <row r="195" spans="1:16" x14ac:dyDescent="0.25">
      <c r="A195" t="str">
        <f t="shared" si="81"/>
        <v>人民币</v>
      </c>
      <c r="B195" t="str">
        <f>"双一科技"</f>
        <v>双一科技</v>
      </c>
      <c r="C195" t="str">
        <f t="shared" si="75"/>
        <v>20170728</v>
      </c>
      <c r="D195" t="str">
        <f>"0.000"</f>
        <v>0.000</v>
      </c>
      <c r="E195" t="str">
        <f>"6.00"</f>
        <v>6.00</v>
      </c>
      <c r="F195" t="str">
        <f>"0.00"</f>
        <v>0.00</v>
      </c>
      <c r="G195" t="str">
        <f>"3449.78"</f>
        <v>3449.78</v>
      </c>
      <c r="H195" t="str">
        <f>"0.00"</f>
        <v>0.00</v>
      </c>
      <c r="I195" t="str">
        <f>"154"</f>
        <v>154</v>
      </c>
      <c r="J195" t="str">
        <f>"申购配号(双一科技)"</f>
        <v>申购配号(双一科技)</v>
      </c>
      <c r="K195" t="str">
        <f>"0.00"</f>
        <v>0.00</v>
      </c>
      <c r="L195" t="str">
        <f t="shared" si="80"/>
        <v>0.00</v>
      </c>
      <c r="M195" t="str">
        <f t="shared" si="79"/>
        <v>0.00</v>
      </c>
      <c r="N195" t="str">
        <f t="shared" si="79"/>
        <v>0.00</v>
      </c>
      <c r="O195" t="str">
        <f>"300690"</f>
        <v>300690</v>
      </c>
      <c r="P195" t="str">
        <f t="shared" si="78"/>
        <v>0153613480</v>
      </c>
    </row>
    <row r="196" spans="1:16" x14ac:dyDescent="0.25">
      <c r="A196" t="str">
        <f t="shared" si="81"/>
        <v>人民币</v>
      </c>
      <c r="B196" t="str">
        <f>"亿纬锂能"</f>
        <v>亿纬锂能</v>
      </c>
      <c r="C196" t="str">
        <f>"20170731"</f>
        <v>20170731</v>
      </c>
      <c r="D196" t="str">
        <f>"22.810"</f>
        <v>22.810</v>
      </c>
      <c r="E196" t="str">
        <f>"100.00"</f>
        <v>100.00</v>
      </c>
      <c r="F196" t="str">
        <f>"-2286.00"</f>
        <v>-2286.00</v>
      </c>
      <c r="G196" t="str">
        <f>"1163.78"</f>
        <v>1163.78</v>
      </c>
      <c r="H196" t="str">
        <f>"400.00"</f>
        <v>400.00</v>
      </c>
      <c r="I196" t="str">
        <f>"175"</f>
        <v>175</v>
      </c>
      <c r="J196" t="str">
        <f>"证券买入(亿纬锂能)"</f>
        <v>证券买入(亿纬锂能)</v>
      </c>
      <c r="K196" t="str">
        <f>"5.00"</f>
        <v>5.00</v>
      </c>
      <c r="L196" t="str">
        <f t="shared" si="80"/>
        <v>0.00</v>
      </c>
      <c r="M196" t="str">
        <f t="shared" si="79"/>
        <v>0.00</v>
      </c>
      <c r="N196" t="str">
        <f t="shared" si="79"/>
        <v>0.00</v>
      </c>
      <c r="O196" t="str">
        <f>"300014"</f>
        <v>300014</v>
      </c>
      <c r="P196" t="str">
        <f t="shared" si="78"/>
        <v>0153613480</v>
      </c>
    </row>
    <row r="197" spans="1:16" x14ac:dyDescent="0.25">
      <c r="A197" t="str">
        <f t="shared" si="81"/>
        <v>人民币</v>
      </c>
      <c r="B197" t="str">
        <f>"澄天伟业"</f>
        <v>澄天伟业</v>
      </c>
      <c r="C197" t="str">
        <f>"20170731"</f>
        <v>20170731</v>
      </c>
      <c r="D197" t="str">
        <f>"0.000"</f>
        <v>0.000</v>
      </c>
      <c r="E197" t="str">
        <f>"6.00"</f>
        <v>6.00</v>
      </c>
      <c r="F197" t="str">
        <f>"0.00"</f>
        <v>0.00</v>
      </c>
      <c r="G197" t="str">
        <f>"1163.78"</f>
        <v>1163.78</v>
      </c>
      <c r="H197" t="str">
        <f>"0.00"</f>
        <v>0.00</v>
      </c>
      <c r="I197" t="str">
        <f>"180"</f>
        <v>180</v>
      </c>
      <c r="J197" t="str">
        <f>"申购配号(澄天伟业)"</f>
        <v>申购配号(澄天伟业)</v>
      </c>
      <c r="K197" t="str">
        <f>"0.00"</f>
        <v>0.00</v>
      </c>
      <c r="L197" t="str">
        <f t="shared" si="80"/>
        <v>0.00</v>
      </c>
      <c r="M197" t="str">
        <f t="shared" si="79"/>
        <v>0.00</v>
      </c>
      <c r="N197" t="str">
        <f t="shared" si="79"/>
        <v>0.00</v>
      </c>
      <c r="O197" t="str">
        <f>"300689"</f>
        <v>300689</v>
      </c>
      <c r="P197" t="str">
        <f t="shared" si="78"/>
        <v>0153613480</v>
      </c>
    </row>
    <row r="198" spans="1:16" x14ac:dyDescent="0.25">
      <c r="A198" t="str">
        <f t="shared" si="81"/>
        <v>人民币</v>
      </c>
      <c r="B198" t="str">
        <f>"创业黑马"</f>
        <v>创业黑马</v>
      </c>
      <c r="C198" t="str">
        <f>"20170731"</f>
        <v>20170731</v>
      </c>
      <c r="D198" t="str">
        <f>"0.000"</f>
        <v>0.000</v>
      </c>
      <c r="E198" t="str">
        <f>"6.00"</f>
        <v>6.00</v>
      </c>
      <c r="F198" t="str">
        <f>"0.00"</f>
        <v>0.00</v>
      </c>
      <c r="G198" t="str">
        <f>"1163.78"</f>
        <v>1163.78</v>
      </c>
      <c r="H198" t="str">
        <f>"0.00"</f>
        <v>0.00</v>
      </c>
      <c r="I198" t="str">
        <f>"178"</f>
        <v>178</v>
      </c>
      <c r="J198" t="str">
        <f>"申购配号(创业黑马)"</f>
        <v>申购配号(创业黑马)</v>
      </c>
      <c r="K198" t="str">
        <f>"0.00"</f>
        <v>0.00</v>
      </c>
      <c r="L198" t="str">
        <f t="shared" si="80"/>
        <v>0.00</v>
      </c>
      <c r="M198" t="str">
        <f t="shared" si="79"/>
        <v>0.00</v>
      </c>
      <c r="N198" t="str">
        <f t="shared" si="79"/>
        <v>0.00</v>
      </c>
      <c r="O198" t="str">
        <f>"300688"</f>
        <v>300688</v>
      </c>
      <c r="P198" t="str">
        <f t="shared" si="78"/>
        <v>0153613480</v>
      </c>
    </row>
    <row r="199" spans="1:16" x14ac:dyDescent="0.25">
      <c r="A199" t="str">
        <f t="shared" si="81"/>
        <v>人民币</v>
      </c>
      <c r="B199" t="str">
        <f>"亿纬锂能"</f>
        <v>亿纬锂能</v>
      </c>
      <c r="C199" t="str">
        <f>"20170801"</f>
        <v>20170801</v>
      </c>
      <c r="D199" t="str">
        <f>"24.550"</f>
        <v>24.550</v>
      </c>
      <c r="E199" t="str">
        <f>"-200.00"</f>
        <v>-200.00</v>
      </c>
      <c r="F199" t="str">
        <f>"4900.09"</f>
        <v>4900.09</v>
      </c>
      <c r="G199" t="str">
        <f>"6063.87"</f>
        <v>6063.87</v>
      </c>
      <c r="H199" t="str">
        <f>"200.00"</f>
        <v>200.00</v>
      </c>
      <c r="I199" t="str">
        <f>"185"</f>
        <v>185</v>
      </c>
      <c r="J199" t="str">
        <f>"证券卖出(亿纬锂能)"</f>
        <v>证券卖出(亿纬锂能)</v>
      </c>
      <c r="K199" t="str">
        <f>"5.00"</f>
        <v>5.00</v>
      </c>
      <c r="L199" t="str">
        <f>"4.91"</f>
        <v>4.91</v>
      </c>
      <c r="M199" t="str">
        <f t="shared" si="79"/>
        <v>0.00</v>
      </c>
      <c r="N199" t="str">
        <f t="shared" si="79"/>
        <v>0.00</v>
      </c>
      <c r="O199" t="str">
        <f>"300014"</f>
        <v>300014</v>
      </c>
      <c r="P199" t="str">
        <f t="shared" si="78"/>
        <v>0153613480</v>
      </c>
    </row>
    <row r="200" spans="1:16" x14ac:dyDescent="0.25">
      <c r="A200" t="str">
        <f t="shared" si="81"/>
        <v>人民币</v>
      </c>
      <c r="B200" t="str">
        <f>"亿纬锂能"</f>
        <v>亿纬锂能</v>
      </c>
      <c r="C200" t="str">
        <f>"20170801"</f>
        <v>20170801</v>
      </c>
      <c r="D200" t="str">
        <f>"25.450"</f>
        <v>25.450</v>
      </c>
      <c r="E200" t="str">
        <f>"-200.00"</f>
        <v>-200.00</v>
      </c>
      <c r="F200" t="str">
        <f>"5079.91"</f>
        <v>5079.91</v>
      </c>
      <c r="G200" t="str">
        <f>"11143.78"</f>
        <v>11143.78</v>
      </c>
      <c r="H200" t="str">
        <f>"0.00"</f>
        <v>0.00</v>
      </c>
      <c r="I200" t="str">
        <f>"191"</f>
        <v>191</v>
      </c>
      <c r="J200" t="str">
        <f>"证券卖出(亿纬锂能)"</f>
        <v>证券卖出(亿纬锂能)</v>
      </c>
      <c r="K200" t="str">
        <f>"5.00"</f>
        <v>5.00</v>
      </c>
      <c r="L200" t="str">
        <f>"5.09"</f>
        <v>5.09</v>
      </c>
      <c r="M200" t="str">
        <f t="shared" si="79"/>
        <v>0.00</v>
      </c>
      <c r="N200" t="str">
        <f t="shared" si="79"/>
        <v>0.00</v>
      </c>
      <c r="O200" t="str">
        <f>"300014"</f>
        <v>300014</v>
      </c>
      <c r="P200" t="str">
        <f t="shared" si="78"/>
        <v>0153613480</v>
      </c>
    </row>
    <row r="201" spans="1:16" x14ac:dyDescent="0.25">
      <c r="A201" t="str">
        <f t="shared" si="81"/>
        <v>人民币</v>
      </c>
      <c r="B201" t="str">
        <f>"北方国际"</f>
        <v>北方国际</v>
      </c>
      <c r="C201" t="str">
        <f>"20170801"</f>
        <v>20170801</v>
      </c>
      <c r="D201" t="str">
        <f>"25.510"</f>
        <v>25.510</v>
      </c>
      <c r="E201" t="str">
        <f>"100.00"</f>
        <v>100.00</v>
      </c>
      <c r="F201" t="str">
        <f>"-2556.00"</f>
        <v>-2556.00</v>
      </c>
      <c r="G201" t="str">
        <f>"8587.78"</f>
        <v>8587.78</v>
      </c>
      <c r="H201" t="str">
        <f>"500.00"</f>
        <v>500.00</v>
      </c>
      <c r="I201" t="str">
        <f>"197"</f>
        <v>197</v>
      </c>
      <c r="J201" t="str">
        <f>"证券买入(北方国际)"</f>
        <v>证券买入(北方国际)</v>
      </c>
      <c r="K201" t="str">
        <f>"5.00"</f>
        <v>5.00</v>
      </c>
      <c r="L201" t="str">
        <f>"0.00"</f>
        <v>0.00</v>
      </c>
      <c r="M201" t="str">
        <f t="shared" si="79"/>
        <v>0.00</v>
      </c>
      <c r="N201" t="str">
        <f t="shared" si="79"/>
        <v>0.00</v>
      </c>
      <c r="O201" t="str">
        <f>"000065"</f>
        <v>000065</v>
      </c>
      <c r="P201" t="str">
        <f t="shared" si="78"/>
        <v>0153613480</v>
      </c>
    </row>
    <row r="202" spans="1:16" x14ac:dyDescent="0.25">
      <c r="A202" t="str">
        <f t="shared" si="81"/>
        <v>人民币</v>
      </c>
      <c r="B202" t="str">
        <f>" "</f>
        <v xml:space="preserve"> </v>
      </c>
      <c r="C202" t="str">
        <f>"20170802"</f>
        <v>20170802</v>
      </c>
      <c r="D202" t="str">
        <f>"---"</f>
        <v>---</v>
      </c>
      <c r="E202" t="str">
        <f>"---"</f>
        <v>---</v>
      </c>
      <c r="F202" t="str">
        <f>"-5000.00"</f>
        <v>-5000.00</v>
      </c>
      <c r="G202" t="str">
        <f>"3587.78"</f>
        <v>3587.78</v>
      </c>
      <c r="H202" t="str">
        <f>"---"</f>
        <v>---</v>
      </c>
      <c r="I202" t="str">
        <f>"---"</f>
        <v>---</v>
      </c>
      <c r="J202" t="str">
        <f>"银行转取"</f>
        <v>银行转取</v>
      </c>
      <c r="K202" t="str">
        <f t="shared" ref="K202:P202" si="82">"---"</f>
        <v>---</v>
      </c>
      <c r="L202" t="str">
        <f t="shared" si="82"/>
        <v>---</v>
      </c>
      <c r="M202" t="str">
        <f t="shared" si="82"/>
        <v>---</v>
      </c>
      <c r="N202" t="str">
        <f t="shared" si="82"/>
        <v>---</v>
      </c>
      <c r="O202" t="str">
        <f t="shared" si="82"/>
        <v>---</v>
      </c>
      <c r="P202" t="str">
        <f t="shared" si="82"/>
        <v>---</v>
      </c>
    </row>
    <row r="203" spans="1:16" x14ac:dyDescent="0.25">
      <c r="A203" t="str">
        <f t="shared" si="81"/>
        <v>人民币</v>
      </c>
      <c r="B203" t="str">
        <f>"银龙股份"</f>
        <v>银龙股份</v>
      </c>
      <c r="C203" t="str">
        <f>"20170802"</f>
        <v>20170802</v>
      </c>
      <c r="D203" t="str">
        <f>"17.660"</f>
        <v>17.660</v>
      </c>
      <c r="E203" t="str">
        <f>"100.00"</f>
        <v>100.00</v>
      </c>
      <c r="F203" t="str">
        <f>"-1771.04"</f>
        <v>-1771.04</v>
      </c>
      <c r="G203" t="str">
        <f>"1816.74"</f>
        <v>1816.74</v>
      </c>
      <c r="H203" t="str">
        <f>"500.00"</f>
        <v>500.00</v>
      </c>
      <c r="I203" t="str">
        <f>"203"</f>
        <v>203</v>
      </c>
      <c r="J203" t="str">
        <f>"证券买入(银龙股份)"</f>
        <v>证券买入(银龙股份)</v>
      </c>
      <c r="K203" t="str">
        <f>"5.00"</f>
        <v>5.00</v>
      </c>
      <c r="L203" t="str">
        <f>"0.00"</f>
        <v>0.00</v>
      </c>
      <c r="M203" t="str">
        <f>"0.04"</f>
        <v>0.04</v>
      </c>
      <c r="N203" t="str">
        <f>"0.00"</f>
        <v>0.00</v>
      </c>
      <c r="O203" t="str">
        <f>"603969"</f>
        <v>603969</v>
      </c>
      <c r="P203" t="str">
        <f>"A400948245"</f>
        <v>A400948245</v>
      </c>
    </row>
    <row r="204" spans="1:16" x14ac:dyDescent="0.25">
      <c r="A204" t="str">
        <f t="shared" si="81"/>
        <v>人民币</v>
      </c>
      <c r="B204" t="str">
        <f>"银龙股份"</f>
        <v>银龙股份</v>
      </c>
      <c r="C204" t="str">
        <f>"20170802"</f>
        <v>20170802</v>
      </c>
      <c r="D204" t="str">
        <f>"17.630"</f>
        <v>17.630</v>
      </c>
      <c r="E204" t="str">
        <f>"100.00"</f>
        <v>100.00</v>
      </c>
      <c r="F204" t="str">
        <f>"-1768.04"</f>
        <v>-1768.04</v>
      </c>
      <c r="G204" t="str">
        <f>"48.70"</f>
        <v>48.70</v>
      </c>
      <c r="H204" t="str">
        <f>"600.00"</f>
        <v>600.00</v>
      </c>
      <c r="I204" t="str">
        <f>"206"</f>
        <v>206</v>
      </c>
      <c r="J204" t="str">
        <f>"证券买入(银龙股份)"</f>
        <v>证券买入(银龙股份)</v>
      </c>
      <c r="K204" t="str">
        <f>"5.00"</f>
        <v>5.00</v>
      </c>
      <c r="L204" t="str">
        <f>"0.00"</f>
        <v>0.00</v>
      </c>
      <c r="M204" t="str">
        <f>"0.04"</f>
        <v>0.04</v>
      </c>
      <c r="N204" t="str">
        <f>"0.00"</f>
        <v>0.00</v>
      </c>
      <c r="O204" t="str">
        <f>"603969"</f>
        <v>603969</v>
      </c>
      <c r="P204" t="str">
        <f>"A400948245"</f>
        <v>A400948245</v>
      </c>
    </row>
    <row r="205" spans="1:16" x14ac:dyDescent="0.25">
      <c r="A205" t="str">
        <f t="shared" si="81"/>
        <v>人民币</v>
      </c>
      <c r="B205" t="str">
        <f>" "</f>
        <v xml:space="preserve"> </v>
      </c>
      <c r="C205" t="str">
        <f t="shared" ref="C205:C213" si="83">"20170808"</f>
        <v>20170808</v>
      </c>
      <c r="D205" t="str">
        <f t="shared" ref="D205:E208" si="84">"---"</f>
        <v>---</v>
      </c>
      <c r="E205" t="str">
        <f t="shared" si="84"/>
        <v>---</v>
      </c>
      <c r="F205" t="str">
        <f>"8800.00"</f>
        <v>8800.00</v>
      </c>
      <c r="G205" t="str">
        <f>"8848.70"</f>
        <v>8848.70</v>
      </c>
      <c r="H205" t="str">
        <f t="shared" ref="H205:I208" si="85">"---"</f>
        <v>---</v>
      </c>
      <c r="I205" t="str">
        <f t="shared" si="85"/>
        <v>---</v>
      </c>
      <c r="J205" t="str">
        <f>"银行转存"</f>
        <v>银行转存</v>
      </c>
      <c r="K205" t="str">
        <f t="shared" ref="K205:P208" si="86">"---"</f>
        <v>---</v>
      </c>
      <c r="L205" t="str">
        <f t="shared" si="86"/>
        <v>---</v>
      </c>
      <c r="M205" t="str">
        <f t="shared" si="86"/>
        <v>---</v>
      </c>
      <c r="N205" t="str">
        <f t="shared" si="86"/>
        <v>---</v>
      </c>
      <c r="O205" t="str">
        <f t="shared" si="86"/>
        <v>---</v>
      </c>
      <c r="P205" t="str">
        <f t="shared" si="86"/>
        <v>---</v>
      </c>
    </row>
    <row r="206" spans="1:16" x14ac:dyDescent="0.25">
      <c r="A206" t="str">
        <f t="shared" si="81"/>
        <v>人民币</v>
      </c>
      <c r="B206" t="str">
        <f>" "</f>
        <v xml:space="preserve"> </v>
      </c>
      <c r="C206" t="str">
        <f t="shared" si="83"/>
        <v>20170808</v>
      </c>
      <c r="D206" t="str">
        <f t="shared" si="84"/>
        <v>---</v>
      </c>
      <c r="E206" t="str">
        <f t="shared" si="84"/>
        <v>---</v>
      </c>
      <c r="F206" t="str">
        <f>"-5000.00"</f>
        <v>-5000.00</v>
      </c>
      <c r="G206" t="str">
        <f>"3848.70"</f>
        <v>3848.70</v>
      </c>
      <c r="H206" t="str">
        <f t="shared" si="85"/>
        <v>---</v>
      </c>
      <c r="I206" t="str">
        <f t="shared" si="85"/>
        <v>---</v>
      </c>
      <c r="J206" t="str">
        <f>"银行转取"</f>
        <v>银行转取</v>
      </c>
      <c r="K206" t="str">
        <f t="shared" si="86"/>
        <v>---</v>
      </c>
      <c r="L206" t="str">
        <f t="shared" si="86"/>
        <v>---</v>
      </c>
      <c r="M206" t="str">
        <f t="shared" si="86"/>
        <v>---</v>
      </c>
      <c r="N206" t="str">
        <f t="shared" si="86"/>
        <v>---</v>
      </c>
      <c r="O206" t="str">
        <f t="shared" si="86"/>
        <v>---</v>
      </c>
      <c r="P206" t="str">
        <f t="shared" si="86"/>
        <v>---</v>
      </c>
    </row>
    <row r="207" spans="1:16" x14ac:dyDescent="0.25">
      <c r="A207" t="str">
        <f t="shared" si="81"/>
        <v>人民币</v>
      </c>
      <c r="B207" t="str">
        <f>" "</f>
        <v xml:space="preserve"> </v>
      </c>
      <c r="C207" t="str">
        <f t="shared" si="83"/>
        <v>20170808</v>
      </c>
      <c r="D207" t="str">
        <f t="shared" si="84"/>
        <v>---</v>
      </c>
      <c r="E207" t="str">
        <f t="shared" si="84"/>
        <v>---</v>
      </c>
      <c r="F207" t="str">
        <f>"5000.00"</f>
        <v>5000.00</v>
      </c>
      <c r="G207" t="str">
        <f>"8848.70"</f>
        <v>8848.70</v>
      </c>
      <c r="H207" t="str">
        <f t="shared" si="85"/>
        <v>---</v>
      </c>
      <c r="I207" t="str">
        <f t="shared" si="85"/>
        <v>---</v>
      </c>
      <c r="J207" t="str">
        <f>"银行转存"</f>
        <v>银行转存</v>
      </c>
      <c r="K207" t="str">
        <f t="shared" si="86"/>
        <v>---</v>
      </c>
      <c r="L207" t="str">
        <f t="shared" si="86"/>
        <v>---</v>
      </c>
      <c r="M207" t="str">
        <f t="shared" si="86"/>
        <v>---</v>
      </c>
      <c r="N207" t="str">
        <f t="shared" si="86"/>
        <v>---</v>
      </c>
      <c r="O207" t="str">
        <f t="shared" si="86"/>
        <v>---</v>
      </c>
      <c r="P207" t="str">
        <f t="shared" si="86"/>
        <v>---</v>
      </c>
    </row>
    <row r="208" spans="1:16" x14ac:dyDescent="0.25">
      <c r="A208" t="str">
        <f t="shared" si="81"/>
        <v>人民币</v>
      </c>
      <c r="B208" t="str">
        <f>" "</f>
        <v xml:space="preserve"> </v>
      </c>
      <c r="C208" t="str">
        <f t="shared" si="83"/>
        <v>20170808</v>
      </c>
      <c r="D208" t="str">
        <f t="shared" si="84"/>
        <v>---</v>
      </c>
      <c r="E208" t="str">
        <f t="shared" si="84"/>
        <v>---</v>
      </c>
      <c r="F208" t="str">
        <f>"-5000.00"</f>
        <v>-5000.00</v>
      </c>
      <c r="G208" t="str">
        <f>"3848.70"</f>
        <v>3848.70</v>
      </c>
      <c r="H208" t="str">
        <f t="shared" si="85"/>
        <v>---</v>
      </c>
      <c r="I208" t="str">
        <f t="shared" si="85"/>
        <v>---</v>
      </c>
      <c r="J208" t="str">
        <f>"银行转取"</f>
        <v>银行转取</v>
      </c>
      <c r="K208" t="str">
        <f t="shared" si="86"/>
        <v>---</v>
      </c>
      <c r="L208" t="str">
        <f t="shared" si="86"/>
        <v>---</v>
      </c>
      <c r="M208" t="str">
        <f t="shared" si="86"/>
        <v>---</v>
      </c>
      <c r="N208" t="str">
        <f t="shared" si="86"/>
        <v>---</v>
      </c>
      <c r="O208" t="str">
        <f t="shared" si="86"/>
        <v>---</v>
      </c>
      <c r="P208" t="str">
        <f t="shared" si="86"/>
        <v>---</v>
      </c>
    </row>
    <row r="209" spans="1:16" x14ac:dyDescent="0.25">
      <c r="A209" t="str">
        <f t="shared" si="81"/>
        <v>人民币</v>
      </c>
      <c r="B209" t="str">
        <f>"银龙股份"</f>
        <v>银龙股份</v>
      </c>
      <c r="C209" t="str">
        <f t="shared" si="83"/>
        <v>20170808</v>
      </c>
      <c r="D209" t="str">
        <f>"18.740"</f>
        <v>18.740</v>
      </c>
      <c r="E209" t="str">
        <f>"-200.00"</f>
        <v>-200.00</v>
      </c>
      <c r="F209" t="str">
        <f>"3739.18"</f>
        <v>3739.18</v>
      </c>
      <c r="G209" t="str">
        <f>"7587.88"</f>
        <v>7587.88</v>
      </c>
      <c r="H209" t="str">
        <f>"400.00"</f>
        <v>400.00</v>
      </c>
      <c r="I209" t="str">
        <f>"223"</f>
        <v>223</v>
      </c>
      <c r="J209" t="str">
        <f>"证券卖出(银龙股份)"</f>
        <v>证券卖出(银龙股份)</v>
      </c>
      <c r="K209" t="str">
        <f>"5.00"</f>
        <v>5.00</v>
      </c>
      <c r="L209" t="str">
        <f>"3.75"</f>
        <v>3.75</v>
      </c>
      <c r="M209" t="str">
        <f>"0.07"</f>
        <v>0.07</v>
      </c>
      <c r="N209" t="str">
        <f>"0.00"</f>
        <v>0.00</v>
      </c>
      <c r="O209" t="str">
        <f>"603969"</f>
        <v>603969</v>
      </c>
      <c r="P209" t="str">
        <f>"A400948245"</f>
        <v>A400948245</v>
      </c>
    </row>
    <row r="210" spans="1:16" x14ac:dyDescent="0.25">
      <c r="A210" t="str">
        <f t="shared" si="81"/>
        <v>人民币</v>
      </c>
      <c r="B210" t="str">
        <f>"合肥城建"</f>
        <v>合肥城建</v>
      </c>
      <c r="C210" t="str">
        <f t="shared" si="83"/>
        <v>20170808</v>
      </c>
      <c r="D210" t="str">
        <f>"11.560"</f>
        <v>11.560</v>
      </c>
      <c r="E210" t="str">
        <f>"-100.00"</f>
        <v>-100.00</v>
      </c>
      <c r="F210" t="str">
        <f>"1149.84"</f>
        <v>1149.84</v>
      </c>
      <c r="G210" t="str">
        <f>"8737.72"</f>
        <v>8737.72</v>
      </c>
      <c r="H210" t="str">
        <f>"0.00"</f>
        <v>0.00</v>
      </c>
      <c r="I210" t="str">
        <f>"229"</f>
        <v>229</v>
      </c>
      <c r="J210" t="str">
        <f>"证券卖出(合肥城建)"</f>
        <v>证券卖出(合肥城建)</v>
      </c>
      <c r="K210" t="str">
        <f>"5.00"</f>
        <v>5.00</v>
      </c>
      <c r="L210" t="str">
        <f>"1.16"</f>
        <v>1.16</v>
      </c>
      <c r="M210" t="str">
        <f>"0.00"</f>
        <v>0.00</v>
      </c>
      <c r="N210" t="str">
        <f>"0.00"</f>
        <v>0.00</v>
      </c>
      <c r="O210" t="str">
        <f>"002208"</f>
        <v>002208</v>
      </c>
      <c r="P210" t="str">
        <f t="shared" ref="P210:P215" si="87">"0153613480"</f>
        <v>0153613480</v>
      </c>
    </row>
    <row r="211" spans="1:16" x14ac:dyDescent="0.25">
      <c r="A211" t="str">
        <f t="shared" si="81"/>
        <v>人民币</v>
      </c>
      <c r="B211" t="str">
        <f>"太阳鸟"</f>
        <v>太阳鸟</v>
      </c>
      <c r="C211" t="str">
        <f t="shared" si="83"/>
        <v>20170808</v>
      </c>
      <c r="D211" t="str">
        <f>"14.170"</f>
        <v>14.170</v>
      </c>
      <c r="E211" t="str">
        <f>"300.00"</f>
        <v>300.00</v>
      </c>
      <c r="F211" t="str">
        <f>"-4256.00"</f>
        <v>-4256.00</v>
      </c>
      <c r="G211" t="str">
        <f>"4481.72"</f>
        <v>4481.72</v>
      </c>
      <c r="H211" t="str">
        <f>"300.00"</f>
        <v>300.00</v>
      </c>
      <c r="I211" t="str">
        <f>"217"</f>
        <v>217</v>
      </c>
      <c r="J211" t="str">
        <f>"证券买入(太阳鸟)"</f>
        <v>证券买入(太阳鸟)</v>
      </c>
      <c r="K211" t="str">
        <f>"5.00"</f>
        <v>5.00</v>
      </c>
      <c r="L211" t="str">
        <f>"0.00"</f>
        <v>0.00</v>
      </c>
      <c r="M211" t="str">
        <f>"0.00"</f>
        <v>0.00</v>
      </c>
      <c r="N211" t="str">
        <f>"0.00"</f>
        <v>0.00</v>
      </c>
      <c r="O211" t="str">
        <f>"300123"</f>
        <v>300123</v>
      </c>
      <c r="P211" t="str">
        <f t="shared" si="87"/>
        <v>0153613480</v>
      </c>
    </row>
    <row r="212" spans="1:16" x14ac:dyDescent="0.25">
      <c r="A212" t="str">
        <f t="shared" si="81"/>
        <v>人民币</v>
      </c>
      <c r="B212" t="str">
        <f>"太阳鸟"</f>
        <v>太阳鸟</v>
      </c>
      <c r="C212" t="str">
        <f t="shared" si="83"/>
        <v>20170808</v>
      </c>
      <c r="D212" t="str">
        <f>"13.980"</f>
        <v>13.980</v>
      </c>
      <c r="E212" t="str">
        <f>"300.00"</f>
        <v>300.00</v>
      </c>
      <c r="F212" t="str">
        <f>"-4199.00"</f>
        <v>-4199.00</v>
      </c>
      <c r="G212" t="str">
        <f>"282.72"</f>
        <v>282.72</v>
      </c>
      <c r="H212" t="str">
        <f>"600.00"</f>
        <v>600.00</v>
      </c>
      <c r="I212" t="str">
        <f>"220"</f>
        <v>220</v>
      </c>
      <c r="J212" t="str">
        <f>"证券买入(太阳鸟)"</f>
        <v>证券买入(太阳鸟)</v>
      </c>
      <c r="K212" t="str">
        <f>"5.00"</f>
        <v>5.00</v>
      </c>
      <c r="L212" t="str">
        <f>"0.00"</f>
        <v>0.00</v>
      </c>
      <c r="M212" t="str">
        <f>"0.00"</f>
        <v>0.00</v>
      </c>
      <c r="N212" t="str">
        <f>"0.00"</f>
        <v>0.00</v>
      </c>
      <c r="O212" t="str">
        <f>"300123"</f>
        <v>300123</v>
      </c>
      <c r="P212" t="str">
        <f t="shared" si="87"/>
        <v>0153613480</v>
      </c>
    </row>
    <row r="213" spans="1:16" x14ac:dyDescent="0.25">
      <c r="A213" t="str">
        <f t="shared" si="81"/>
        <v>人民币</v>
      </c>
      <c r="B213" t="str">
        <f>"科力尔"</f>
        <v>科力尔</v>
      </c>
      <c r="C213" t="str">
        <f t="shared" si="83"/>
        <v>20170808</v>
      </c>
      <c r="D213" t="str">
        <f>"0.000"</f>
        <v>0.000</v>
      </c>
      <c r="E213" t="str">
        <f>"6.00"</f>
        <v>6.00</v>
      </c>
      <c r="F213" t="str">
        <f>"0.00"</f>
        <v>0.00</v>
      </c>
      <c r="G213" t="str">
        <f>"282.72"</f>
        <v>282.72</v>
      </c>
      <c r="H213" t="str">
        <f>"0.00"</f>
        <v>0.00</v>
      </c>
      <c r="I213" t="str">
        <f>"214"</f>
        <v>214</v>
      </c>
      <c r="J213" t="str">
        <f>"申购配号(科力尔)"</f>
        <v>申购配号(科力尔)</v>
      </c>
      <c r="K213" t="str">
        <f>"0.00"</f>
        <v>0.00</v>
      </c>
      <c r="L213" t="str">
        <f>"0.00"</f>
        <v>0.00</v>
      </c>
      <c r="M213" t="str">
        <f>"0.00"</f>
        <v>0.00</v>
      </c>
      <c r="N213" t="str">
        <f>"0.00"</f>
        <v>0.00</v>
      </c>
      <c r="O213" t="str">
        <f>"002892"</f>
        <v>002892</v>
      </c>
      <c r="P213" t="str">
        <f t="shared" si="87"/>
        <v>0153613480</v>
      </c>
    </row>
    <row r="214" spans="1:16" x14ac:dyDescent="0.25">
      <c r="A214" t="str">
        <f t="shared" si="81"/>
        <v>人民币</v>
      </c>
      <c r="B214" t="str">
        <f>"合肥城建"</f>
        <v>合肥城建</v>
      </c>
      <c r="C214" t="str">
        <f>"20170809"</f>
        <v>20170809</v>
      </c>
      <c r="D214" t="str">
        <f>"0.000"</f>
        <v>0.000</v>
      </c>
      <c r="E214" t="str">
        <f>"0.00"</f>
        <v>0.00</v>
      </c>
      <c r="F214" t="str">
        <f>"-1.00"</f>
        <v>-1.00</v>
      </c>
      <c r="G214" t="str">
        <f>"281.72"</f>
        <v>281.72</v>
      </c>
      <c r="H214" t="str">
        <f>"0.00"</f>
        <v>0.00</v>
      </c>
      <c r="I214" t="str">
        <f>"---"</f>
        <v>---</v>
      </c>
      <c r="J214" t="str">
        <f>"红利差异税扣税(合肥城建)"</f>
        <v>红利差异税扣税(合肥城建)</v>
      </c>
      <c r="K214" t="str">
        <f>"---"</f>
        <v>---</v>
      </c>
      <c r="L214" t="str">
        <f>"---"</f>
        <v>---</v>
      </c>
      <c r="M214" t="str">
        <f>"---"</f>
        <v>---</v>
      </c>
      <c r="N214" t="str">
        <f>"---"</f>
        <v>---</v>
      </c>
      <c r="O214" t="str">
        <f>"002208"</f>
        <v>002208</v>
      </c>
      <c r="P214" t="str">
        <f t="shared" si="87"/>
        <v>0153613480</v>
      </c>
    </row>
    <row r="215" spans="1:16" x14ac:dyDescent="0.25">
      <c r="A215" t="str">
        <f t="shared" si="81"/>
        <v>人民币</v>
      </c>
      <c r="B215" t="str">
        <f>"爱乐达"</f>
        <v>爱乐达</v>
      </c>
      <c r="C215" t="str">
        <f>"20170811"</f>
        <v>20170811</v>
      </c>
      <c r="D215" t="str">
        <f>"0.000"</f>
        <v>0.000</v>
      </c>
      <c r="E215" t="str">
        <f>"6.00"</f>
        <v>6.00</v>
      </c>
      <c r="F215" t="str">
        <f>"0.00"</f>
        <v>0.00</v>
      </c>
      <c r="G215" t="str">
        <f>"281.72"</f>
        <v>281.72</v>
      </c>
      <c r="H215" t="str">
        <f>"0.00"</f>
        <v>0.00</v>
      </c>
      <c r="I215" t="str">
        <f>"241"</f>
        <v>241</v>
      </c>
      <c r="J215" t="str">
        <f>"申购配号(爱乐达)"</f>
        <v>申购配号(爱乐达)</v>
      </c>
      <c r="K215" t="str">
        <f>"0.00"</f>
        <v>0.00</v>
      </c>
      <c r="L215" t="str">
        <f>"0.00"</f>
        <v>0.00</v>
      </c>
      <c r="M215" t="str">
        <f>"0.00"</f>
        <v>0.00</v>
      </c>
      <c r="N215" t="str">
        <f>"0.00"</f>
        <v>0.00</v>
      </c>
      <c r="O215" t="str">
        <f>"300696"</f>
        <v>300696</v>
      </c>
      <c r="P215" t="str">
        <f t="shared" si="87"/>
        <v>0153613480</v>
      </c>
    </row>
    <row r="216" spans="1:16" x14ac:dyDescent="0.25">
      <c r="A216" t="str">
        <f t="shared" si="81"/>
        <v>人民币</v>
      </c>
      <c r="B216" t="str">
        <f>" "</f>
        <v xml:space="preserve"> </v>
      </c>
      <c r="C216" t="str">
        <f>"20170814"</f>
        <v>20170814</v>
      </c>
      <c r="D216" t="str">
        <f>"---"</f>
        <v>---</v>
      </c>
      <c r="E216" t="str">
        <f>"---"</f>
        <v>---</v>
      </c>
      <c r="F216" t="str">
        <f>"6000.00"</f>
        <v>6000.00</v>
      </c>
      <c r="G216" t="str">
        <f>"6281.72"</f>
        <v>6281.72</v>
      </c>
      <c r="H216" t="str">
        <f>"---"</f>
        <v>---</v>
      </c>
      <c r="I216" t="str">
        <f>"---"</f>
        <v>---</v>
      </c>
      <c r="J216" t="str">
        <f>"银行转存"</f>
        <v>银行转存</v>
      </c>
      <c r="K216" t="str">
        <f t="shared" ref="K216:P216" si="88">"---"</f>
        <v>---</v>
      </c>
      <c r="L216" t="str">
        <f t="shared" si="88"/>
        <v>---</v>
      </c>
      <c r="M216" t="str">
        <f t="shared" si="88"/>
        <v>---</v>
      </c>
      <c r="N216" t="str">
        <f t="shared" si="88"/>
        <v>---</v>
      </c>
      <c r="O216" t="str">
        <f t="shared" si="88"/>
        <v>---</v>
      </c>
      <c r="P216" t="str">
        <f t="shared" si="88"/>
        <v>---</v>
      </c>
    </row>
    <row r="217" spans="1:16" x14ac:dyDescent="0.25">
      <c r="A217" t="str">
        <f t="shared" si="81"/>
        <v>人民币</v>
      </c>
      <c r="B217" t="str">
        <f>"银龙股份"</f>
        <v>银龙股份</v>
      </c>
      <c r="C217" t="str">
        <f>"20170814"</f>
        <v>20170814</v>
      </c>
      <c r="D217" t="str">
        <f>"18.840"</f>
        <v>18.840</v>
      </c>
      <c r="E217" t="str">
        <f>"100.00"</f>
        <v>100.00</v>
      </c>
      <c r="F217" t="str">
        <f>"-1889.04"</f>
        <v>-1889.04</v>
      </c>
      <c r="G217" t="str">
        <f>"4392.68"</f>
        <v>4392.68</v>
      </c>
      <c r="H217" t="str">
        <f>"500.00"</f>
        <v>500.00</v>
      </c>
      <c r="I217" t="str">
        <f>"245"</f>
        <v>245</v>
      </c>
      <c r="J217" t="str">
        <f>"证券买入(银龙股份)"</f>
        <v>证券买入(银龙股份)</v>
      </c>
      <c r="K217" t="str">
        <f>"5.00"</f>
        <v>5.00</v>
      </c>
      <c r="L217" t="str">
        <f>"0.00"</f>
        <v>0.00</v>
      </c>
      <c r="M217" t="str">
        <f>"0.04"</f>
        <v>0.04</v>
      </c>
      <c r="N217" t="str">
        <f>"0.00"</f>
        <v>0.00</v>
      </c>
      <c r="O217" t="str">
        <f>"603969"</f>
        <v>603969</v>
      </c>
      <c r="P217" t="str">
        <f>"A400948245"</f>
        <v>A400948245</v>
      </c>
    </row>
    <row r="218" spans="1:16" x14ac:dyDescent="0.25">
      <c r="A218" t="str">
        <f t="shared" si="81"/>
        <v>人民币</v>
      </c>
      <c r="B218" t="str">
        <f>"银龙股份"</f>
        <v>银龙股份</v>
      </c>
      <c r="C218" t="str">
        <f>"20170816"</f>
        <v>20170816</v>
      </c>
      <c r="D218" t="str">
        <f>"19.000"</f>
        <v>19.000</v>
      </c>
      <c r="E218" t="str">
        <f>"200.00"</f>
        <v>200.00</v>
      </c>
      <c r="F218" t="str">
        <f>"-3805.08"</f>
        <v>-3805.08</v>
      </c>
      <c r="G218" t="str">
        <f>"587.60"</f>
        <v>587.60</v>
      </c>
      <c r="H218" t="str">
        <f>"700.00"</f>
        <v>700.00</v>
      </c>
      <c r="I218" t="str">
        <f>"8"</f>
        <v>8</v>
      </c>
      <c r="J218" t="str">
        <f>"证券买入(银龙股份)"</f>
        <v>证券买入(银龙股份)</v>
      </c>
      <c r="K218" t="str">
        <f>"5.00"</f>
        <v>5.00</v>
      </c>
      <c r="L218" t="str">
        <f>"0.00"</f>
        <v>0.00</v>
      </c>
      <c r="M218" t="str">
        <f>"0.08"</f>
        <v>0.08</v>
      </c>
      <c r="N218" t="str">
        <f>"0.00"</f>
        <v>0.00</v>
      </c>
      <c r="O218" t="str">
        <f>"603969"</f>
        <v>603969</v>
      </c>
      <c r="P218" t="str">
        <f>"A400948245"</f>
        <v>A400948245</v>
      </c>
    </row>
    <row r="219" spans="1:16" x14ac:dyDescent="0.25">
      <c r="A219" t="str">
        <f t="shared" si="81"/>
        <v>人民币</v>
      </c>
      <c r="B219" t="str">
        <f>"川恒股份"</f>
        <v>川恒股份</v>
      </c>
      <c r="C219" t="str">
        <f>"20170816"</f>
        <v>20170816</v>
      </c>
      <c r="D219" t="str">
        <f>"0.000"</f>
        <v>0.000</v>
      </c>
      <c r="E219" t="str">
        <f>"6.00"</f>
        <v>6.00</v>
      </c>
      <c r="F219" t="str">
        <f>"0.00"</f>
        <v>0.00</v>
      </c>
      <c r="G219" t="str">
        <f>"587.60"</f>
        <v>587.60</v>
      </c>
      <c r="H219" t="str">
        <f>"0.00"</f>
        <v>0.00</v>
      </c>
      <c r="I219" t="str">
        <f>"1"</f>
        <v>1</v>
      </c>
      <c r="J219" t="str">
        <f>"申购配号(川恒股份)"</f>
        <v>申购配号(川恒股份)</v>
      </c>
      <c r="K219" t="str">
        <f>"0.00"</f>
        <v>0.00</v>
      </c>
      <c r="L219" t="str">
        <f>"0.00"</f>
        <v>0.00</v>
      </c>
      <c r="M219" t="str">
        <f>"0.00"</f>
        <v>0.00</v>
      </c>
      <c r="N219" t="str">
        <f>"0.00"</f>
        <v>0.00</v>
      </c>
      <c r="O219" t="str">
        <f>"002895"</f>
        <v>002895</v>
      </c>
      <c r="P219" t="str">
        <f>"0153613480"</f>
        <v>0153613480</v>
      </c>
    </row>
    <row r="220" spans="1:16" x14ac:dyDescent="0.25">
      <c r="A220" t="str">
        <f t="shared" si="81"/>
        <v>人民币</v>
      </c>
      <c r="B220" t="str">
        <f>"太阳鸟"</f>
        <v>太阳鸟</v>
      </c>
      <c r="C220" t="str">
        <f>"20170817"</f>
        <v>20170817</v>
      </c>
      <c r="D220" t="str">
        <f>"14.810"</f>
        <v>14.810</v>
      </c>
      <c r="E220" t="str">
        <f>"-600.00"</f>
        <v>-600.00</v>
      </c>
      <c r="F220" t="str">
        <f>"8872.11"</f>
        <v>8872.11</v>
      </c>
      <c r="G220" t="str">
        <f>"9459.71"</f>
        <v>9459.71</v>
      </c>
      <c r="H220" t="str">
        <f>"0.00"</f>
        <v>0.00</v>
      </c>
      <c r="I220" t="str">
        <f>"13"</f>
        <v>13</v>
      </c>
      <c r="J220" t="str">
        <f>"证券卖出(太阳鸟)"</f>
        <v>证券卖出(太阳鸟)</v>
      </c>
      <c r="K220" t="str">
        <f>"5.00"</f>
        <v>5.00</v>
      </c>
      <c r="L220" t="str">
        <f>"8.89"</f>
        <v>8.89</v>
      </c>
      <c r="M220" t="str">
        <f>"0.00"</f>
        <v>0.00</v>
      </c>
      <c r="N220" t="str">
        <f>"0.00"</f>
        <v>0.00</v>
      </c>
      <c r="O220" t="str">
        <f>"300123"</f>
        <v>300123</v>
      </c>
      <c r="P220" t="str">
        <f>"0153613480"</f>
        <v>0153613480</v>
      </c>
    </row>
    <row r="221" spans="1:16" x14ac:dyDescent="0.25">
      <c r="A221" t="str">
        <f t="shared" si="81"/>
        <v>人民币</v>
      </c>
      <c r="B221" t="str">
        <f>" "</f>
        <v xml:space="preserve"> </v>
      </c>
      <c r="C221" t="str">
        <f>"20170818"</f>
        <v>20170818</v>
      </c>
      <c r="D221" t="str">
        <f>"---"</f>
        <v>---</v>
      </c>
      <c r="E221" t="str">
        <f>"---"</f>
        <v>---</v>
      </c>
      <c r="F221" t="str">
        <f>"-6000.00"</f>
        <v>-6000.00</v>
      </c>
      <c r="G221" t="str">
        <f>"3459.71"</f>
        <v>3459.71</v>
      </c>
      <c r="H221" t="str">
        <f>"---"</f>
        <v>---</v>
      </c>
      <c r="I221" t="str">
        <f>"---"</f>
        <v>---</v>
      </c>
      <c r="J221" t="str">
        <f>"银行转取"</f>
        <v>银行转取</v>
      </c>
      <c r="K221" t="str">
        <f t="shared" ref="K221:P221" si="89">"---"</f>
        <v>---</v>
      </c>
      <c r="L221" t="str">
        <f t="shared" si="89"/>
        <v>---</v>
      </c>
      <c r="M221" t="str">
        <f t="shared" si="89"/>
        <v>---</v>
      </c>
      <c r="N221" t="str">
        <f t="shared" si="89"/>
        <v>---</v>
      </c>
      <c r="O221" t="str">
        <f t="shared" si="89"/>
        <v>---</v>
      </c>
      <c r="P221" t="str">
        <f t="shared" si="89"/>
        <v>---</v>
      </c>
    </row>
    <row r="222" spans="1:16" x14ac:dyDescent="0.25">
      <c r="A222" t="str">
        <f t="shared" si="81"/>
        <v>人民币</v>
      </c>
      <c r="B222" t="str">
        <f>"银龙股份"</f>
        <v>银龙股份</v>
      </c>
      <c r="C222" t="str">
        <f>"20170818"</f>
        <v>20170818</v>
      </c>
      <c r="D222" t="str">
        <f>"19.280"</f>
        <v>19.280</v>
      </c>
      <c r="E222" t="str">
        <f>"-200.00"</f>
        <v>-200.00</v>
      </c>
      <c r="F222" t="str">
        <f>"3847.06"</f>
        <v>3847.06</v>
      </c>
      <c r="G222" t="str">
        <f>"7306.77"</f>
        <v>7306.77</v>
      </c>
      <c r="H222" t="str">
        <f>"500.00"</f>
        <v>500.00</v>
      </c>
      <c r="I222" t="str">
        <f>"27"</f>
        <v>27</v>
      </c>
      <c r="J222" t="str">
        <f>"证券卖出(银龙股份)"</f>
        <v>证券卖出(银龙股份)</v>
      </c>
      <c r="K222" t="str">
        <f>"5.00"</f>
        <v>5.00</v>
      </c>
      <c r="L222" t="str">
        <f>"3.86"</f>
        <v>3.86</v>
      </c>
      <c r="M222" t="str">
        <f>"0.08"</f>
        <v>0.08</v>
      </c>
      <c r="N222" t="str">
        <f>"0.00"</f>
        <v>0.00</v>
      </c>
      <c r="O222" t="str">
        <f>"603969"</f>
        <v>603969</v>
      </c>
      <c r="P222" t="str">
        <f>"A400948245"</f>
        <v>A400948245</v>
      </c>
    </row>
    <row r="223" spans="1:16" x14ac:dyDescent="0.25">
      <c r="A223" t="str">
        <f t="shared" si="81"/>
        <v>人民币</v>
      </c>
      <c r="B223" t="str">
        <f>"太空板业"</f>
        <v>太空板业</v>
      </c>
      <c r="C223" t="str">
        <f>"20170818"</f>
        <v>20170818</v>
      </c>
      <c r="D223" t="str">
        <f>"15.310"</f>
        <v>15.310</v>
      </c>
      <c r="E223" t="str">
        <f>"-540.00"</f>
        <v>-540.00</v>
      </c>
      <c r="F223" t="str">
        <f>"8254.14"</f>
        <v>8254.14</v>
      </c>
      <c r="G223" t="str">
        <f>"15560.91"</f>
        <v>15560.91</v>
      </c>
      <c r="H223" t="str">
        <f>"700.00"</f>
        <v>700.00</v>
      </c>
      <c r="I223" t="str">
        <f>"18"</f>
        <v>18</v>
      </c>
      <c r="J223" t="str">
        <f>"证券卖出(太空板业)"</f>
        <v>证券卖出(太空板业)</v>
      </c>
      <c r="K223" t="str">
        <f>"5.00"</f>
        <v>5.00</v>
      </c>
      <c r="L223" t="str">
        <f>"8.26"</f>
        <v>8.26</v>
      </c>
      <c r="M223" t="str">
        <f>"0.00"</f>
        <v>0.00</v>
      </c>
      <c r="N223" t="str">
        <f>"0.00"</f>
        <v>0.00</v>
      </c>
      <c r="O223" t="str">
        <f>"300344"</f>
        <v>300344</v>
      </c>
      <c r="P223" t="str">
        <f>"0153613480"</f>
        <v>0153613480</v>
      </c>
    </row>
    <row r="224" spans="1:16" x14ac:dyDescent="0.25">
      <c r="A224" t="str">
        <f t="shared" si="81"/>
        <v>人民币</v>
      </c>
      <c r="B224" t="str">
        <f>"中大力德"</f>
        <v>中大力德</v>
      </c>
      <c r="C224" t="str">
        <f>"20170818"</f>
        <v>20170818</v>
      </c>
      <c r="D224" t="str">
        <f>"0.000"</f>
        <v>0.000</v>
      </c>
      <c r="E224" t="str">
        <f>"7.00"</f>
        <v>7.00</v>
      </c>
      <c r="F224" t="str">
        <f>"0.00"</f>
        <v>0.00</v>
      </c>
      <c r="G224" t="str">
        <f>"15560.91"</f>
        <v>15560.91</v>
      </c>
      <c r="H224" t="str">
        <f>"0.00"</f>
        <v>0.00</v>
      </c>
      <c r="I224" t="str">
        <f>"25"</f>
        <v>25</v>
      </c>
      <c r="J224" t="str">
        <f>"申购配号(中大力德)"</f>
        <v>申购配号(中大力德)</v>
      </c>
      <c r="K224" t="str">
        <f>"0.00"</f>
        <v>0.00</v>
      </c>
      <c r="L224" t="str">
        <f>"0.00"</f>
        <v>0.00</v>
      </c>
      <c r="M224" t="str">
        <f>"0.00"</f>
        <v>0.00</v>
      </c>
      <c r="N224" t="str">
        <f>"0.00"</f>
        <v>0.00</v>
      </c>
      <c r="O224" t="str">
        <f>"002896"</f>
        <v>002896</v>
      </c>
      <c r="P224" t="str">
        <f>"0153613480"</f>
        <v>0153613480</v>
      </c>
    </row>
    <row r="225" spans="1:16" x14ac:dyDescent="0.25">
      <c r="A225" t="str">
        <f t="shared" si="81"/>
        <v>人民币</v>
      </c>
      <c r="B225" t="str">
        <f>"太空板业"</f>
        <v>太空板业</v>
      </c>
      <c r="C225" t="str">
        <f>"20170821"</f>
        <v>20170821</v>
      </c>
      <c r="D225" t="str">
        <f>"0.000"</f>
        <v>0.000</v>
      </c>
      <c r="E225" t="str">
        <f>"0.00"</f>
        <v>0.00</v>
      </c>
      <c r="F225" t="str">
        <f>"-1.08"</f>
        <v>-1.08</v>
      </c>
      <c r="G225" t="str">
        <f>"15559.83"</f>
        <v>15559.83</v>
      </c>
      <c r="H225" t="str">
        <f>"700.00"</f>
        <v>700.00</v>
      </c>
      <c r="I225" t="str">
        <f>"---"</f>
        <v>---</v>
      </c>
      <c r="J225" t="str">
        <f>"红利差异税扣税(太空板业)"</f>
        <v>红利差异税扣税(太空板业)</v>
      </c>
      <c r="K225" t="str">
        <f>"---"</f>
        <v>---</v>
      </c>
      <c r="L225" t="str">
        <f>"---"</f>
        <v>---</v>
      </c>
      <c r="M225" t="str">
        <f>"---"</f>
        <v>---</v>
      </c>
      <c r="N225" t="str">
        <f>"---"</f>
        <v>---</v>
      </c>
      <c r="O225" t="str">
        <f>"300344"</f>
        <v>300344</v>
      </c>
      <c r="P225" t="str">
        <f>"0153613480"</f>
        <v>0153613480</v>
      </c>
    </row>
    <row r="226" spans="1:16" x14ac:dyDescent="0.25">
      <c r="A226" t="str">
        <f t="shared" si="81"/>
        <v>人民币</v>
      </c>
      <c r="B226" t="str">
        <f>"北方稀土"</f>
        <v>北方稀土</v>
      </c>
      <c r="C226" t="str">
        <f>"20170821"</f>
        <v>20170821</v>
      </c>
      <c r="D226" t="str">
        <f>"18.470"</f>
        <v>18.470</v>
      </c>
      <c r="E226" t="str">
        <f>"200.00"</f>
        <v>200.00</v>
      </c>
      <c r="F226" t="str">
        <f>"-3699.07"</f>
        <v>-3699.07</v>
      </c>
      <c r="G226" t="str">
        <f>"11860.76"</f>
        <v>11860.76</v>
      </c>
      <c r="H226" t="str">
        <f>"200.00"</f>
        <v>200.00</v>
      </c>
      <c r="I226" t="str">
        <f>"41"</f>
        <v>41</v>
      </c>
      <c r="J226" t="str">
        <f>"证券买入(北方稀土)"</f>
        <v>证券买入(北方稀土)</v>
      </c>
      <c r="K226" t="str">
        <f>"5.00"</f>
        <v>5.00</v>
      </c>
      <c r="L226" t="str">
        <f>"0.00"</f>
        <v>0.00</v>
      </c>
      <c r="M226" t="str">
        <f>"0.07"</f>
        <v>0.07</v>
      </c>
      <c r="N226" t="str">
        <f>"0.00"</f>
        <v>0.00</v>
      </c>
      <c r="O226" t="str">
        <f>"600111"</f>
        <v>600111</v>
      </c>
      <c r="P226" t="str">
        <f>"A400948245"</f>
        <v>A400948245</v>
      </c>
    </row>
    <row r="227" spans="1:16" x14ac:dyDescent="0.25">
      <c r="A227" t="str">
        <f t="shared" si="81"/>
        <v>人民币</v>
      </c>
      <c r="B227" t="str">
        <f>"北方稀土"</f>
        <v>北方稀土</v>
      </c>
      <c r="C227" t="str">
        <f>"20170821"</f>
        <v>20170821</v>
      </c>
      <c r="D227" t="str">
        <f>"18.310"</f>
        <v>18.310</v>
      </c>
      <c r="E227" t="str">
        <f>"200.00"</f>
        <v>200.00</v>
      </c>
      <c r="F227" t="str">
        <f>"-3667.07"</f>
        <v>-3667.07</v>
      </c>
      <c r="G227" t="str">
        <f>"8193.69"</f>
        <v>8193.69</v>
      </c>
      <c r="H227" t="str">
        <f>"400.00"</f>
        <v>400.00</v>
      </c>
      <c r="I227" t="str">
        <f>"50"</f>
        <v>50</v>
      </c>
      <c r="J227" t="str">
        <f>"证券买入(北方稀土)"</f>
        <v>证券买入(北方稀土)</v>
      </c>
      <c r="K227" t="str">
        <f>"5.00"</f>
        <v>5.00</v>
      </c>
      <c r="L227" t="str">
        <f>"0.00"</f>
        <v>0.00</v>
      </c>
      <c r="M227" t="str">
        <f>"0.07"</f>
        <v>0.07</v>
      </c>
      <c r="N227" t="str">
        <f>"0.00"</f>
        <v>0.00</v>
      </c>
      <c r="O227" t="str">
        <f>"600111"</f>
        <v>600111</v>
      </c>
      <c r="P227" t="str">
        <f>"A400948245"</f>
        <v>A400948245</v>
      </c>
    </row>
    <row r="228" spans="1:16" x14ac:dyDescent="0.25">
      <c r="A228" t="str">
        <f t="shared" si="81"/>
        <v>人民币</v>
      </c>
      <c r="B228" t="str">
        <f>"太空板业"</f>
        <v>太空板业</v>
      </c>
      <c r="C228" t="str">
        <f>"20170821"</f>
        <v>20170821</v>
      </c>
      <c r="D228" t="str">
        <f>"14.500"</f>
        <v>14.500</v>
      </c>
      <c r="E228" t="str">
        <f>"-300.00"</f>
        <v>-300.00</v>
      </c>
      <c r="F228" t="str">
        <f>"4340.65"</f>
        <v>4340.65</v>
      </c>
      <c r="G228" t="str">
        <f>"12534.34"</f>
        <v>12534.34</v>
      </c>
      <c r="H228" t="str">
        <f>"400.00"</f>
        <v>400.00</v>
      </c>
      <c r="I228" t="str">
        <f>"44"</f>
        <v>44</v>
      </c>
      <c r="J228" t="str">
        <f>"证券卖出(太空板业)"</f>
        <v>证券卖出(太空板业)</v>
      </c>
      <c r="K228" t="str">
        <f>"5.00"</f>
        <v>5.00</v>
      </c>
      <c r="L228" t="str">
        <f>"4.35"</f>
        <v>4.35</v>
      </c>
      <c r="M228" t="str">
        <f>"0.00"</f>
        <v>0.00</v>
      </c>
      <c r="N228" t="str">
        <f>"0.00"</f>
        <v>0.00</v>
      </c>
      <c r="O228" t="str">
        <f>"300344"</f>
        <v>300344</v>
      </c>
      <c r="P228" t="str">
        <f>"0153613480"</f>
        <v>0153613480</v>
      </c>
    </row>
    <row r="229" spans="1:16" x14ac:dyDescent="0.25">
      <c r="A229" t="str">
        <f t="shared" si="81"/>
        <v>人民币</v>
      </c>
      <c r="B229" t="str">
        <f>"太空板业"</f>
        <v>太空板业</v>
      </c>
      <c r="C229" t="str">
        <f>"20170821"</f>
        <v>20170821</v>
      </c>
      <c r="D229" t="str">
        <f>"14.500"</f>
        <v>14.500</v>
      </c>
      <c r="E229" t="str">
        <f>"-400.00"</f>
        <v>-400.00</v>
      </c>
      <c r="F229" t="str">
        <f>"5789.20"</f>
        <v>5789.20</v>
      </c>
      <c r="G229" t="str">
        <f>"18323.54"</f>
        <v>18323.54</v>
      </c>
      <c r="H229" t="str">
        <f>"0.00"</f>
        <v>0.00</v>
      </c>
      <c r="I229" t="str">
        <f>"47"</f>
        <v>47</v>
      </c>
      <c r="J229" t="str">
        <f>"证券卖出(太空板业)"</f>
        <v>证券卖出(太空板业)</v>
      </c>
      <c r="K229" t="str">
        <f>"5.00"</f>
        <v>5.00</v>
      </c>
      <c r="L229" t="str">
        <f>"5.80"</f>
        <v>5.80</v>
      </c>
      <c r="M229" t="str">
        <f>"0.00"</f>
        <v>0.00</v>
      </c>
      <c r="N229" t="str">
        <f>"0.00"</f>
        <v>0.00</v>
      </c>
      <c r="O229" t="str">
        <f>"300344"</f>
        <v>300344</v>
      </c>
      <c r="P229" t="str">
        <f>"0153613480"</f>
        <v>0153613480</v>
      </c>
    </row>
    <row r="230" spans="1:16" x14ac:dyDescent="0.25">
      <c r="A230" t="str">
        <f t="shared" si="81"/>
        <v>人民币</v>
      </c>
      <c r="B230" t="str">
        <f>"太空板业"</f>
        <v>太空板业</v>
      </c>
      <c r="C230" t="str">
        <f>"20170822"</f>
        <v>20170822</v>
      </c>
      <c r="D230" t="str">
        <f>"0.000"</f>
        <v>0.000</v>
      </c>
      <c r="E230" t="str">
        <f>"0.00"</f>
        <v>0.00</v>
      </c>
      <c r="F230" t="str">
        <f>"-0.12"</f>
        <v>-0.12</v>
      </c>
      <c r="G230" t="str">
        <f>"18323.42"</f>
        <v>18323.42</v>
      </c>
      <c r="H230" t="str">
        <f>"0.00"</f>
        <v>0.00</v>
      </c>
      <c r="I230" t="str">
        <f>"---"</f>
        <v>---</v>
      </c>
      <c r="J230" t="str">
        <f>"红利差异税扣税(太空板业)"</f>
        <v>红利差异税扣税(太空板业)</v>
      </c>
      <c r="K230" t="str">
        <f t="shared" ref="K230:N231" si="90">"---"</f>
        <v>---</v>
      </c>
      <c r="L230" t="str">
        <f t="shared" si="90"/>
        <v>---</v>
      </c>
      <c r="M230" t="str">
        <f t="shared" si="90"/>
        <v>---</v>
      </c>
      <c r="N230" t="str">
        <f t="shared" si="90"/>
        <v>---</v>
      </c>
      <c r="O230" t="str">
        <f>"300344"</f>
        <v>300344</v>
      </c>
      <c r="P230" t="str">
        <f>"0153613480"</f>
        <v>0153613480</v>
      </c>
    </row>
    <row r="231" spans="1:16" x14ac:dyDescent="0.25">
      <c r="A231" t="str">
        <f t="shared" si="81"/>
        <v>人民币</v>
      </c>
      <c r="B231" t="str">
        <f>" "</f>
        <v xml:space="preserve"> </v>
      </c>
      <c r="C231" t="str">
        <f>"20170822"</f>
        <v>20170822</v>
      </c>
      <c r="D231" t="str">
        <f>"---"</f>
        <v>---</v>
      </c>
      <c r="E231" t="str">
        <f>"---"</f>
        <v>---</v>
      </c>
      <c r="F231" t="str">
        <f>"-3468.00"</f>
        <v>-3468.00</v>
      </c>
      <c r="G231" t="str">
        <f>"14855.42"</f>
        <v>14855.42</v>
      </c>
      <c r="H231" t="str">
        <f>"---"</f>
        <v>---</v>
      </c>
      <c r="I231" t="str">
        <f>"---"</f>
        <v>---</v>
      </c>
      <c r="J231" t="str">
        <f>"银行转取"</f>
        <v>银行转取</v>
      </c>
      <c r="K231" t="str">
        <f t="shared" si="90"/>
        <v>---</v>
      </c>
      <c r="L231" t="str">
        <f t="shared" si="90"/>
        <v>---</v>
      </c>
      <c r="M231" t="str">
        <f t="shared" si="90"/>
        <v>---</v>
      </c>
      <c r="N231" t="str">
        <f t="shared" si="90"/>
        <v>---</v>
      </c>
      <c r="O231" t="str">
        <f>"---"</f>
        <v>---</v>
      </c>
      <c r="P231" t="str">
        <f>"---"</f>
        <v>---</v>
      </c>
    </row>
    <row r="232" spans="1:16" x14ac:dyDescent="0.25">
      <c r="A232" t="str">
        <f t="shared" si="81"/>
        <v>人民币</v>
      </c>
      <c r="B232" t="str">
        <f>"北方稀土"</f>
        <v>北方稀土</v>
      </c>
      <c r="C232" t="str">
        <f>"20170822"</f>
        <v>20170822</v>
      </c>
      <c r="D232" t="str">
        <f>"18.210"</f>
        <v>18.210</v>
      </c>
      <c r="E232" t="str">
        <f>"200.00"</f>
        <v>200.00</v>
      </c>
      <c r="F232" t="str">
        <f>"-3647.07"</f>
        <v>-3647.07</v>
      </c>
      <c r="G232" t="str">
        <f>"11208.35"</f>
        <v>11208.35</v>
      </c>
      <c r="H232" t="str">
        <f>"600.00"</f>
        <v>600.00</v>
      </c>
      <c r="I232" t="str">
        <f>"58"</f>
        <v>58</v>
      </c>
      <c r="J232" t="str">
        <f>"证券买入(北方稀土)"</f>
        <v>证券买入(北方稀土)</v>
      </c>
      <c r="K232" t="str">
        <f>"5.00"</f>
        <v>5.00</v>
      </c>
      <c r="L232" t="str">
        <f>"0.00"</f>
        <v>0.00</v>
      </c>
      <c r="M232" t="str">
        <f>"0.07"</f>
        <v>0.07</v>
      </c>
      <c r="N232" t="str">
        <f>"0.00"</f>
        <v>0.00</v>
      </c>
      <c r="O232" t="str">
        <f>"600111"</f>
        <v>600111</v>
      </c>
      <c r="P232" t="str">
        <f>"A400948245"</f>
        <v>A400948245</v>
      </c>
    </row>
    <row r="233" spans="1:16" x14ac:dyDescent="0.25">
      <c r="A233" t="str">
        <f t="shared" si="81"/>
        <v>人民币</v>
      </c>
      <c r="B233" t="str">
        <f>"银龙股份"</f>
        <v>银龙股份</v>
      </c>
      <c r="C233" t="str">
        <f>"20170822"</f>
        <v>20170822</v>
      </c>
      <c r="D233" t="str">
        <f>"19.000"</f>
        <v>19.000</v>
      </c>
      <c r="E233" t="str">
        <f>"200.00"</f>
        <v>200.00</v>
      </c>
      <c r="F233" t="str">
        <f>"-3805.08"</f>
        <v>-3805.08</v>
      </c>
      <c r="G233" t="str">
        <f>"7403.27"</f>
        <v>7403.27</v>
      </c>
      <c r="H233" t="str">
        <f>"700.00"</f>
        <v>700.00</v>
      </c>
      <c r="I233" t="str">
        <f>"64"</f>
        <v>64</v>
      </c>
      <c r="J233" t="str">
        <f>"证券买入(银龙股份)"</f>
        <v>证券买入(银龙股份)</v>
      </c>
      <c r="K233" t="str">
        <f>"5.00"</f>
        <v>5.00</v>
      </c>
      <c r="L233" t="str">
        <f>"0.00"</f>
        <v>0.00</v>
      </c>
      <c r="M233" t="str">
        <f>"0.08"</f>
        <v>0.08</v>
      </c>
      <c r="N233" t="str">
        <f>"0.00"</f>
        <v>0.00</v>
      </c>
      <c r="O233" t="str">
        <f>"603969"</f>
        <v>603969</v>
      </c>
      <c r="P233" t="str">
        <f>"A400948245"</f>
        <v>A400948245</v>
      </c>
    </row>
    <row r="234" spans="1:16" x14ac:dyDescent="0.25">
      <c r="A234" t="str">
        <f t="shared" si="81"/>
        <v>人民币</v>
      </c>
      <c r="B234" t="str">
        <f>"北方稀土"</f>
        <v>北方稀土</v>
      </c>
      <c r="C234" t="str">
        <f>"20170823"</f>
        <v>20170823</v>
      </c>
      <c r="D234" t="str">
        <f>"17.560"</f>
        <v>17.560</v>
      </c>
      <c r="E234" t="str">
        <f>"200.00"</f>
        <v>200.00</v>
      </c>
      <c r="F234" t="str">
        <f>"-3517.07"</f>
        <v>-3517.07</v>
      </c>
      <c r="G234" t="str">
        <f>"3886.20"</f>
        <v>3886.20</v>
      </c>
      <c r="H234" t="str">
        <f>"800.00"</f>
        <v>800.00</v>
      </c>
      <c r="I234" t="str">
        <f>"81"</f>
        <v>81</v>
      </c>
      <c r="J234" t="str">
        <f>"证券买入(北方稀土)"</f>
        <v>证券买入(北方稀土)</v>
      </c>
      <c r="K234" t="str">
        <f>"5.00"</f>
        <v>5.00</v>
      </c>
      <c r="L234" t="str">
        <f>"0.00"</f>
        <v>0.00</v>
      </c>
      <c r="M234" t="str">
        <f>"0.07"</f>
        <v>0.07</v>
      </c>
      <c r="N234" t="str">
        <f>"0.00"</f>
        <v>0.00</v>
      </c>
      <c r="O234" t="str">
        <f>"600111"</f>
        <v>600111</v>
      </c>
      <c r="P234" t="str">
        <f>"A400948245"</f>
        <v>A400948245</v>
      </c>
    </row>
    <row r="235" spans="1:16" x14ac:dyDescent="0.25">
      <c r="A235" t="str">
        <f t="shared" si="81"/>
        <v>人民币</v>
      </c>
      <c r="B235" t="str">
        <f>"太空板业"</f>
        <v>太空板业</v>
      </c>
      <c r="C235" t="str">
        <f>"20170823"</f>
        <v>20170823</v>
      </c>
      <c r="D235" t="str">
        <f>"14.000"</f>
        <v>14.000</v>
      </c>
      <c r="E235" t="str">
        <f>"200.00"</f>
        <v>200.00</v>
      </c>
      <c r="F235" t="str">
        <f>"-2805.00"</f>
        <v>-2805.00</v>
      </c>
      <c r="G235" t="str">
        <f>"1081.20"</f>
        <v>1081.20</v>
      </c>
      <c r="H235" t="str">
        <f>"200.00"</f>
        <v>200.00</v>
      </c>
      <c r="I235" t="str">
        <f>"78"</f>
        <v>78</v>
      </c>
      <c r="J235" t="str">
        <f>"证券买入(太空板业)"</f>
        <v>证券买入(太空板业)</v>
      </c>
      <c r="K235" t="str">
        <f>"5.00"</f>
        <v>5.00</v>
      </c>
      <c r="L235" t="str">
        <f>"0.00"</f>
        <v>0.00</v>
      </c>
      <c r="M235" t="str">
        <f>"0.00"</f>
        <v>0.00</v>
      </c>
      <c r="N235" t="str">
        <f>"0.00"</f>
        <v>0.00</v>
      </c>
      <c r="O235" t="str">
        <f>"300344"</f>
        <v>300344</v>
      </c>
      <c r="P235" t="str">
        <f>"0153613480"</f>
        <v>0153613480</v>
      </c>
    </row>
    <row r="236" spans="1:16" x14ac:dyDescent="0.25">
      <c r="A236" t="str">
        <f t="shared" si="81"/>
        <v>人民币</v>
      </c>
      <c r="B236" t="str">
        <f>"光威复材"</f>
        <v>光威复材</v>
      </c>
      <c r="C236" t="str">
        <f>"20170823"</f>
        <v>20170823</v>
      </c>
      <c r="D236" t="str">
        <f>"0.000"</f>
        <v>0.000</v>
      </c>
      <c r="E236" t="str">
        <f>"6.00"</f>
        <v>6.00</v>
      </c>
      <c r="F236" t="str">
        <f>"0.00"</f>
        <v>0.00</v>
      </c>
      <c r="G236" t="str">
        <f>"1081.20"</f>
        <v>1081.20</v>
      </c>
      <c r="H236" t="str">
        <f>"0.00"</f>
        <v>0.00</v>
      </c>
      <c r="I236" t="str">
        <f>"70"</f>
        <v>70</v>
      </c>
      <c r="J236" t="str">
        <f>"申购配号(光威复材)"</f>
        <v>申购配号(光威复材)</v>
      </c>
      <c r="K236" t="str">
        <f>"0.00"</f>
        <v>0.00</v>
      </c>
      <c r="L236" t="str">
        <f>"0.00"</f>
        <v>0.00</v>
      </c>
      <c r="M236" t="str">
        <f>"0.00"</f>
        <v>0.00</v>
      </c>
      <c r="N236" t="str">
        <f>"0.00"</f>
        <v>0.00</v>
      </c>
      <c r="O236" t="str">
        <f>"300699"</f>
        <v>300699</v>
      </c>
      <c r="P236" t="str">
        <f>"0153613480"</f>
        <v>0153613480</v>
      </c>
    </row>
    <row r="237" spans="1:16" x14ac:dyDescent="0.25">
      <c r="A237" t="str">
        <f t="shared" si="81"/>
        <v>人民币</v>
      </c>
      <c r="B237" t="str">
        <f>" "</f>
        <v xml:space="preserve"> </v>
      </c>
      <c r="C237" t="str">
        <f>"20170824"</f>
        <v>20170824</v>
      </c>
      <c r="D237" t="str">
        <f>"---"</f>
        <v>---</v>
      </c>
      <c r="E237" t="str">
        <f>"---"</f>
        <v>---</v>
      </c>
      <c r="F237" t="str">
        <f>"2000.00"</f>
        <v>2000.00</v>
      </c>
      <c r="G237" t="str">
        <f>"3081.20"</f>
        <v>3081.20</v>
      </c>
      <c r="H237" t="str">
        <f>"---"</f>
        <v>---</v>
      </c>
      <c r="I237" t="str">
        <f>"---"</f>
        <v>---</v>
      </c>
      <c r="J237" t="str">
        <f>"银行转存"</f>
        <v>银行转存</v>
      </c>
      <c r="K237" t="str">
        <f t="shared" ref="K237:P237" si="91">"---"</f>
        <v>---</v>
      </c>
      <c r="L237" t="str">
        <f t="shared" si="91"/>
        <v>---</v>
      </c>
      <c r="M237" t="str">
        <f t="shared" si="91"/>
        <v>---</v>
      </c>
      <c r="N237" t="str">
        <f t="shared" si="91"/>
        <v>---</v>
      </c>
      <c r="O237" t="str">
        <f t="shared" si="91"/>
        <v>---</v>
      </c>
      <c r="P237" t="str">
        <f t="shared" si="91"/>
        <v>---</v>
      </c>
    </row>
    <row r="238" spans="1:16" x14ac:dyDescent="0.25">
      <c r="A238" t="str">
        <f t="shared" si="81"/>
        <v>人民币</v>
      </c>
      <c r="B238" t="str">
        <f>"建研配号"</f>
        <v>建研配号</v>
      </c>
      <c r="C238" t="str">
        <f>"20170824"</f>
        <v>20170824</v>
      </c>
      <c r="D238" t="str">
        <f>"0.000"</f>
        <v>0.000</v>
      </c>
      <c r="E238" t="str">
        <f>"1.00"</f>
        <v>1.00</v>
      </c>
      <c r="F238" t="str">
        <f>"0.00"</f>
        <v>0.00</v>
      </c>
      <c r="G238" t="str">
        <f>"3081.20"</f>
        <v>3081.20</v>
      </c>
      <c r="H238" t="str">
        <f>"0.00"</f>
        <v>0.00</v>
      </c>
      <c r="I238" t="str">
        <f>"87"</f>
        <v>87</v>
      </c>
      <c r="J238" t="str">
        <f>"申购配号(建研配号)"</f>
        <v>申购配号(建研配号)</v>
      </c>
      <c r="K238" t="str">
        <f t="shared" ref="K238:N239" si="92">"0.00"</f>
        <v>0.00</v>
      </c>
      <c r="L238" t="str">
        <f t="shared" si="92"/>
        <v>0.00</v>
      </c>
      <c r="M238" t="str">
        <f t="shared" si="92"/>
        <v>0.00</v>
      </c>
      <c r="N238" t="str">
        <f t="shared" si="92"/>
        <v>0.00</v>
      </c>
      <c r="O238" t="str">
        <f>"736183"</f>
        <v>736183</v>
      </c>
      <c r="P238" t="str">
        <f>"A400948245"</f>
        <v>A400948245</v>
      </c>
    </row>
    <row r="239" spans="1:16" x14ac:dyDescent="0.25">
      <c r="A239" t="str">
        <f t="shared" si="81"/>
        <v>人民币</v>
      </c>
      <c r="B239" t="str">
        <f>"众源配号"</f>
        <v>众源配号</v>
      </c>
      <c r="C239" t="str">
        <f>"20170824"</f>
        <v>20170824</v>
      </c>
      <c r="D239" t="str">
        <f>"0.000"</f>
        <v>0.000</v>
      </c>
      <c r="E239" t="str">
        <f>"1.00"</f>
        <v>1.00</v>
      </c>
      <c r="F239" t="str">
        <f>"0.00"</f>
        <v>0.00</v>
      </c>
      <c r="G239" t="str">
        <f>"3081.20"</f>
        <v>3081.20</v>
      </c>
      <c r="H239" t="str">
        <f>"0.00"</f>
        <v>0.00</v>
      </c>
      <c r="I239" t="str">
        <f>"89"</f>
        <v>89</v>
      </c>
      <c r="J239" t="str">
        <f>"申购配号(众源配号)"</f>
        <v>申购配号(众源配号)</v>
      </c>
      <c r="K239" t="str">
        <f t="shared" si="92"/>
        <v>0.00</v>
      </c>
      <c r="L239" t="str">
        <f t="shared" si="92"/>
        <v>0.00</v>
      </c>
      <c r="M239" t="str">
        <f t="shared" si="92"/>
        <v>0.00</v>
      </c>
      <c r="N239" t="str">
        <f t="shared" si="92"/>
        <v>0.00</v>
      </c>
      <c r="O239" t="str">
        <f>"736527"</f>
        <v>736527</v>
      </c>
      <c r="P239" t="str">
        <f>"A400948245"</f>
        <v>A400948245</v>
      </c>
    </row>
    <row r="240" spans="1:16" x14ac:dyDescent="0.25">
      <c r="A240" t="str">
        <f t="shared" si="81"/>
        <v>人民币</v>
      </c>
      <c r="B240" t="str">
        <f>"太空板业"</f>
        <v>太空板业</v>
      </c>
      <c r="C240" t="str">
        <f>"20170824"</f>
        <v>20170824</v>
      </c>
      <c r="D240" t="str">
        <f>"14.280"</f>
        <v>14.280</v>
      </c>
      <c r="E240" t="str">
        <f>"200.00"</f>
        <v>200.00</v>
      </c>
      <c r="F240" t="str">
        <f>"-2861.00"</f>
        <v>-2861.00</v>
      </c>
      <c r="G240" t="str">
        <f>"220.20"</f>
        <v>220.20</v>
      </c>
      <c r="H240" t="str">
        <f>"400.00"</f>
        <v>400.00</v>
      </c>
      <c r="I240" t="str">
        <f>"94"</f>
        <v>94</v>
      </c>
      <c r="J240" t="str">
        <f>"证券买入(太空板业)"</f>
        <v>证券买入(太空板业)</v>
      </c>
      <c r="K240" t="str">
        <f>"5.00"</f>
        <v>5.00</v>
      </c>
      <c r="L240" t="str">
        <f t="shared" ref="L240:N241" si="93">"0.00"</f>
        <v>0.00</v>
      </c>
      <c r="M240" t="str">
        <f t="shared" si="93"/>
        <v>0.00</v>
      </c>
      <c r="N240" t="str">
        <f t="shared" si="93"/>
        <v>0.00</v>
      </c>
      <c r="O240" t="str">
        <f>"300344"</f>
        <v>300344</v>
      </c>
      <c r="P240" t="str">
        <f>"0153613480"</f>
        <v>0153613480</v>
      </c>
    </row>
    <row r="241" spans="1:16" x14ac:dyDescent="0.25">
      <c r="A241" t="str">
        <f t="shared" si="81"/>
        <v>人民币</v>
      </c>
      <c r="B241" t="str">
        <f>"电工合金"</f>
        <v>电工合金</v>
      </c>
      <c r="C241" t="str">
        <f>"20170824"</f>
        <v>20170824</v>
      </c>
      <c r="D241" t="str">
        <f>"0.000"</f>
        <v>0.000</v>
      </c>
      <c r="E241" t="str">
        <f>"6.00"</f>
        <v>6.00</v>
      </c>
      <c r="F241" t="str">
        <f>"0.00"</f>
        <v>0.00</v>
      </c>
      <c r="G241" t="str">
        <f>"220.20"</f>
        <v>220.20</v>
      </c>
      <c r="H241" t="str">
        <f>"0.00"</f>
        <v>0.00</v>
      </c>
      <c r="I241" t="str">
        <f>"91"</f>
        <v>91</v>
      </c>
      <c r="J241" t="str">
        <f>"申购配号(电工合金)"</f>
        <v>申购配号(电工合金)</v>
      </c>
      <c r="K241" t="str">
        <f>"0.00"</f>
        <v>0.00</v>
      </c>
      <c r="L241" t="str">
        <f t="shared" si="93"/>
        <v>0.00</v>
      </c>
      <c r="M241" t="str">
        <f t="shared" si="93"/>
        <v>0.00</v>
      </c>
      <c r="N241" t="str">
        <f t="shared" si="93"/>
        <v>0.00</v>
      </c>
      <c r="O241" t="str">
        <f>"300697"</f>
        <v>300697</v>
      </c>
      <c r="P241" t="str">
        <f>"0153613480"</f>
        <v>0153613480</v>
      </c>
    </row>
    <row r="242" spans="1:16" x14ac:dyDescent="0.25">
      <c r="A242" t="str">
        <f t="shared" si="81"/>
        <v>人民币</v>
      </c>
      <c r="B242" t="str">
        <f>" "</f>
        <v xml:space="preserve"> </v>
      </c>
      <c r="C242" t="str">
        <f>"20170825"</f>
        <v>20170825</v>
      </c>
      <c r="D242" t="str">
        <f>"---"</f>
        <v>---</v>
      </c>
      <c r="E242" t="str">
        <f>"---"</f>
        <v>---</v>
      </c>
      <c r="F242" t="str">
        <f>"8000.00"</f>
        <v>8000.00</v>
      </c>
      <c r="G242" t="str">
        <f>"8220.20"</f>
        <v>8220.20</v>
      </c>
      <c r="H242" t="str">
        <f>"---"</f>
        <v>---</v>
      </c>
      <c r="I242" t="str">
        <f>"---"</f>
        <v>---</v>
      </c>
      <c r="J242" t="str">
        <f>"银行转存"</f>
        <v>银行转存</v>
      </c>
      <c r="K242" t="str">
        <f t="shared" ref="K242:P242" si="94">"---"</f>
        <v>---</v>
      </c>
      <c r="L242" t="str">
        <f t="shared" si="94"/>
        <v>---</v>
      </c>
      <c r="M242" t="str">
        <f t="shared" si="94"/>
        <v>---</v>
      </c>
      <c r="N242" t="str">
        <f t="shared" si="94"/>
        <v>---</v>
      </c>
      <c r="O242" t="str">
        <f t="shared" si="94"/>
        <v>---</v>
      </c>
      <c r="P242" t="str">
        <f t="shared" si="94"/>
        <v>---</v>
      </c>
    </row>
    <row r="243" spans="1:16" x14ac:dyDescent="0.25">
      <c r="A243" t="str">
        <f t="shared" si="81"/>
        <v>人民币</v>
      </c>
      <c r="B243" t="str">
        <f>"北方稀土"</f>
        <v>北方稀土</v>
      </c>
      <c r="C243" t="str">
        <f>"20170825"</f>
        <v>20170825</v>
      </c>
      <c r="D243" t="str">
        <f>"17.720"</f>
        <v>17.720</v>
      </c>
      <c r="E243" t="str">
        <f>"100.00"</f>
        <v>100.00</v>
      </c>
      <c r="F243" t="str">
        <f>"-1777.04"</f>
        <v>-1777.04</v>
      </c>
      <c r="G243" t="str">
        <f>"6443.16"</f>
        <v>6443.16</v>
      </c>
      <c r="H243" t="str">
        <f>"900.00"</f>
        <v>900.00</v>
      </c>
      <c r="I243" t="str">
        <f>"102"</f>
        <v>102</v>
      </c>
      <c r="J243" t="str">
        <f>"证券买入(北方稀土)"</f>
        <v>证券买入(北方稀土)</v>
      </c>
      <c r="K243" t="str">
        <f>"5.00"</f>
        <v>5.00</v>
      </c>
      <c r="L243" t="str">
        <f>"0.00"</f>
        <v>0.00</v>
      </c>
      <c r="M243" t="str">
        <f>"0.04"</f>
        <v>0.04</v>
      </c>
      <c r="N243" t="str">
        <f>"0.00"</f>
        <v>0.00</v>
      </c>
      <c r="O243" t="str">
        <f>"600111"</f>
        <v>600111</v>
      </c>
      <c r="P243" t="str">
        <f>"A400948245"</f>
        <v>A400948245</v>
      </c>
    </row>
    <row r="244" spans="1:16" x14ac:dyDescent="0.25">
      <c r="A244" t="str">
        <f t="shared" si="81"/>
        <v>人民币</v>
      </c>
      <c r="B244" t="str">
        <f>"北方稀土"</f>
        <v>北方稀土</v>
      </c>
      <c r="C244" t="str">
        <f>"20170825"</f>
        <v>20170825</v>
      </c>
      <c r="D244" t="str">
        <f>"17.660"</f>
        <v>17.660</v>
      </c>
      <c r="E244" t="str">
        <f>"100.00"</f>
        <v>100.00</v>
      </c>
      <c r="F244" t="str">
        <f>"-1771.04"</f>
        <v>-1771.04</v>
      </c>
      <c r="G244" t="str">
        <f>"4672.12"</f>
        <v>4672.12</v>
      </c>
      <c r="H244" t="str">
        <f>"1000.00"</f>
        <v>1000.00</v>
      </c>
      <c r="I244" t="str">
        <f>"105"</f>
        <v>105</v>
      </c>
      <c r="J244" t="str">
        <f>"证券买入(北方稀土)"</f>
        <v>证券买入(北方稀土)</v>
      </c>
      <c r="K244" t="str">
        <f>"5.00"</f>
        <v>5.00</v>
      </c>
      <c r="L244" t="str">
        <f>"0.00"</f>
        <v>0.00</v>
      </c>
      <c r="M244" t="str">
        <f>"0.04"</f>
        <v>0.04</v>
      </c>
      <c r="N244" t="str">
        <f>"0.00"</f>
        <v>0.00</v>
      </c>
      <c r="O244" t="str">
        <f>"600111"</f>
        <v>600111</v>
      </c>
      <c r="P244" t="str">
        <f>"A400948245"</f>
        <v>A400948245</v>
      </c>
    </row>
    <row r="245" spans="1:16" x14ac:dyDescent="0.25">
      <c r="A245" t="str">
        <f t="shared" si="81"/>
        <v>人民币</v>
      </c>
      <c r="B245" t="str">
        <f>"太空板业"</f>
        <v>太空板业</v>
      </c>
      <c r="C245" t="str">
        <f>"20170825"</f>
        <v>20170825</v>
      </c>
      <c r="D245" t="str">
        <f>"14.610"</f>
        <v>14.610</v>
      </c>
      <c r="E245" t="str">
        <f>"-400.00"</f>
        <v>-400.00</v>
      </c>
      <c r="F245" t="str">
        <f>"5833.16"</f>
        <v>5833.16</v>
      </c>
      <c r="G245" t="str">
        <f>"10505.28"</f>
        <v>10505.28</v>
      </c>
      <c r="H245" t="str">
        <f>"0.00"</f>
        <v>0.00</v>
      </c>
      <c r="I245" t="str">
        <f>"111"</f>
        <v>111</v>
      </c>
      <c r="J245" t="str">
        <f>"证券卖出(太空板业)"</f>
        <v>证券卖出(太空板业)</v>
      </c>
      <c r="K245" t="str">
        <f>"5.00"</f>
        <v>5.00</v>
      </c>
      <c r="L245" t="str">
        <f>"5.84"</f>
        <v>5.84</v>
      </c>
      <c r="M245" t="str">
        <f>"0.00"</f>
        <v>0.00</v>
      </c>
      <c r="N245" t="str">
        <f>"0.00"</f>
        <v>0.00</v>
      </c>
      <c r="O245" t="str">
        <f>"300344"</f>
        <v>300344</v>
      </c>
      <c r="P245" t="str">
        <f>"0153613480"</f>
        <v>0153613480</v>
      </c>
    </row>
    <row r="246" spans="1:16" x14ac:dyDescent="0.25">
      <c r="A246" t="str">
        <f t="shared" si="81"/>
        <v>人民币</v>
      </c>
      <c r="B246" t="str">
        <f>" "</f>
        <v xml:space="preserve"> </v>
      </c>
      <c r="C246" t="str">
        <f>"20170828"</f>
        <v>20170828</v>
      </c>
      <c r="D246" t="str">
        <f>"---"</f>
        <v>---</v>
      </c>
      <c r="E246" t="str">
        <f>"---"</f>
        <v>---</v>
      </c>
      <c r="F246" t="str">
        <f>"-10000.00"</f>
        <v>-10000.00</v>
      </c>
      <c r="G246" t="str">
        <f>"505.28"</f>
        <v>505.28</v>
      </c>
      <c r="H246" t="str">
        <f>"---"</f>
        <v>---</v>
      </c>
      <c r="I246" t="str">
        <f>"---"</f>
        <v>---</v>
      </c>
      <c r="J246" t="str">
        <f>"银行转取"</f>
        <v>银行转取</v>
      </c>
      <c r="K246" t="str">
        <f t="shared" ref="K246:P246" si="95">"---"</f>
        <v>---</v>
      </c>
      <c r="L246" t="str">
        <f t="shared" si="95"/>
        <v>---</v>
      </c>
      <c r="M246" t="str">
        <f t="shared" si="95"/>
        <v>---</v>
      </c>
      <c r="N246" t="str">
        <f t="shared" si="95"/>
        <v>---</v>
      </c>
      <c r="O246" t="str">
        <f t="shared" si="95"/>
        <v>---</v>
      </c>
      <c r="P246" t="str">
        <f t="shared" si="95"/>
        <v>---</v>
      </c>
    </row>
    <row r="247" spans="1:16" x14ac:dyDescent="0.25">
      <c r="A247" t="str">
        <f t="shared" si="81"/>
        <v>人民币</v>
      </c>
      <c r="B247" t="str">
        <f>"兆丰股份"</f>
        <v>兆丰股份</v>
      </c>
      <c r="C247" t="str">
        <f>"20170828"</f>
        <v>20170828</v>
      </c>
      <c r="D247" t="str">
        <f>"0.000"</f>
        <v>0.000</v>
      </c>
      <c r="E247" t="str">
        <f>"5.00"</f>
        <v>5.00</v>
      </c>
      <c r="F247" t="str">
        <f>"0.00"</f>
        <v>0.00</v>
      </c>
      <c r="G247" t="str">
        <f>"505.28"</f>
        <v>505.28</v>
      </c>
      <c r="H247" t="str">
        <f>"0.00"</f>
        <v>0.00</v>
      </c>
      <c r="I247" t="str">
        <f>"117"</f>
        <v>117</v>
      </c>
      <c r="J247" t="str">
        <f>"申购配号(兆丰股份)"</f>
        <v>申购配号(兆丰股份)</v>
      </c>
      <c r="K247" t="str">
        <f t="shared" ref="K247:N250" si="96">"0.00"</f>
        <v>0.00</v>
      </c>
      <c r="L247" t="str">
        <f t="shared" si="96"/>
        <v>0.00</v>
      </c>
      <c r="M247" t="str">
        <f t="shared" si="96"/>
        <v>0.00</v>
      </c>
      <c r="N247" t="str">
        <f t="shared" si="96"/>
        <v>0.00</v>
      </c>
      <c r="O247" t="str">
        <f>"300695"</f>
        <v>300695</v>
      </c>
      <c r="P247" t="str">
        <f>"0153613480"</f>
        <v>0153613480</v>
      </c>
    </row>
    <row r="248" spans="1:16" x14ac:dyDescent="0.25">
      <c r="A248" t="str">
        <f t="shared" si="81"/>
        <v>人民币</v>
      </c>
      <c r="B248" t="str">
        <f>"金域配号"</f>
        <v>金域配号</v>
      </c>
      <c r="C248" t="str">
        <f>"20170829"</f>
        <v>20170829</v>
      </c>
      <c r="D248" t="str">
        <f>"0.000"</f>
        <v>0.000</v>
      </c>
      <c r="E248" t="str">
        <f>"1.00"</f>
        <v>1.00</v>
      </c>
      <c r="F248" t="str">
        <f>"0.00"</f>
        <v>0.00</v>
      </c>
      <c r="G248" t="str">
        <f>"505.28"</f>
        <v>505.28</v>
      </c>
      <c r="H248" t="str">
        <f>"0.00"</f>
        <v>0.00</v>
      </c>
      <c r="I248" t="str">
        <f>"121"</f>
        <v>121</v>
      </c>
      <c r="J248" t="str">
        <f>"申购配号(金域配号)"</f>
        <v>申购配号(金域配号)</v>
      </c>
      <c r="K248" t="str">
        <f t="shared" si="96"/>
        <v>0.00</v>
      </c>
      <c r="L248" t="str">
        <f t="shared" si="96"/>
        <v>0.00</v>
      </c>
      <c r="M248" t="str">
        <f t="shared" si="96"/>
        <v>0.00</v>
      </c>
      <c r="N248" t="str">
        <f t="shared" si="96"/>
        <v>0.00</v>
      </c>
      <c r="O248" t="str">
        <f>"736882"</f>
        <v>736882</v>
      </c>
      <c r="P248" t="str">
        <f>"A400948245"</f>
        <v>A400948245</v>
      </c>
    </row>
    <row r="249" spans="1:16" x14ac:dyDescent="0.25">
      <c r="A249" t="str">
        <f t="shared" si="81"/>
        <v>人民币</v>
      </c>
      <c r="B249" t="str">
        <f>"意华股份"</f>
        <v>意华股份</v>
      </c>
      <c r="C249" t="str">
        <f>"20170829"</f>
        <v>20170829</v>
      </c>
      <c r="D249" t="str">
        <f>"0.000"</f>
        <v>0.000</v>
      </c>
      <c r="E249" t="str">
        <f>"5.00"</f>
        <v>5.00</v>
      </c>
      <c r="F249" t="str">
        <f>"0.00"</f>
        <v>0.00</v>
      </c>
      <c r="G249" t="str">
        <f>"505.28"</f>
        <v>505.28</v>
      </c>
      <c r="H249" t="str">
        <f>"0.00"</f>
        <v>0.00</v>
      </c>
      <c r="I249" t="str">
        <f>"123"</f>
        <v>123</v>
      </c>
      <c r="J249" t="str">
        <f>"申购配号(意华股份)"</f>
        <v>申购配号(意华股份)</v>
      </c>
      <c r="K249" t="str">
        <f t="shared" si="96"/>
        <v>0.00</v>
      </c>
      <c r="L249" t="str">
        <f t="shared" si="96"/>
        <v>0.00</v>
      </c>
      <c r="M249" t="str">
        <f t="shared" si="96"/>
        <v>0.00</v>
      </c>
      <c r="N249" t="str">
        <f t="shared" si="96"/>
        <v>0.00</v>
      </c>
      <c r="O249" t="str">
        <f>"002897"</f>
        <v>002897</v>
      </c>
      <c r="P249" t="str">
        <f>"0153613480"</f>
        <v>0153613480</v>
      </c>
    </row>
    <row r="250" spans="1:16" x14ac:dyDescent="0.25">
      <c r="A250" t="str">
        <f t="shared" si="81"/>
        <v>人民币</v>
      </c>
      <c r="B250" t="str">
        <f>"银都配号"</f>
        <v>银都配号</v>
      </c>
      <c r="C250" t="str">
        <f t="shared" ref="C250:C256" si="97">"20170830"</f>
        <v>20170830</v>
      </c>
      <c r="D250" t="str">
        <f>"0.000"</f>
        <v>0.000</v>
      </c>
      <c r="E250" t="str">
        <f>"1.00"</f>
        <v>1.00</v>
      </c>
      <c r="F250" t="str">
        <f>"0.00"</f>
        <v>0.00</v>
      </c>
      <c r="G250" t="str">
        <f>"505.28"</f>
        <v>505.28</v>
      </c>
      <c r="H250" t="str">
        <f>"0.00"</f>
        <v>0.00</v>
      </c>
      <c r="I250" t="str">
        <f>"127"</f>
        <v>127</v>
      </c>
      <c r="J250" t="str">
        <f>"申购配号(银都配号)"</f>
        <v>申购配号(银都配号)</v>
      </c>
      <c r="K250" t="str">
        <f t="shared" si="96"/>
        <v>0.00</v>
      </c>
      <c r="L250" t="str">
        <f t="shared" si="96"/>
        <v>0.00</v>
      </c>
      <c r="M250" t="str">
        <f t="shared" si="96"/>
        <v>0.00</v>
      </c>
      <c r="N250" t="str">
        <f t="shared" si="96"/>
        <v>0.00</v>
      </c>
      <c r="O250" t="str">
        <f>"736277"</f>
        <v>736277</v>
      </c>
      <c r="P250" t="str">
        <f>"A400948245"</f>
        <v>A400948245</v>
      </c>
    </row>
    <row r="251" spans="1:16" x14ac:dyDescent="0.25">
      <c r="A251" t="str">
        <f t="shared" si="81"/>
        <v>人民币</v>
      </c>
      <c r="B251" t="str">
        <f>"银龙股份"</f>
        <v>银龙股份</v>
      </c>
      <c r="C251" t="str">
        <f t="shared" si="97"/>
        <v>20170830</v>
      </c>
      <c r="D251" t="str">
        <f>"19.900"</f>
        <v>19.900</v>
      </c>
      <c r="E251" t="str">
        <f>"-300.00"</f>
        <v>-300.00</v>
      </c>
      <c r="F251" t="str">
        <f>"5958.91"</f>
        <v>5958.91</v>
      </c>
      <c r="G251" t="str">
        <f>"6464.19"</f>
        <v>6464.19</v>
      </c>
      <c r="H251" t="str">
        <f>"400.00"</f>
        <v>400.00</v>
      </c>
      <c r="I251" t="str">
        <f>"131"</f>
        <v>131</v>
      </c>
      <c r="J251" t="str">
        <f>"证券卖出(银龙股份)"</f>
        <v>证券卖出(银龙股份)</v>
      </c>
      <c r="K251" t="str">
        <f>"5.00"</f>
        <v>5.00</v>
      </c>
      <c r="L251" t="str">
        <f>"5.97"</f>
        <v>5.97</v>
      </c>
      <c r="M251" t="str">
        <f>"0.12"</f>
        <v>0.12</v>
      </c>
      <c r="N251" t="str">
        <f t="shared" ref="N251:N256" si="98">"0.00"</f>
        <v>0.00</v>
      </c>
      <c r="O251" t="str">
        <f>"603969"</f>
        <v>603969</v>
      </c>
      <c r="P251" t="str">
        <f>"A400948245"</f>
        <v>A400948245</v>
      </c>
    </row>
    <row r="252" spans="1:16" x14ac:dyDescent="0.25">
      <c r="A252" t="str">
        <f t="shared" si="81"/>
        <v>人民币</v>
      </c>
      <c r="B252" t="str">
        <f>"银龙股份"</f>
        <v>银龙股份</v>
      </c>
      <c r="C252" t="str">
        <f t="shared" si="97"/>
        <v>20170830</v>
      </c>
      <c r="D252" t="str">
        <f>"19.900"</f>
        <v>19.900</v>
      </c>
      <c r="E252" t="str">
        <f>"-200.00"</f>
        <v>-200.00</v>
      </c>
      <c r="F252" t="str">
        <f>"3970.94"</f>
        <v>3970.94</v>
      </c>
      <c r="G252" t="str">
        <f>"10435.13"</f>
        <v>10435.13</v>
      </c>
      <c r="H252" t="str">
        <f>"200.00"</f>
        <v>200.00</v>
      </c>
      <c r="I252" t="str">
        <f>"136"</f>
        <v>136</v>
      </c>
      <c r="J252" t="str">
        <f>"证券卖出(银龙股份)"</f>
        <v>证券卖出(银龙股份)</v>
      </c>
      <c r="K252" t="str">
        <f>"5.00"</f>
        <v>5.00</v>
      </c>
      <c r="L252" t="str">
        <f>"3.98"</f>
        <v>3.98</v>
      </c>
      <c r="M252" t="str">
        <f>"0.08"</f>
        <v>0.08</v>
      </c>
      <c r="N252" t="str">
        <f t="shared" si="98"/>
        <v>0.00</v>
      </c>
      <c r="O252" t="str">
        <f>"603969"</f>
        <v>603969</v>
      </c>
      <c r="P252" t="str">
        <f>"A400948245"</f>
        <v>A400948245</v>
      </c>
    </row>
    <row r="253" spans="1:16" x14ac:dyDescent="0.25">
      <c r="A253" t="str">
        <f t="shared" si="81"/>
        <v>人民币</v>
      </c>
      <c r="B253" t="str">
        <f>"银龙股份"</f>
        <v>银龙股份</v>
      </c>
      <c r="C253" t="str">
        <f t="shared" si="97"/>
        <v>20170830</v>
      </c>
      <c r="D253" t="str">
        <f>"19.910"</f>
        <v>19.910</v>
      </c>
      <c r="E253" t="str">
        <f>"-200.00"</f>
        <v>-200.00</v>
      </c>
      <c r="F253" t="str">
        <f>"3972.94"</f>
        <v>3972.94</v>
      </c>
      <c r="G253" t="str">
        <f>"14408.07"</f>
        <v>14408.07</v>
      </c>
      <c r="H253" t="str">
        <f>"0.00"</f>
        <v>0.00</v>
      </c>
      <c r="I253" t="str">
        <f>"140"</f>
        <v>140</v>
      </c>
      <c r="J253" t="str">
        <f>"证券卖出(银龙股份)"</f>
        <v>证券卖出(银龙股份)</v>
      </c>
      <c r="K253" t="str">
        <f>"5.00"</f>
        <v>5.00</v>
      </c>
      <c r="L253" t="str">
        <f>"3.98"</f>
        <v>3.98</v>
      </c>
      <c r="M253" t="str">
        <f>"0.08"</f>
        <v>0.08</v>
      </c>
      <c r="N253" t="str">
        <f t="shared" si="98"/>
        <v>0.00</v>
      </c>
      <c r="O253" t="str">
        <f>"603969"</f>
        <v>603969</v>
      </c>
      <c r="P253" t="str">
        <f>"A400948245"</f>
        <v>A400948245</v>
      </c>
    </row>
    <row r="254" spans="1:16" x14ac:dyDescent="0.25">
      <c r="A254" t="str">
        <f t="shared" si="81"/>
        <v>人民币</v>
      </c>
      <c r="B254" t="str">
        <f>"西部建设"</f>
        <v>西部建设</v>
      </c>
      <c r="C254" t="str">
        <f t="shared" si="97"/>
        <v>20170830</v>
      </c>
      <c r="D254" t="str">
        <f>"21.810"</f>
        <v>21.810</v>
      </c>
      <c r="E254" t="str">
        <f>"200.00"</f>
        <v>200.00</v>
      </c>
      <c r="F254" t="str">
        <f>"-4367.00"</f>
        <v>-4367.00</v>
      </c>
      <c r="G254" t="str">
        <f>"10041.07"</f>
        <v>10041.07</v>
      </c>
      <c r="H254" t="str">
        <f>"200.00"</f>
        <v>200.00</v>
      </c>
      <c r="I254" t="str">
        <f>"143"</f>
        <v>143</v>
      </c>
      <c r="J254" t="str">
        <f>"证券买入(西部建设)"</f>
        <v>证券买入(西部建设)</v>
      </c>
      <c r="K254" t="str">
        <f>"5.00"</f>
        <v>5.00</v>
      </c>
      <c r="L254" t="str">
        <f t="shared" ref="L254:M256" si="99">"0.00"</f>
        <v>0.00</v>
      </c>
      <c r="M254" t="str">
        <f t="shared" si="99"/>
        <v>0.00</v>
      </c>
      <c r="N254" t="str">
        <f t="shared" si="98"/>
        <v>0.00</v>
      </c>
      <c r="O254" t="str">
        <f>"002302"</f>
        <v>002302</v>
      </c>
      <c r="P254" t="str">
        <f>"0153613480"</f>
        <v>0153613480</v>
      </c>
    </row>
    <row r="255" spans="1:16" x14ac:dyDescent="0.25">
      <c r="A255" t="str">
        <f t="shared" si="81"/>
        <v>人民币</v>
      </c>
      <c r="B255" t="str">
        <f>"西部建设"</f>
        <v>西部建设</v>
      </c>
      <c r="C255" t="str">
        <f t="shared" si="97"/>
        <v>20170830</v>
      </c>
      <c r="D255" t="str">
        <f>"21.760"</f>
        <v>21.760</v>
      </c>
      <c r="E255" t="str">
        <f>"200.00"</f>
        <v>200.00</v>
      </c>
      <c r="F255" t="str">
        <f>"-4357.00"</f>
        <v>-4357.00</v>
      </c>
      <c r="G255" t="str">
        <f>"5684.07"</f>
        <v>5684.07</v>
      </c>
      <c r="H255" t="str">
        <f>"400.00"</f>
        <v>400.00</v>
      </c>
      <c r="I255" t="str">
        <f>"146"</f>
        <v>146</v>
      </c>
      <c r="J255" t="str">
        <f>"证券买入(西部建设)"</f>
        <v>证券买入(西部建设)</v>
      </c>
      <c r="K255" t="str">
        <f>"5.00"</f>
        <v>5.00</v>
      </c>
      <c r="L255" t="str">
        <f t="shared" si="99"/>
        <v>0.00</v>
      </c>
      <c r="M255" t="str">
        <f t="shared" si="99"/>
        <v>0.00</v>
      </c>
      <c r="N255" t="str">
        <f t="shared" si="98"/>
        <v>0.00</v>
      </c>
      <c r="O255" t="str">
        <f>"002302"</f>
        <v>002302</v>
      </c>
      <c r="P255" t="str">
        <f>"0153613480"</f>
        <v>0153613480</v>
      </c>
    </row>
    <row r="256" spans="1:16" x14ac:dyDescent="0.25">
      <c r="A256" t="str">
        <f t="shared" si="81"/>
        <v>人民币</v>
      </c>
      <c r="B256" t="str">
        <f>"赛隆药业"</f>
        <v>赛隆药业</v>
      </c>
      <c r="C256" t="str">
        <f t="shared" si="97"/>
        <v>20170830</v>
      </c>
      <c r="D256" t="str">
        <f>"0.000"</f>
        <v>0.000</v>
      </c>
      <c r="E256" t="str">
        <f>"5.00"</f>
        <v>5.00</v>
      </c>
      <c r="F256" t="str">
        <f>"0.00"</f>
        <v>0.00</v>
      </c>
      <c r="G256" t="str">
        <f>"5684.07"</f>
        <v>5684.07</v>
      </c>
      <c r="H256" t="str">
        <f>"0.00"</f>
        <v>0.00</v>
      </c>
      <c r="I256" t="str">
        <f>"129"</f>
        <v>129</v>
      </c>
      <c r="J256" t="str">
        <f>"申购配号(赛隆药业)"</f>
        <v>申购配号(赛隆药业)</v>
      </c>
      <c r="K256" t="str">
        <f>"0.00"</f>
        <v>0.00</v>
      </c>
      <c r="L256" t="str">
        <f t="shared" si="99"/>
        <v>0.00</v>
      </c>
      <c r="M256" t="str">
        <f t="shared" si="99"/>
        <v>0.00</v>
      </c>
      <c r="N256" t="str">
        <f t="shared" si="98"/>
        <v>0.00</v>
      </c>
      <c r="O256" t="str">
        <f>"002898"</f>
        <v>002898</v>
      </c>
      <c r="P256" t="str">
        <f>"0153613480"</f>
        <v>0153613480</v>
      </c>
    </row>
    <row r="257" spans="1:16" x14ac:dyDescent="0.25">
      <c r="A257" t="str">
        <f t="shared" si="81"/>
        <v>人民币</v>
      </c>
      <c r="B257" t="str">
        <f>" "</f>
        <v xml:space="preserve"> </v>
      </c>
      <c r="C257" t="str">
        <f>"20170901"</f>
        <v>20170901</v>
      </c>
      <c r="D257" t="str">
        <f>"---"</f>
        <v>---</v>
      </c>
      <c r="E257" t="str">
        <f>"---"</f>
        <v>---</v>
      </c>
      <c r="F257" t="str">
        <f>"-1356.00"</f>
        <v>-1356.00</v>
      </c>
      <c r="G257" t="str">
        <f>"4328.07"</f>
        <v>4328.07</v>
      </c>
      <c r="H257" t="str">
        <f>"---"</f>
        <v>---</v>
      </c>
      <c r="I257" t="str">
        <f>"---"</f>
        <v>---</v>
      </c>
      <c r="J257" t="str">
        <f>"银行转取"</f>
        <v>银行转取</v>
      </c>
      <c r="K257" t="str">
        <f t="shared" ref="K257:P257" si="100">"---"</f>
        <v>---</v>
      </c>
      <c r="L257" t="str">
        <f t="shared" si="100"/>
        <v>---</v>
      </c>
      <c r="M257" t="str">
        <f t="shared" si="100"/>
        <v>---</v>
      </c>
      <c r="N257" t="str">
        <f t="shared" si="100"/>
        <v>---</v>
      </c>
      <c r="O257" t="str">
        <f t="shared" si="100"/>
        <v>---</v>
      </c>
      <c r="P257" t="str">
        <f t="shared" si="100"/>
        <v>---</v>
      </c>
    </row>
    <row r="258" spans="1:16" x14ac:dyDescent="0.25">
      <c r="A258" t="str">
        <f t="shared" ref="A258:A321" si="101">"人民币"</f>
        <v>人民币</v>
      </c>
      <c r="B258" t="str">
        <f>"畅联配号"</f>
        <v>畅联配号</v>
      </c>
      <c r="C258" t="str">
        <f>"20170901"</f>
        <v>20170901</v>
      </c>
      <c r="D258" t="str">
        <f>"0.000"</f>
        <v>0.000</v>
      </c>
      <c r="E258" t="str">
        <f>"1.00"</f>
        <v>1.00</v>
      </c>
      <c r="F258" t="str">
        <f>"0.00"</f>
        <v>0.00</v>
      </c>
      <c r="G258" t="str">
        <f>"4328.07"</f>
        <v>4328.07</v>
      </c>
      <c r="H258" t="str">
        <f>"0.00"</f>
        <v>0.00</v>
      </c>
      <c r="I258" t="str">
        <f>"156"</f>
        <v>156</v>
      </c>
      <c r="J258" t="str">
        <f>"申购配号(畅联配号)"</f>
        <v>申购配号(畅联配号)</v>
      </c>
      <c r="K258" t="str">
        <f t="shared" ref="K258:N259" si="102">"0.00"</f>
        <v>0.00</v>
      </c>
      <c r="L258" t="str">
        <f t="shared" si="102"/>
        <v>0.00</v>
      </c>
      <c r="M258" t="str">
        <f t="shared" si="102"/>
        <v>0.00</v>
      </c>
      <c r="N258" t="str">
        <f t="shared" si="102"/>
        <v>0.00</v>
      </c>
      <c r="O258" t="str">
        <f>"736648"</f>
        <v>736648</v>
      </c>
      <c r="P258" t="str">
        <f>"A400948245"</f>
        <v>A400948245</v>
      </c>
    </row>
    <row r="259" spans="1:16" x14ac:dyDescent="0.25">
      <c r="A259" t="str">
        <f t="shared" si="101"/>
        <v>人民币</v>
      </c>
      <c r="B259" t="str">
        <f>"畅联配号"</f>
        <v>畅联配号</v>
      </c>
      <c r="C259" t="str">
        <f>"20170901"</f>
        <v>20170901</v>
      </c>
      <c r="D259" t="str">
        <f>"0.000"</f>
        <v>0.000</v>
      </c>
      <c r="E259" t="str">
        <f>"0.00"</f>
        <v>0.00</v>
      </c>
      <c r="F259" t="str">
        <f>"0.00"</f>
        <v>0.00</v>
      </c>
      <c r="G259" t="str">
        <f>"4328.07"</f>
        <v>4328.07</v>
      </c>
      <c r="H259" t="str">
        <f>"0.00"</f>
        <v>0.00</v>
      </c>
      <c r="I259" t="str">
        <f>"158"</f>
        <v>158</v>
      </c>
      <c r="J259" t="str">
        <f>"申购配号(畅联配号)"</f>
        <v>申购配号(畅联配号)</v>
      </c>
      <c r="K259" t="str">
        <f t="shared" si="102"/>
        <v>0.00</v>
      </c>
      <c r="L259" t="str">
        <f t="shared" si="102"/>
        <v>0.00</v>
      </c>
      <c r="M259" t="str">
        <f t="shared" si="102"/>
        <v>0.00</v>
      </c>
      <c r="N259" t="str">
        <f t="shared" si="102"/>
        <v>0.00</v>
      </c>
      <c r="O259" t="str">
        <f>"736648"</f>
        <v>736648</v>
      </c>
      <c r="P259" t="str">
        <f>"A400948245"</f>
        <v>A400948245</v>
      </c>
    </row>
    <row r="260" spans="1:16" x14ac:dyDescent="0.25">
      <c r="A260" t="str">
        <f t="shared" si="101"/>
        <v>人民币</v>
      </c>
      <c r="B260" t="str">
        <f>"西部建设"</f>
        <v>西部建设</v>
      </c>
      <c r="C260" t="str">
        <f>"20170901"</f>
        <v>20170901</v>
      </c>
      <c r="D260" t="str">
        <f>"21.610"</f>
        <v>21.610</v>
      </c>
      <c r="E260" t="str">
        <f>"200.00"</f>
        <v>200.00</v>
      </c>
      <c r="F260" t="str">
        <f>"-4327.00"</f>
        <v>-4327.00</v>
      </c>
      <c r="G260" t="str">
        <f>"1.07"</f>
        <v>1.07</v>
      </c>
      <c r="H260" t="str">
        <f>"600.00"</f>
        <v>600.00</v>
      </c>
      <c r="I260" t="str">
        <f>"160"</f>
        <v>160</v>
      </c>
      <c r="J260" t="str">
        <f>"证券买入(西部建设)"</f>
        <v>证券买入(西部建设)</v>
      </c>
      <c r="K260" t="str">
        <f>"5.00"</f>
        <v>5.00</v>
      </c>
      <c r="L260" t="str">
        <f>"0.00"</f>
        <v>0.00</v>
      </c>
      <c r="M260" t="str">
        <f>"0.00"</f>
        <v>0.00</v>
      </c>
      <c r="N260" t="str">
        <f>"0.00"</f>
        <v>0.00</v>
      </c>
      <c r="O260" t="str">
        <f>"002302"</f>
        <v>002302</v>
      </c>
      <c r="P260" t="str">
        <f>"0153613480"</f>
        <v>0153613480</v>
      </c>
    </row>
    <row r="261" spans="1:16" x14ac:dyDescent="0.25">
      <c r="A261" t="str">
        <f t="shared" si="101"/>
        <v>人民币</v>
      </c>
      <c r="B261" t="str">
        <f>"北方稀土"</f>
        <v>北方稀土</v>
      </c>
      <c r="C261" t="str">
        <f>"20170904"</f>
        <v>20170904</v>
      </c>
      <c r="D261" t="str">
        <f>"19.000"</f>
        <v>19.000</v>
      </c>
      <c r="E261" t="str">
        <f>"-500.00"</f>
        <v>-500.00</v>
      </c>
      <c r="F261" t="str">
        <f>"9485.31"</f>
        <v>9485.31</v>
      </c>
      <c r="G261" t="str">
        <f>"9486.38"</f>
        <v>9486.38</v>
      </c>
      <c r="H261" t="str">
        <f>"500.00"</f>
        <v>500.00</v>
      </c>
      <c r="I261" t="str">
        <f>"167"</f>
        <v>167</v>
      </c>
      <c r="J261" t="str">
        <f>"证券卖出(北方稀土)"</f>
        <v>证券卖出(北方稀土)</v>
      </c>
      <c r="K261" t="str">
        <f>"5.00"</f>
        <v>5.00</v>
      </c>
      <c r="L261" t="str">
        <f>"9.50"</f>
        <v>9.50</v>
      </c>
      <c r="M261" t="str">
        <f>"0.19"</f>
        <v>0.19</v>
      </c>
      <c r="N261" t="str">
        <f t="shared" ref="N261:N295" si="103">"0.00"</f>
        <v>0.00</v>
      </c>
      <c r="O261" t="str">
        <f>"600111"</f>
        <v>600111</v>
      </c>
      <c r="P261" t="str">
        <f>"A400948245"</f>
        <v>A400948245</v>
      </c>
    </row>
    <row r="262" spans="1:16" x14ac:dyDescent="0.25">
      <c r="A262" t="str">
        <f t="shared" si="101"/>
        <v>人民币</v>
      </c>
      <c r="B262" t="str">
        <f>"北方稀土"</f>
        <v>北方稀土</v>
      </c>
      <c r="C262" t="str">
        <f>"20170904"</f>
        <v>20170904</v>
      </c>
      <c r="D262" t="str">
        <f>"19.000"</f>
        <v>19.000</v>
      </c>
      <c r="E262" t="str">
        <f>"-500.00"</f>
        <v>-500.00</v>
      </c>
      <c r="F262" t="str">
        <f>"9485.31"</f>
        <v>9485.31</v>
      </c>
      <c r="G262" t="str">
        <f>"18971.69"</f>
        <v>18971.69</v>
      </c>
      <c r="H262" t="str">
        <f>"0.00"</f>
        <v>0.00</v>
      </c>
      <c r="I262" t="str">
        <f>"170"</f>
        <v>170</v>
      </c>
      <c r="J262" t="str">
        <f>"证券卖出(北方稀土)"</f>
        <v>证券卖出(北方稀土)</v>
      </c>
      <c r="K262" t="str">
        <f>"5.00"</f>
        <v>5.00</v>
      </c>
      <c r="L262" t="str">
        <f>"9.50"</f>
        <v>9.50</v>
      </c>
      <c r="M262" t="str">
        <f>"0.19"</f>
        <v>0.19</v>
      </c>
      <c r="N262" t="str">
        <f t="shared" si="103"/>
        <v>0.00</v>
      </c>
      <c r="O262" t="str">
        <f>"600111"</f>
        <v>600111</v>
      </c>
      <c r="P262" t="str">
        <f>"A400948245"</f>
        <v>A400948245</v>
      </c>
    </row>
    <row r="263" spans="1:16" x14ac:dyDescent="0.25">
      <c r="A263" t="str">
        <f t="shared" si="101"/>
        <v>人民币</v>
      </c>
      <c r="B263" t="str">
        <f>"森霸股份"</f>
        <v>森霸股份</v>
      </c>
      <c r="C263" t="str">
        <f>"20170904"</f>
        <v>20170904</v>
      </c>
      <c r="D263" t="str">
        <f>"0.000"</f>
        <v>0.000</v>
      </c>
      <c r="E263" t="str">
        <f>"5.00"</f>
        <v>5.00</v>
      </c>
      <c r="F263" t="str">
        <f>"0.00"</f>
        <v>0.00</v>
      </c>
      <c r="G263" t="str">
        <f>"18971.69"</f>
        <v>18971.69</v>
      </c>
      <c r="H263" t="str">
        <f>"0.00"</f>
        <v>0.00</v>
      </c>
      <c r="I263" t="str">
        <f>"173"</f>
        <v>173</v>
      </c>
      <c r="J263" t="str">
        <f>"申购配号(森霸股份)"</f>
        <v>申购配号(森霸股份)</v>
      </c>
      <c r="K263" t="str">
        <f>"0.00"</f>
        <v>0.00</v>
      </c>
      <c r="L263" t="str">
        <f>"0.00"</f>
        <v>0.00</v>
      </c>
      <c r="M263" t="str">
        <f>"0.00"</f>
        <v>0.00</v>
      </c>
      <c r="N263" t="str">
        <f t="shared" si="103"/>
        <v>0.00</v>
      </c>
      <c r="O263" t="str">
        <f>"300701"</f>
        <v>300701</v>
      </c>
      <c r="P263" t="str">
        <f>"0153613480"</f>
        <v>0153613480</v>
      </c>
    </row>
    <row r="264" spans="1:16" x14ac:dyDescent="0.25">
      <c r="A264" t="str">
        <f t="shared" si="101"/>
        <v>人民币</v>
      </c>
      <c r="B264" t="str">
        <f>"初灵信息"</f>
        <v>初灵信息</v>
      </c>
      <c r="C264" t="str">
        <f>"20170905"</f>
        <v>20170905</v>
      </c>
      <c r="D264" t="str">
        <f>"17.650"</f>
        <v>17.650</v>
      </c>
      <c r="E264" t="str">
        <f>"400.00"</f>
        <v>400.00</v>
      </c>
      <c r="F264" t="str">
        <f>"-7065.00"</f>
        <v>-7065.00</v>
      </c>
      <c r="G264" t="str">
        <f>"11906.69"</f>
        <v>11906.69</v>
      </c>
      <c r="H264" t="str">
        <f>"400.00"</f>
        <v>400.00</v>
      </c>
      <c r="I264" t="str">
        <f>"180"</f>
        <v>180</v>
      </c>
      <c r="J264" t="str">
        <f>"证券买入(初灵信息)"</f>
        <v>证券买入(初灵信息)</v>
      </c>
      <c r="K264" t="str">
        <f>"5.00"</f>
        <v>5.00</v>
      </c>
      <c r="L264" t="str">
        <f t="shared" ref="L264:M268" si="104">"0.00"</f>
        <v>0.00</v>
      </c>
      <c r="M264" t="str">
        <f t="shared" si="104"/>
        <v>0.00</v>
      </c>
      <c r="N264" t="str">
        <f t="shared" si="103"/>
        <v>0.00</v>
      </c>
      <c r="O264" t="str">
        <f>"300250"</f>
        <v>300250</v>
      </c>
      <c r="P264" t="str">
        <f>"0153613480"</f>
        <v>0153613480</v>
      </c>
    </row>
    <row r="265" spans="1:16" x14ac:dyDescent="0.25">
      <c r="A265" t="str">
        <f t="shared" si="101"/>
        <v>人民币</v>
      </c>
      <c r="B265" t="str">
        <f>"西部建设"</f>
        <v>西部建设</v>
      </c>
      <c r="C265" t="str">
        <f>"20170905"</f>
        <v>20170905</v>
      </c>
      <c r="D265" t="str">
        <f>"21.400"</f>
        <v>21.400</v>
      </c>
      <c r="E265" t="str">
        <f>"200.00"</f>
        <v>200.00</v>
      </c>
      <c r="F265" t="str">
        <f>"-4285.00"</f>
        <v>-4285.00</v>
      </c>
      <c r="G265" t="str">
        <f>"7621.69"</f>
        <v>7621.69</v>
      </c>
      <c r="H265" t="str">
        <f>"800.00"</f>
        <v>800.00</v>
      </c>
      <c r="I265" t="str">
        <f>"185"</f>
        <v>185</v>
      </c>
      <c r="J265" t="str">
        <f>"证券买入(西部建设)"</f>
        <v>证券买入(西部建设)</v>
      </c>
      <c r="K265" t="str">
        <f>"5.00"</f>
        <v>5.00</v>
      </c>
      <c r="L265" t="str">
        <f t="shared" si="104"/>
        <v>0.00</v>
      </c>
      <c r="M265" t="str">
        <f t="shared" si="104"/>
        <v>0.00</v>
      </c>
      <c r="N265" t="str">
        <f t="shared" si="103"/>
        <v>0.00</v>
      </c>
      <c r="O265" t="str">
        <f>"002302"</f>
        <v>002302</v>
      </c>
      <c r="P265" t="str">
        <f>"0153613480"</f>
        <v>0153613480</v>
      </c>
    </row>
    <row r="266" spans="1:16" x14ac:dyDescent="0.25">
      <c r="A266" t="str">
        <f t="shared" si="101"/>
        <v>人民币</v>
      </c>
      <c r="B266" t="str">
        <f>"英派斯"</f>
        <v>英派斯</v>
      </c>
      <c r="C266" t="str">
        <f>"20170905"</f>
        <v>20170905</v>
      </c>
      <c r="D266" t="str">
        <f>"0.000"</f>
        <v>0.000</v>
      </c>
      <c r="E266" t="str">
        <f>"5.00"</f>
        <v>5.00</v>
      </c>
      <c r="F266" t="str">
        <f>"0.00"</f>
        <v>0.00</v>
      </c>
      <c r="G266" t="str">
        <f>"7621.69"</f>
        <v>7621.69</v>
      </c>
      <c r="H266" t="str">
        <f t="shared" ref="H266:H271" si="105">"0.00"</f>
        <v>0.00</v>
      </c>
      <c r="I266" t="str">
        <f>"178"</f>
        <v>178</v>
      </c>
      <c r="J266" t="str">
        <f>"申购配号(英派斯)"</f>
        <v>申购配号(英派斯)</v>
      </c>
      <c r="K266" t="str">
        <f>"0.00"</f>
        <v>0.00</v>
      </c>
      <c r="L266" t="str">
        <f t="shared" si="104"/>
        <v>0.00</v>
      </c>
      <c r="M266" t="str">
        <f t="shared" si="104"/>
        <v>0.00</v>
      </c>
      <c r="N266" t="str">
        <f t="shared" si="103"/>
        <v>0.00</v>
      </c>
      <c r="O266" t="str">
        <f>"002899"</f>
        <v>002899</v>
      </c>
      <c r="P266" t="str">
        <f>"0153613480"</f>
        <v>0153613480</v>
      </c>
    </row>
    <row r="267" spans="1:16" x14ac:dyDescent="0.25">
      <c r="A267" t="str">
        <f t="shared" si="101"/>
        <v>人民币</v>
      </c>
      <c r="B267" t="str">
        <f>"原尚配号"</f>
        <v>原尚配号</v>
      </c>
      <c r="C267" t="str">
        <f>"20170906"</f>
        <v>20170906</v>
      </c>
      <c r="D267" t="str">
        <f>"0.000"</f>
        <v>0.000</v>
      </c>
      <c r="E267" t="str">
        <f>"1.00"</f>
        <v>1.00</v>
      </c>
      <c r="F267" t="str">
        <f>"0.00"</f>
        <v>0.00</v>
      </c>
      <c r="G267" t="str">
        <f>"7621.69"</f>
        <v>7621.69</v>
      </c>
      <c r="H267" t="str">
        <f t="shared" si="105"/>
        <v>0.00</v>
      </c>
      <c r="I267" t="str">
        <f>"193"</f>
        <v>193</v>
      </c>
      <c r="J267" t="str">
        <f>"申购配号(原尚配号)"</f>
        <v>申购配号(原尚配号)</v>
      </c>
      <c r="K267" t="str">
        <f>"0.00"</f>
        <v>0.00</v>
      </c>
      <c r="L267" t="str">
        <f t="shared" si="104"/>
        <v>0.00</v>
      </c>
      <c r="M267" t="str">
        <f t="shared" si="104"/>
        <v>0.00</v>
      </c>
      <c r="N267" t="str">
        <f t="shared" si="103"/>
        <v>0.00</v>
      </c>
      <c r="O267" t="str">
        <f>"736813"</f>
        <v>736813</v>
      </c>
      <c r="P267" t="str">
        <f>"A400948245"</f>
        <v>A400948245</v>
      </c>
    </row>
    <row r="268" spans="1:16" x14ac:dyDescent="0.25">
      <c r="A268" t="str">
        <f t="shared" si="101"/>
        <v>人民币</v>
      </c>
      <c r="B268" t="str">
        <f>"梅轮配号"</f>
        <v>梅轮配号</v>
      </c>
      <c r="C268" t="str">
        <f>"20170906"</f>
        <v>20170906</v>
      </c>
      <c r="D268" t="str">
        <f>"0.000"</f>
        <v>0.000</v>
      </c>
      <c r="E268" t="str">
        <f>"1.00"</f>
        <v>1.00</v>
      </c>
      <c r="F268" t="str">
        <f>"0.00"</f>
        <v>0.00</v>
      </c>
      <c r="G268" t="str">
        <f>"7621.69"</f>
        <v>7621.69</v>
      </c>
      <c r="H268" t="str">
        <f t="shared" si="105"/>
        <v>0.00</v>
      </c>
      <c r="I268" t="str">
        <f>"191"</f>
        <v>191</v>
      </c>
      <c r="J268" t="str">
        <f>"申购配号(梅轮配号)"</f>
        <v>申购配号(梅轮配号)</v>
      </c>
      <c r="K268" t="str">
        <f>"0.00"</f>
        <v>0.00</v>
      </c>
      <c r="L268" t="str">
        <f t="shared" si="104"/>
        <v>0.00</v>
      </c>
      <c r="M268" t="str">
        <f t="shared" si="104"/>
        <v>0.00</v>
      </c>
      <c r="N268" t="str">
        <f t="shared" si="103"/>
        <v>0.00</v>
      </c>
      <c r="O268" t="str">
        <f>"736321"</f>
        <v>736321</v>
      </c>
      <c r="P268" t="str">
        <f>"A400948245"</f>
        <v>A400948245</v>
      </c>
    </row>
    <row r="269" spans="1:16" x14ac:dyDescent="0.25">
      <c r="A269" t="str">
        <f t="shared" si="101"/>
        <v>人民币</v>
      </c>
      <c r="B269" t="str">
        <f>"初灵信息"</f>
        <v>初灵信息</v>
      </c>
      <c r="C269" t="str">
        <f>"20170906"</f>
        <v>20170906</v>
      </c>
      <c r="D269" t="str">
        <f>"17.970"</f>
        <v>17.970</v>
      </c>
      <c r="E269" t="str">
        <f>"-400.00"</f>
        <v>-400.00</v>
      </c>
      <c r="F269" t="str">
        <f>"7175.81"</f>
        <v>7175.81</v>
      </c>
      <c r="G269" t="str">
        <f>"14797.50"</f>
        <v>14797.50</v>
      </c>
      <c r="H269" t="str">
        <f t="shared" si="105"/>
        <v>0.00</v>
      </c>
      <c r="I269" t="str">
        <f>"197"</f>
        <v>197</v>
      </c>
      <c r="J269" t="str">
        <f>"证券卖出(初灵信息)"</f>
        <v>证券卖出(初灵信息)</v>
      </c>
      <c r="K269" t="str">
        <f>"5.00"</f>
        <v>5.00</v>
      </c>
      <c r="L269" t="str">
        <f>"7.19"</f>
        <v>7.19</v>
      </c>
      <c r="M269" t="str">
        <f>"0.00"</f>
        <v>0.00</v>
      </c>
      <c r="N269" t="str">
        <f t="shared" si="103"/>
        <v>0.00</v>
      </c>
      <c r="O269" t="str">
        <f>"300250"</f>
        <v>300250</v>
      </c>
      <c r="P269" t="str">
        <f>"0153613480"</f>
        <v>0153613480</v>
      </c>
    </row>
    <row r="270" spans="1:16" x14ac:dyDescent="0.25">
      <c r="A270" t="str">
        <f t="shared" si="101"/>
        <v>人民币</v>
      </c>
      <c r="B270" t="str">
        <f>"华通热力"</f>
        <v>华通热力</v>
      </c>
      <c r="C270" t="str">
        <f>"20170906"</f>
        <v>20170906</v>
      </c>
      <c r="D270" t="str">
        <f>"0.000"</f>
        <v>0.000</v>
      </c>
      <c r="E270" t="str">
        <f>"5.00"</f>
        <v>5.00</v>
      </c>
      <c r="F270" t="str">
        <f>"0.00"</f>
        <v>0.00</v>
      </c>
      <c r="G270" t="str">
        <f>"14797.50"</f>
        <v>14797.50</v>
      </c>
      <c r="H270" t="str">
        <f t="shared" si="105"/>
        <v>0.00</v>
      </c>
      <c r="I270" t="str">
        <f>"195"</f>
        <v>195</v>
      </c>
      <c r="J270" t="str">
        <f>"申购配号(华通热力)"</f>
        <v>申购配号(华通热力)</v>
      </c>
      <c r="K270" t="str">
        <f>"0.00"</f>
        <v>0.00</v>
      </c>
      <c r="L270" t="str">
        <f>"0.00"</f>
        <v>0.00</v>
      </c>
      <c r="M270" t="str">
        <f>"0.00"</f>
        <v>0.00</v>
      </c>
      <c r="N270" t="str">
        <f t="shared" si="103"/>
        <v>0.00</v>
      </c>
      <c r="O270" t="str">
        <f>"002893"</f>
        <v>002893</v>
      </c>
      <c r="P270" t="str">
        <f>"0153613480"</f>
        <v>0153613480</v>
      </c>
    </row>
    <row r="271" spans="1:16" x14ac:dyDescent="0.25">
      <c r="A271" t="str">
        <f t="shared" si="101"/>
        <v>人民币</v>
      </c>
      <c r="B271" t="str">
        <f>"掌阅配号"</f>
        <v>掌阅配号</v>
      </c>
      <c r="C271" t="str">
        <f>"20170907"</f>
        <v>20170907</v>
      </c>
      <c r="D271" t="str">
        <f>"0.000"</f>
        <v>0.000</v>
      </c>
      <c r="E271" t="str">
        <f>"1.00"</f>
        <v>1.00</v>
      </c>
      <c r="F271" t="str">
        <f>"0.00"</f>
        <v>0.00</v>
      </c>
      <c r="G271" t="str">
        <f>"14797.50"</f>
        <v>14797.50</v>
      </c>
      <c r="H271" t="str">
        <f t="shared" si="105"/>
        <v>0.00</v>
      </c>
      <c r="I271" t="str">
        <f>"204"</f>
        <v>204</v>
      </c>
      <c r="J271" t="str">
        <f>"申购配号(掌阅配号)"</f>
        <v>申购配号(掌阅配号)</v>
      </c>
      <c r="K271" t="str">
        <f>"0.00"</f>
        <v>0.00</v>
      </c>
      <c r="L271" t="str">
        <f>"0.00"</f>
        <v>0.00</v>
      </c>
      <c r="M271" t="str">
        <f>"0.00"</f>
        <v>0.00</v>
      </c>
      <c r="N271" t="str">
        <f t="shared" si="103"/>
        <v>0.00</v>
      </c>
      <c r="O271" t="str">
        <f>"736533"</f>
        <v>736533</v>
      </c>
      <c r="P271" t="str">
        <f>"A400948245"</f>
        <v>A400948245</v>
      </c>
    </row>
    <row r="272" spans="1:16" x14ac:dyDescent="0.25">
      <c r="A272" t="str">
        <f t="shared" si="101"/>
        <v>人民币</v>
      </c>
      <c r="B272" t="str">
        <f>"方大特钢"</f>
        <v>方大特钢</v>
      </c>
      <c r="C272" t="str">
        <f>"20170907"</f>
        <v>20170907</v>
      </c>
      <c r="D272" t="str">
        <f>"14.350"</f>
        <v>14.350</v>
      </c>
      <c r="E272" t="str">
        <f>"400.00"</f>
        <v>400.00</v>
      </c>
      <c r="F272" t="str">
        <f>"-5745.11"</f>
        <v>-5745.11</v>
      </c>
      <c r="G272" t="str">
        <f>"9052.39"</f>
        <v>9052.39</v>
      </c>
      <c r="H272" t="str">
        <f>"400.00"</f>
        <v>400.00</v>
      </c>
      <c r="I272" t="str">
        <f>"208"</f>
        <v>208</v>
      </c>
      <c r="J272" t="str">
        <f>"证券买入(方大特钢)"</f>
        <v>证券买入(方大特钢)</v>
      </c>
      <c r="K272" t="str">
        <f>"5.00"</f>
        <v>5.00</v>
      </c>
      <c r="L272" t="str">
        <f>"0.00"</f>
        <v>0.00</v>
      </c>
      <c r="M272" t="str">
        <f>"0.11"</f>
        <v>0.11</v>
      </c>
      <c r="N272" t="str">
        <f t="shared" si="103"/>
        <v>0.00</v>
      </c>
      <c r="O272" t="str">
        <f>"600507"</f>
        <v>600507</v>
      </c>
      <c r="P272" t="str">
        <f>"A400948245"</f>
        <v>A400948245</v>
      </c>
    </row>
    <row r="273" spans="1:16" x14ac:dyDescent="0.25">
      <c r="A273" t="str">
        <f t="shared" si="101"/>
        <v>人民币</v>
      </c>
      <c r="B273" t="str">
        <f>"西部建设"</f>
        <v>西部建设</v>
      </c>
      <c r="C273" t="str">
        <f>"20170907"</f>
        <v>20170907</v>
      </c>
      <c r="D273" t="str">
        <f>"21.390"</f>
        <v>21.390</v>
      </c>
      <c r="E273" t="str">
        <f>"200.00"</f>
        <v>200.00</v>
      </c>
      <c r="F273" t="str">
        <f>"-4283.00"</f>
        <v>-4283.00</v>
      </c>
      <c r="G273" t="str">
        <f>"4769.39"</f>
        <v>4769.39</v>
      </c>
      <c r="H273" t="str">
        <f>"1000.00"</f>
        <v>1000.00</v>
      </c>
      <c r="I273" t="str">
        <f>"211"</f>
        <v>211</v>
      </c>
      <c r="J273" t="str">
        <f>"证券买入(西部建设)"</f>
        <v>证券买入(西部建设)</v>
      </c>
      <c r="K273" t="str">
        <f>"5.00"</f>
        <v>5.00</v>
      </c>
      <c r="L273" t="str">
        <f>"0.00"</f>
        <v>0.00</v>
      </c>
      <c r="M273" t="str">
        <f>"0.00"</f>
        <v>0.00</v>
      </c>
      <c r="N273" t="str">
        <f t="shared" si="103"/>
        <v>0.00</v>
      </c>
      <c r="O273" t="str">
        <f>"002302"</f>
        <v>002302</v>
      </c>
      <c r="P273" t="str">
        <f>"0153613480"</f>
        <v>0153613480</v>
      </c>
    </row>
    <row r="274" spans="1:16" x14ac:dyDescent="0.25">
      <c r="A274" t="str">
        <f t="shared" si="101"/>
        <v>人民币</v>
      </c>
      <c r="B274" t="str">
        <f>"天宇股份"</f>
        <v>天宇股份</v>
      </c>
      <c r="C274" t="str">
        <f>"20170907"</f>
        <v>20170907</v>
      </c>
      <c r="D274" t="str">
        <f>"0.000"</f>
        <v>0.000</v>
      </c>
      <c r="E274" t="str">
        <f>"5.00"</f>
        <v>5.00</v>
      </c>
      <c r="F274" t="str">
        <f>"0.00"</f>
        <v>0.00</v>
      </c>
      <c r="G274" t="str">
        <f>"4769.39"</f>
        <v>4769.39</v>
      </c>
      <c r="H274" t="str">
        <f>"0.00"</f>
        <v>0.00</v>
      </c>
      <c r="I274" t="str">
        <f>"206"</f>
        <v>206</v>
      </c>
      <c r="J274" t="str">
        <f>"申购配号(天宇股份)"</f>
        <v>申购配号(天宇股份)</v>
      </c>
      <c r="K274" t="str">
        <f>"0.00"</f>
        <v>0.00</v>
      </c>
      <c r="L274" t="str">
        <f>"0.00"</f>
        <v>0.00</v>
      </c>
      <c r="M274" t="str">
        <f>"0.00"</f>
        <v>0.00</v>
      </c>
      <c r="N274" t="str">
        <f t="shared" si="103"/>
        <v>0.00</v>
      </c>
      <c r="O274" t="str">
        <f>"300702"</f>
        <v>300702</v>
      </c>
      <c r="P274" t="str">
        <f>"0153613480"</f>
        <v>0153613480</v>
      </c>
    </row>
    <row r="275" spans="1:16" x14ac:dyDescent="0.25">
      <c r="A275" t="str">
        <f t="shared" si="101"/>
        <v>人民币</v>
      </c>
      <c r="B275" t="str">
        <f>"恒银配号"</f>
        <v>恒银配号</v>
      </c>
      <c r="C275" t="str">
        <f t="shared" ref="C275:C286" si="106">"20170908"</f>
        <v>20170908</v>
      </c>
      <c r="D275" t="str">
        <f>"0.000"</f>
        <v>0.000</v>
      </c>
      <c r="E275" t="str">
        <f>"1.00"</f>
        <v>1.00</v>
      </c>
      <c r="F275" t="str">
        <f>"0.00"</f>
        <v>0.00</v>
      </c>
      <c r="G275" t="str">
        <f>"4769.39"</f>
        <v>4769.39</v>
      </c>
      <c r="H275" t="str">
        <f>"0.00"</f>
        <v>0.00</v>
      </c>
      <c r="I275" t="str">
        <f>"220"</f>
        <v>220</v>
      </c>
      <c r="J275" t="str">
        <f>"申购配号(恒银配号)"</f>
        <v>申购配号(恒银配号)</v>
      </c>
      <c r="K275" t="str">
        <f>"0.00"</f>
        <v>0.00</v>
      </c>
      <c r="L275" t="str">
        <f>"0.00"</f>
        <v>0.00</v>
      </c>
      <c r="M275" t="str">
        <f>"0.00"</f>
        <v>0.00</v>
      </c>
      <c r="N275" t="str">
        <f t="shared" si="103"/>
        <v>0.00</v>
      </c>
      <c r="O275" t="str">
        <f>"736106"</f>
        <v>736106</v>
      </c>
      <c r="P275" t="str">
        <f t="shared" ref="P275:P285" si="107">"A400948245"</f>
        <v>A400948245</v>
      </c>
    </row>
    <row r="276" spans="1:16" x14ac:dyDescent="0.25">
      <c r="A276" t="str">
        <f t="shared" si="101"/>
        <v>人民币</v>
      </c>
      <c r="B276" t="str">
        <f>"方大特钢"</f>
        <v>方大特钢</v>
      </c>
      <c r="C276" t="str">
        <f t="shared" si="106"/>
        <v>20170908</v>
      </c>
      <c r="D276" t="str">
        <f>"15.100"</f>
        <v>15.100</v>
      </c>
      <c r="E276" t="str">
        <f>"-200.00"</f>
        <v>-200.00</v>
      </c>
      <c r="F276" t="str">
        <f>"3011.92"</f>
        <v>3011.92</v>
      </c>
      <c r="G276" t="str">
        <f>"7781.31"</f>
        <v>7781.31</v>
      </c>
      <c r="H276" t="str">
        <f>"200.00"</f>
        <v>200.00</v>
      </c>
      <c r="I276" t="str">
        <f>"237"</f>
        <v>237</v>
      </c>
      <c r="J276" t="str">
        <f>"证券卖出(方大特钢)"</f>
        <v>证券卖出(方大特钢)</v>
      </c>
      <c r="K276" t="str">
        <f>"5.00"</f>
        <v>5.00</v>
      </c>
      <c r="L276" t="str">
        <f>"3.02"</f>
        <v>3.02</v>
      </c>
      <c r="M276" t="str">
        <f>"0.06"</f>
        <v>0.06</v>
      </c>
      <c r="N276" t="str">
        <f t="shared" si="103"/>
        <v>0.00</v>
      </c>
      <c r="O276" t="str">
        <f>"600507"</f>
        <v>600507</v>
      </c>
      <c r="P276" t="str">
        <f t="shared" si="107"/>
        <v>A400948245</v>
      </c>
    </row>
    <row r="277" spans="1:16" x14ac:dyDescent="0.25">
      <c r="A277" t="str">
        <f t="shared" si="101"/>
        <v>人民币</v>
      </c>
      <c r="B277" t="str">
        <f>"方大特钢"</f>
        <v>方大特钢</v>
      </c>
      <c r="C277" t="str">
        <f t="shared" si="106"/>
        <v>20170908</v>
      </c>
      <c r="D277" t="str">
        <f>"15.100"</f>
        <v>15.100</v>
      </c>
      <c r="E277" t="str">
        <f>"-200.00"</f>
        <v>-200.00</v>
      </c>
      <c r="F277" t="str">
        <f>"3011.92"</f>
        <v>3011.92</v>
      </c>
      <c r="G277" t="str">
        <f>"10793.23"</f>
        <v>10793.23</v>
      </c>
      <c r="H277" t="str">
        <f>"0.00"</f>
        <v>0.00</v>
      </c>
      <c r="I277" t="str">
        <f>"240"</f>
        <v>240</v>
      </c>
      <c r="J277" t="str">
        <f>"证券卖出(方大特钢)"</f>
        <v>证券卖出(方大特钢)</v>
      </c>
      <c r="K277" t="str">
        <f>"5.00"</f>
        <v>5.00</v>
      </c>
      <c r="L277" t="str">
        <f>"3.02"</f>
        <v>3.02</v>
      </c>
      <c r="M277" t="str">
        <f>"0.06"</f>
        <v>0.06</v>
      </c>
      <c r="N277" t="str">
        <f t="shared" si="103"/>
        <v>0.00</v>
      </c>
      <c r="O277" t="str">
        <f>"600507"</f>
        <v>600507</v>
      </c>
      <c r="P277" t="str">
        <f t="shared" si="107"/>
        <v>A400948245</v>
      </c>
    </row>
    <row r="278" spans="1:16" x14ac:dyDescent="0.25">
      <c r="A278" t="str">
        <f t="shared" si="101"/>
        <v>人民币</v>
      </c>
      <c r="B278" t="str">
        <f>"盛和资源"</f>
        <v>盛和资源</v>
      </c>
      <c r="C278" t="str">
        <f t="shared" si="106"/>
        <v>20170908</v>
      </c>
      <c r="D278" t="str">
        <f>"25.890"</f>
        <v>25.890</v>
      </c>
      <c r="E278" t="str">
        <f>"200.00"</f>
        <v>200.00</v>
      </c>
      <c r="F278" t="str">
        <f>"-5183.10"</f>
        <v>-5183.10</v>
      </c>
      <c r="G278" t="str">
        <f>"5610.13"</f>
        <v>5610.13</v>
      </c>
      <c r="H278" t="str">
        <f>"200.00"</f>
        <v>200.00</v>
      </c>
      <c r="I278" t="str">
        <f>"243"</f>
        <v>243</v>
      </c>
      <c r="J278" t="str">
        <f>"证券买入(盛和资源)"</f>
        <v>证券买入(盛和资源)</v>
      </c>
      <c r="K278" t="str">
        <f>"5.00"</f>
        <v>5.00</v>
      </c>
      <c r="L278" t="str">
        <f t="shared" ref="L278:L286" si="108">"0.00"</f>
        <v>0.00</v>
      </c>
      <c r="M278" t="str">
        <f>"0.10"</f>
        <v>0.10</v>
      </c>
      <c r="N278" t="str">
        <f t="shared" si="103"/>
        <v>0.00</v>
      </c>
      <c r="O278" t="str">
        <f>"600392"</f>
        <v>600392</v>
      </c>
      <c r="P278" t="str">
        <f t="shared" si="107"/>
        <v>A400948245</v>
      </c>
    </row>
    <row r="279" spans="1:16" x14ac:dyDescent="0.25">
      <c r="A279" t="str">
        <f t="shared" si="101"/>
        <v>人民币</v>
      </c>
      <c r="B279" t="str">
        <f>"盛和资源"</f>
        <v>盛和资源</v>
      </c>
      <c r="C279" t="str">
        <f t="shared" si="106"/>
        <v>20170908</v>
      </c>
      <c r="D279" t="str">
        <f>"25.650"</f>
        <v>25.650</v>
      </c>
      <c r="E279" t="str">
        <f>"200.00"</f>
        <v>200.00</v>
      </c>
      <c r="F279" t="str">
        <f>"-5135.10"</f>
        <v>-5135.10</v>
      </c>
      <c r="G279" t="str">
        <f t="shared" ref="G279:G286" si="109">"475.03"</f>
        <v>475.03</v>
      </c>
      <c r="H279" t="str">
        <f>"400.00"</f>
        <v>400.00</v>
      </c>
      <c r="I279" t="str">
        <f>"258"</f>
        <v>258</v>
      </c>
      <c r="J279" t="str">
        <f>"证券买入(盛和资源)"</f>
        <v>证券买入(盛和资源)</v>
      </c>
      <c r="K279" t="str">
        <f>"5.00"</f>
        <v>5.00</v>
      </c>
      <c r="L279" t="str">
        <f t="shared" si="108"/>
        <v>0.00</v>
      </c>
      <c r="M279" t="str">
        <f>"0.10"</f>
        <v>0.10</v>
      </c>
      <c r="N279" t="str">
        <f t="shared" si="103"/>
        <v>0.00</v>
      </c>
      <c r="O279" t="str">
        <f>"600392"</f>
        <v>600392</v>
      </c>
      <c r="P279" t="str">
        <f t="shared" si="107"/>
        <v>A400948245</v>
      </c>
    </row>
    <row r="280" spans="1:16" x14ac:dyDescent="0.25">
      <c r="A280" t="str">
        <f t="shared" si="101"/>
        <v>人民币</v>
      </c>
      <c r="B280" t="str">
        <f t="shared" ref="B280:B285" si="110">"恒银配号"</f>
        <v>恒银配号</v>
      </c>
      <c r="C280" t="str">
        <f t="shared" si="106"/>
        <v>20170908</v>
      </c>
      <c r="D280" t="str">
        <f t="shared" ref="D280:D286" si="111">"0.000"</f>
        <v>0.000</v>
      </c>
      <c r="E280" t="str">
        <f t="shared" ref="E280:F285" si="112">"0.00"</f>
        <v>0.00</v>
      </c>
      <c r="F280" t="str">
        <f t="shared" si="112"/>
        <v>0.00</v>
      </c>
      <c r="G280" t="str">
        <f t="shared" si="109"/>
        <v>475.03</v>
      </c>
      <c r="H280" t="str">
        <f t="shared" ref="H280:H288" si="113">"0.00"</f>
        <v>0.00</v>
      </c>
      <c r="I280" t="str">
        <f>"224"</f>
        <v>224</v>
      </c>
      <c r="J280" t="str">
        <f t="shared" ref="J280:J285" si="114">"申购配号(恒银配号)"</f>
        <v>申购配号(恒银配号)</v>
      </c>
      <c r="K280" t="str">
        <f t="shared" ref="K280:K286" si="115">"0.00"</f>
        <v>0.00</v>
      </c>
      <c r="L280" t="str">
        <f t="shared" si="108"/>
        <v>0.00</v>
      </c>
      <c r="M280" t="str">
        <f t="shared" ref="M280:M286" si="116">"0.00"</f>
        <v>0.00</v>
      </c>
      <c r="N280" t="str">
        <f t="shared" si="103"/>
        <v>0.00</v>
      </c>
      <c r="O280" t="str">
        <f t="shared" ref="O280:O285" si="117">"736106"</f>
        <v>736106</v>
      </c>
      <c r="P280" t="str">
        <f t="shared" si="107"/>
        <v>A400948245</v>
      </c>
    </row>
    <row r="281" spans="1:16" x14ac:dyDescent="0.25">
      <c r="A281" t="str">
        <f t="shared" si="101"/>
        <v>人民币</v>
      </c>
      <c r="B281" t="str">
        <f t="shared" si="110"/>
        <v>恒银配号</v>
      </c>
      <c r="C281" t="str">
        <f t="shared" si="106"/>
        <v>20170908</v>
      </c>
      <c r="D281" t="str">
        <f t="shared" si="111"/>
        <v>0.000</v>
      </c>
      <c r="E281" t="str">
        <f t="shared" si="112"/>
        <v>0.00</v>
      </c>
      <c r="F281" t="str">
        <f t="shared" si="112"/>
        <v>0.00</v>
      </c>
      <c r="G281" t="str">
        <f t="shared" si="109"/>
        <v>475.03</v>
      </c>
      <c r="H281" t="str">
        <f t="shared" si="113"/>
        <v>0.00</v>
      </c>
      <c r="I281" t="str">
        <f>"228"</f>
        <v>228</v>
      </c>
      <c r="J281" t="str">
        <f t="shared" si="114"/>
        <v>申购配号(恒银配号)</v>
      </c>
      <c r="K281" t="str">
        <f t="shared" si="115"/>
        <v>0.00</v>
      </c>
      <c r="L281" t="str">
        <f t="shared" si="108"/>
        <v>0.00</v>
      </c>
      <c r="M281" t="str">
        <f t="shared" si="116"/>
        <v>0.00</v>
      </c>
      <c r="N281" t="str">
        <f t="shared" si="103"/>
        <v>0.00</v>
      </c>
      <c r="O281" t="str">
        <f t="shared" si="117"/>
        <v>736106</v>
      </c>
      <c r="P281" t="str">
        <f t="shared" si="107"/>
        <v>A400948245</v>
      </c>
    </row>
    <row r="282" spans="1:16" x14ac:dyDescent="0.25">
      <c r="A282" t="str">
        <f t="shared" si="101"/>
        <v>人民币</v>
      </c>
      <c r="B282" t="str">
        <f t="shared" si="110"/>
        <v>恒银配号</v>
      </c>
      <c r="C282" t="str">
        <f t="shared" si="106"/>
        <v>20170908</v>
      </c>
      <c r="D282" t="str">
        <f t="shared" si="111"/>
        <v>0.000</v>
      </c>
      <c r="E282" t="str">
        <f t="shared" si="112"/>
        <v>0.00</v>
      </c>
      <c r="F282" t="str">
        <f t="shared" si="112"/>
        <v>0.00</v>
      </c>
      <c r="G282" t="str">
        <f t="shared" si="109"/>
        <v>475.03</v>
      </c>
      <c r="H282" t="str">
        <f t="shared" si="113"/>
        <v>0.00</v>
      </c>
      <c r="I282" t="str">
        <f>"232"</f>
        <v>232</v>
      </c>
      <c r="J282" t="str">
        <f t="shared" si="114"/>
        <v>申购配号(恒银配号)</v>
      </c>
      <c r="K282" t="str">
        <f t="shared" si="115"/>
        <v>0.00</v>
      </c>
      <c r="L282" t="str">
        <f t="shared" si="108"/>
        <v>0.00</v>
      </c>
      <c r="M282" t="str">
        <f t="shared" si="116"/>
        <v>0.00</v>
      </c>
      <c r="N282" t="str">
        <f t="shared" si="103"/>
        <v>0.00</v>
      </c>
      <c r="O282" t="str">
        <f t="shared" si="117"/>
        <v>736106</v>
      </c>
      <c r="P282" t="str">
        <f t="shared" si="107"/>
        <v>A400948245</v>
      </c>
    </row>
    <row r="283" spans="1:16" x14ac:dyDescent="0.25">
      <c r="A283" t="str">
        <f t="shared" si="101"/>
        <v>人民币</v>
      </c>
      <c r="B283" t="str">
        <f t="shared" si="110"/>
        <v>恒银配号</v>
      </c>
      <c r="C283" t="str">
        <f t="shared" si="106"/>
        <v>20170908</v>
      </c>
      <c r="D283" t="str">
        <f t="shared" si="111"/>
        <v>0.000</v>
      </c>
      <c r="E283" t="str">
        <f t="shared" si="112"/>
        <v>0.00</v>
      </c>
      <c r="F283" t="str">
        <f t="shared" si="112"/>
        <v>0.00</v>
      </c>
      <c r="G283" t="str">
        <f t="shared" si="109"/>
        <v>475.03</v>
      </c>
      <c r="H283" t="str">
        <f t="shared" si="113"/>
        <v>0.00</v>
      </c>
      <c r="I283" t="str">
        <f>"246"</f>
        <v>246</v>
      </c>
      <c r="J283" t="str">
        <f t="shared" si="114"/>
        <v>申购配号(恒银配号)</v>
      </c>
      <c r="K283" t="str">
        <f t="shared" si="115"/>
        <v>0.00</v>
      </c>
      <c r="L283" t="str">
        <f t="shared" si="108"/>
        <v>0.00</v>
      </c>
      <c r="M283" t="str">
        <f t="shared" si="116"/>
        <v>0.00</v>
      </c>
      <c r="N283" t="str">
        <f t="shared" si="103"/>
        <v>0.00</v>
      </c>
      <c r="O283" t="str">
        <f t="shared" si="117"/>
        <v>736106</v>
      </c>
      <c r="P283" t="str">
        <f t="shared" si="107"/>
        <v>A400948245</v>
      </c>
    </row>
    <row r="284" spans="1:16" x14ac:dyDescent="0.25">
      <c r="A284" t="str">
        <f t="shared" si="101"/>
        <v>人民币</v>
      </c>
      <c r="B284" t="str">
        <f t="shared" si="110"/>
        <v>恒银配号</v>
      </c>
      <c r="C284" t="str">
        <f t="shared" si="106"/>
        <v>20170908</v>
      </c>
      <c r="D284" t="str">
        <f t="shared" si="111"/>
        <v>0.000</v>
      </c>
      <c r="E284" t="str">
        <f t="shared" si="112"/>
        <v>0.00</v>
      </c>
      <c r="F284" t="str">
        <f t="shared" si="112"/>
        <v>0.00</v>
      </c>
      <c r="G284" t="str">
        <f t="shared" si="109"/>
        <v>475.03</v>
      </c>
      <c r="H284" t="str">
        <f t="shared" si="113"/>
        <v>0.00</v>
      </c>
      <c r="I284" t="str">
        <f>"250"</f>
        <v>250</v>
      </c>
      <c r="J284" t="str">
        <f t="shared" si="114"/>
        <v>申购配号(恒银配号)</v>
      </c>
      <c r="K284" t="str">
        <f t="shared" si="115"/>
        <v>0.00</v>
      </c>
      <c r="L284" t="str">
        <f t="shared" si="108"/>
        <v>0.00</v>
      </c>
      <c r="M284" t="str">
        <f t="shared" si="116"/>
        <v>0.00</v>
      </c>
      <c r="N284" t="str">
        <f t="shared" si="103"/>
        <v>0.00</v>
      </c>
      <c r="O284" t="str">
        <f t="shared" si="117"/>
        <v>736106</v>
      </c>
      <c r="P284" t="str">
        <f t="shared" si="107"/>
        <v>A400948245</v>
      </c>
    </row>
    <row r="285" spans="1:16" x14ac:dyDescent="0.25">
      <c r="A285" t="str">
        <f t="shared" si="101"/>
        <v>人民币</v>
      </c>
      <c r="B285" t="str">
        <f t="shared" si="110"/>
        <v>恒银配号</v>
      </c>
      <c r="C285" t="str">
        <f t="shared" si="106"/>
        <v>20170908</v>
      </c>
      <c r="D285" t="str">
        <f t="shared" si="111"/>
        <v>0.000</v>
      </c>
      <c r="E285" t="str">
        <f t="shared" si="112"/>
        <v>0.00</v>
      </c>
      <c r="F285" t="str">
        <f t="shared" si="112"/>
        <v>0.00</v>
      </c>
      <c r="G285" t="str">
        <f t="shared" si="109"/>
        <v>475.03</v>
      </c>
      <c r="H285" t="str">
        <f t="shared" si="113"/>
        <v>0.00</v>
      </c>
      <c r="I285" t="str">
        <f>"254"</f>
        <v>254</v>
      </c>
      <c r="J285" t="str">
        <f t="shared" si="114"/>
        <v>申购配号(恒银配号)</v>
      </c>
      <c r="K285" t="str">
        <f t="shared" si="115"/>
        <v>0.00</v>
      </c>
      <c r="L285" t="str">
        <f t="shared" si="108"/>
        <v>0.00</v>
      </c>
      <c r="M285" t="str">
        <f t="shared" si="116"/>
        <v>0.00</v>
      </c>
      <c r="N285" t="str">
        <f t="shared" si="103"/>
        <v>0.00</v>
      </c>
      <c r="O285" t="str">
        <f t="shared" si="117"/>
        <v>736106</v>
      </c>
      <c r="P285" t="str">
        <f t="shared" si="107"/>
        <v>A400948245</v>
      </c>
    </row>
    <row r="286" spans="1:16" x14ac:dyDescent="0.25">
      <c r="A286" t="str">
        <f t="shared" si="101"/>
        <v>人民币</v>
      </c>
      <c r="B286" t="str">
        <f>"创源文化"</f>
        <v>创源文化</v>
      </c>
      <c r="C286" t="str">
        <f t="shared" si="106"/>
        <v>20170908</v>
      </c>
      <c r="D286" t="str">
        <f t="shared" si="111"/>
        <v>0.000</v>
      </c>
      <c r="E286" t="str">
        <f>"4.00"</f>
        <v>4.00</v>
      </c>
      <c r="F286" t="str">
        <f>"0.00"</f>
        <v>0.00</v>
      </c>
      <c r="G286" t="str">
        <f t="shared" si="109"/>
        <v>475.03</v>
      </c>
      <c r="H286" t="str">
        <f t="shared" si="113"/>
        <v>0.00</v>
      </c>
      <c r="I286" t="str">
        <f>"222"</f>
        <v>222</v>
      </c>
      <c r="J286" t="str">
        <f>"申购配号(创源文化)"</f>
        <v>申购配号(创源文化)</v>
      </c>
      <c r="K286" t="str">
        <f t="shared" si="115"/>
        <v>0.00</v>
      </c>
      <c r="L286" t="str">
        <f t="shared" si="108"/>
        <v>0.00</v>
      </c>
      <c r="M286" t="str">
        <f t="shared" si="116"/>
        <v>0.00</v>
      </c>
      <c r="N286" t="str">
        <f t="shared" si="103"/>
        <v>0.00</v>
      </c>
      <c r="O286" t="str">
        <f>"300703"</f>
        <v>300703</v>
      </c>
      <c r="P286" t="str">
        <f>"0153613480"</f>
        <v>0153613480</v>
      </c>
    </row>
    <row r="287" spans="1:16" x14ac:dyDescent="0.25">
      <c r="A287" t="str">
        <f t="shared" si="101"/>
        <v>人民币</v>
      </c>
      <c r="B287" t="str">
        <f>"盛和资源"</f>
        <v>盛和资源</v>
      </c>
      <c r="C287" t="str">
        <f>"20170912"</f>
        <v>20170912</v>
      </c>
      <c r="D287" t="str">
        <f>"26.890"</f>
        <v>26.890</v>
      </c>
      <c r="E287" t="str">
        <f>"-400.00"</f>
        <v>-400.00</v>
      </c>
      <c r="F287" t="str">
        <f>"10740.02"</f>
        <v>10740.02</v>
      </c>
      <c r="G287" t="str">
        <f>"11215.05"</f>
        <v>11215.05</v>
      </c>
      <c r="H287" t="str">
        <f t="shared" si="113"/>
        <v>0.00</v>
      </c>
      <c r="I287" t="str">
        <f>"273"</f>
        <v>273</v>
      </c>
      <c r="J287" t="str">
        <f>"证券卖出(盛和资源)"</f>
        <v>证券卖出(盛和资源)</v>
      </c>
      <c r="K287" t="str">
        <f>"5.00"</f>
        <v>5.00</v>
      </c>
      <c r="L287" t="str">
        <f>"10.76"</f>
        <v>10.76</v>
      </c>
      <c r="M287" t="str">
        <f>"0.22"</f>
        <v>0.22</v>
      </c>
      <c r="N287" t="str">
        <f t="shared" si="103"/>
        <v>0.00</v>
      </c>
      <c r="O287" t="str">
        <f>"600392"</f>
        <v>600392</v>
      </c>
      <c r="P287" t="str">
        <f>"A400948245"</f>
        <v>A400948245</v>
      </c>
    </row>
    <row r="288" spans="1:16" x14ac:dyDescent="0.25">
      <c r="A288" t="str">
        <f t="shared" si="101"/>
        <v>人民币</v>
      </c>
      <c r="B288" t="str">
        <f>"理药配号"</f>
        <v>理药配号</v>
      </c>
      <c r="C288" t="str">
        <f>"20170912"</f>
        <v>20170912</v>
      </c>
      <c r="D288" t="str">
        <f>"0.000"</f>
        <v>0.000</v>
      </c>
      <c r="E288" t="str">
        <f>"1.00"</f>
        <v>1.00</v>
      </c>
      <c r="F288" t="str">
        <f>"0.00"</f>
        <v>0.00</v>
      </c>
      <c r="G288" t="str">
        <f>"11215.05"</f>
        <v>11215.05</v>
      </c>
      <c r="H288" t="str">
        <f t="shared" si="113"/>
        <v>0.00</v>
      </c>
      <c r="I288" t="str">
        <f>"277"</f>
        <v>277</v>
      </c>
      <c r="J288" t="str">
        <f>"申购配号(理药配号)"</f>
        <v>申购配号(理药配号)</v>
      </c>
      <c r="K288" t="str">
        <f>"0.00"</f>
        <v>0.00</v>
      </c>
      <c r="L288" t="str">
        <f>"0.00"</f>
        <v>0.00</v>
      </c>
      <c r="M288" t="str">
        <f>"0.00"</f>
        <v>0.00</v>
      </c>
      <c r="N288" t="str">
        <f t="shared" si="103"/>
        <v>0.00</v>
      </c>
      <c r="O288" t="str">
        <f>"736963"</f>
        <v>736963</v>
      </c>
      <c r="P288" t="str">
        <f>"A400948245"</f>
        <v>A400948245</v>
      </c>
    </row>
    <row r="289" spans="1:16" x14ac:dyDescent="0.25">
      <c r="A289" t="str">
        <f t="shared" si="101"/>
        <v>人民币</v>
      </c>
      <c r="B289" t="str">
        <f>"西部建设"</f>
        <v>西部建设</v>
      </c>
      <c r="C289" t="str">
        <f>"20170912"</f>
        <v>20170912</v>
      </c>
      <c r="D289" t="str">
        <f>"20.810"</f>
        <v>20.810</v>
      </c>
      <c r="E289" t="str">
        <f>"300.00"</f>
        <v>300.00</v>
      </c>
      <c r="F289" t="str">
        <f>"-6248.00"</f>
        <v>-6248.00</v>
      </c>
      <c r="G289" t="str">
        <f>"4967.05"</f>
        <v>4967.05</v>
      </c>
      <c r="H289" t="str">
        <f>"1300.00"</f>
        <v>1300.00</v>
      </c>
      <c r="I289" t="str">
        <f>"281"</f>
        <v>281</v>
      </c>
      <c r="J289" t="str">
        <f>"证券买入(西部建设)"</f>
        <v>证券买入(西部建设)</v>
      </c>
      <c r="K289" t="str">
        <f>"5.00"</f>
        <v>5.00</v>
      </c>
      <c r="L289" t="str">
        <f t="shared" ref="L289:M295" si="118">"0.00"</f>
        <v>0.00</v>
      </c>
      <c r="M289" t="str">
        <f t="shared" si="118"/>
        <v>0.00</v>
      </c>
      <c r="N289" t="str">
        <f t="shared" si="103"/>
        <v>0.00</v>
      </c>
      <c r="O289" t="str">
        <f>"002302"</f>
        <v>002302</v>
      </c>
      <c r="P289" t="str">
        <f>"0153613480"</f>
        <v>0153613480</v>
      </c>
    </row>
    <row r="290" spans="1:16" x14ac:dyDescent="0.25">
      <c r="A290" t="str">
        <f t="shared" si="101"/>
        <v>人民币</v>
      </c>
      <c r="B290" t="str">
        <f>"哈三联"</f>
        <v>哈三联</v>
      </c>
      <c r="C290" t="str">
        <f>"20170912"</f>
        <v>20170912</v>
      </c>
      <c r="D290" t="str">
        <f>"0.000"</f>
        <v>0.000</v>
      </c>
      <c r="E290" t="str">
        <f>"4.00"</f>
        <v>4.00</v>
      </c>
      <c r="F290" t="str">
        <f>"0.00"</f>
        <v>0.00</v>
      </c>
      <c r="G290" t="str">
        <f>"4967.05"</f>
        <v>4967.05</v>
      </c>
      <c r="H290" t="str">
        <f>"0.00"</f>
        <v>0.00</v>
      </c>
      <c r="I290" t="str">
        <f>"279"</f>
        <v>279</v>
      </c>
      <c r="J290" t="str">
        <f>"申购配号(哈三联)"</f>
        <v>申购配号(哈三联)</v>
      </c>
      <c r="K290" t="str">
        <f>"0.00"</f>
        <v>0.00</v>
      </c>
      <c r="L290" t="str">
        <f t="shared" si="118"/>
        <v>0.00</v>
      </c>
      <c r="M290" t="str">
        <f t="shared" si="118"/>
        <v>0.00</v>
      </c>
      <c r="N290" t="str">
        <f t="shared" si="103"/>
        <v>0.00</v>
      </c>
      <c r="O290" t="str">
        <f>"002900"</f>
        <v>002900</v>
      </c>
      <c r="P290" t="str">
        <f>"0153613480"</f>
        <v>0153613480</v>
      </c>
    </row>
    <row r="291" spans="1:16" x14ac:dyDescent="0.25">
      <c r="A291" t="str">
        <f t="shared" si="101"/>
        <v>人民币</v>
      </c>
      <c r="B291" t="str">
        <f>"拉夏配号"</f>
        <v>拉夏配号</v>
      </c>
      <c r="C291" t="str">
        <f>"20170913"</f>
        <v>20170913</v>
      </c>
      <c r="D291" t="str">
        <f>"0.000"</f>
        <v>0.000</v>
      </c>
      <c r="E291" t="str">
        <f>"1.00"</f>
        <v>1.00</v>
      </c>
      <c r="F291" t="str">
        <f>"0.00"</f>
        <v>0.00</v>
      </c>
      <c r="G291" t="str">
        <f>"4967.05"</f>
        <v>4967.05</v>
      </c>
      <c r="H291" t="str">
        <f>"0.00"</f>
        <v>0.00</v>
      </c>
      <c r="I291" t="str">
        <f>"288"</f>
        <v>288</v>
      </c>
      <c r="J291" t="str">
        <f>"申购配号(拉夏配号)"</f>
        <v>申购配号(拉夏配号)</v>
      </c>
      <c r="K291" t="str">
        <f>"0.00"</f>
        <v>0.00</v>
      </c>
      <c r="L291" t="str">
        <f t="shared" si="118"/>
        <v>0.00</v>
      </c>
      <c r="M291" t="str">
        <f t="shared" si="118"/>
        <v>0.00</v>
      </c>
      <c r="N291" t="str">
        <f t="shared" si="103"/>
        <v>0.00</v>
      </c>
      <c r="O291" t="str">
        <f>"736157"</f>
        <v>736157</v>
      </c>
      <c r="P291" t="str">
        <f>"A400948245"</f>
        <v>A400948245</v>
      </c>
    </row>
    <row r="292" spans="1:16" x14ac:dyDescent="0.25">
      <c r="A292" t="str">
        <f t="shared" si="101"/>
        <v>人民币</v>
      </c>
      <c r="B292" t="str">
        <f>"大博医疗"</f>
        <v>大博医疗</v>
      </c>
      <c r="C292" t="str">
        <f>"20170913"</f>
        <v>20170913</v>
      </c>
      <c r="D292" t="str">
        <f>"0.000"</f>
        <v>0.000</v>
      </c>
      <c r="E292" t="str">
        <f>"4.00"</f>
        <v>4.00</v>
      </c>
      <c r="F292" t="str">
        <f>"0.00"</f>
        <v>0.00</v>
      </c>
      <c r="G292" t="str">
        <f>"4967.05"</f>
        <v>4967.05</v>
      </c>
      <c r="H292" t="str">
        <f>"0.00"</f>
        <v>0.00</v>
      </c>
      <c r="I292" t="str">
        <f>"290"</f>
        <v>290</v>
      </c>
      <c r="J292" t="str">
        <f>"申购配号(大博医疗)"</f>
        <v>申购配号(大博医疗)</v>
      </c>
      <c r="K292" t="str">
        <f>"0.00"</f>
        <v>0.00</v>
      </c>
      <c r="L292" t="str">
        <f t="shared" si="118"/>
        <v>0.00</v>
      </c>
      <c r="M292" t="str">
        <f t="shared" si="118"/>
        <v>0.00</v>
      </c>
      <c r="N292" t="str">
        <f t="shared" si="103"/>
        <v>0.00</v>
      </c>
      <c r="O292" t="str">
        <f>"002901"</f>
        <v>002901</v>
      </c>
      <c r="P292" t="str">
        <f>"0153613480"</f>
        <v>0153613480</v>
      </c>
    </row>
    <row r="293" spans="1:16" x14ac:dyDescent="0.25">
      <c r="A293" t="str">
        <f t="shared" si="101"/>
        <v>人民币</v>
      </c>
      <c r="B293" t="str">
        <f>"傲农配号"</f>
        <v>傲农配号</v>
      </c>
      <c r="C293" t="str">
        <f>"20170914"</f>
        <v>20170914</v>
      </c>
      <c r="D293" t="str">
        <f>"0.000"</f>
        <v>0.000</v>
      </c>
      <c r="E293" t="str">
        <f>"1.00"</f>
        <v>1.00</v>
      </c>
      <c r="F293" t="str">
        <f>"0.00"</f>
        <v>0.00</v>
      </c>
      <c r="G293" t="str">
        <f>"4967.05"</f>
        <v>4967.05</v>
      </c>
      <c r="H293" t="str">
        <f>"0.00"</f>
        <v>0.00</v>
      </c>
      <c r="I293" t="str">
        <f>"297"</f>
        <v>297</v>
      </c>
      <c r="J293" t="str">
        <f>"申购配号(傲农配号)"</f>
        <v>申购配号(傲农配号)</v>
      </c>
      <c r="K293" t="str">
        <f>"0.00"</f>
        <v>0.00</v>
      </c>
      <c r="L293" t="str">
        <f t="shared" si="118"/>
        <v>0.00</v>
      </c>
      <c r="M293" t="str">
        <f t="shared" si="118"/>
        <v>0.00</v>
      </c>
      <c r="N293" t="str">
        <f t="shared" si="103"/>
        <v>0.00</v>
      </c>
      <c r="O293" t="str">
        <f>"736363"</f>
        <v>736363</v>
      </c>
      <c r="P293" t="str">
        <f>"A400948245"</f>
        <v>A400948245</v>
      </c>
    </row>
    <row r="294" spans="1:16" x14ac:dyDescent="0.25">
      <c r="A294" t="str">
        <f t="shared" si="101"/>
        <v>人民币</v>
      </c>
      <c r="B294" t="str">
        <f>"赛为智能"</f>
        <v>赛为智能</v>
      </c>
      <c r="C294" t="str">
        <f>"20170914"</f>
        <v>20170914</v>
      </c>
      <c r="D294" t="str">
        <f>"21.390"</f>
        <v>21.390</v>
      </c>
      <c r="E294" t="str">
        <f>"200.00"</f>
        <v>200.00</v>
      </c>
      <c r="F294" t="str">
        <f>"-4283.00"</f>
        <v>-4283.00</v>
      </c>
      <c r="G294" t="str">
        <f>"684.05"</f>
        <v>684.05</v>
      </c>
      <c r="H294" t="str">
        <f>"200.00"</f>
        <v>200.00</v>
      </c>
      <c r="I294" t="str">
        <f>"294"</f>
        <v>294</v>
      </c>
      <c r="J294" t="str">
        <f>"证券买入(赛为智能)"</f>
        <v>证券买入(赛为智能)</v>
      </c>
      <c r="K294" t="str">
        <f>"5.00"</f>
        <v>5.00</v>
      </c>
      <c r="L294" t="str">
        <f t="shared" si="118"/>
        <v>0.00</v>
      </c>
      <c r="M294" t="str">
        <f t="shared" si="118"/>
        <v>0.00</v>
      </c>
      <c r="N294" t="str">
        <f t="shared" si="103"/>
        <v>0.00</v>
      </c>
      <c r="O294" t="str">
        <f>"300044"</f>
        <v>300044</v>
      </c>
      <c r="P294" t="str">
        <f>"0153613480"</f>
        <v>0153613480</v>
      </c>
    </row>
    <row r="295" spans="1:16" x14ac:dyDescent="0.25">
      <c r="A295" t="str">
        <f t="shared" si="101"/>
        <v>人民币</v>
      </c>
      <c r="B295" t="str">
        <f>"世纪天鸿"</f>
        <v>世纪天鸿</v>
      </c>
      <c r="C295" t="str">
        <f>"20170914"</f>
        <v>20170914</v>
      </c>
      <c r="D295" t="str">
        <f>"0.000"</f>
        <v>0.000</v>
      </c>
      <c r="E295" t="str">
        <f>"4.00"</f>
        <v>4.00</v>
      </c>
      <c r="F295" t="str">
        <f>"0.00"</f>
        <v>0.00</v>
      </c>
      <c r="G295" t="str">
        <f>"684.05"</f>
        <v>684.05</v>
      </c>
      <c r="H295" t="str">
        <f>"0.00"</f>
        <v>0.00</v>
      </c>
      <c r="I295" t="str">
        <f>"299"</f>
        <v>299</v>
      </c>
      <c r="J295" t="str">
        <f>"申购配号(世纪天鸿)"</f>
        <v>申购配号(世纪天鸿)</v>
      </c>
      <c r="K295" t="str">
        <f>"0.00"</f>
        <v>0.00</v>
      </c>
      <c r="L295" t="str">
        <f t="shared" si="118"/>
        <v>0.00</v>
      </c>
      <c r="M295" t="str">
        <f t="shared" si="118"/>
        <v>0.00</v>
      </c>
      <c r="N295" t="str">
        <f t="shared" si="103"/>
        <v>0.00</v>
      </c>
      <c r="O295" t="str">
        <f>"300654"</f>
        <v>300654</v>
      </c>
      <c r="P295" t="str">
        <f>"0153613480"</f>
        <v>0153613480</v>
      </c>
    </row>
    <row r="296" spans="1:16" x14ac:dyDescent="0.25">
      <c r="A296" t="str">
        <f t="shared" si="101"/>
        <v>人民币</v>
      </c>
      <c r="B296" t="str">
        <f>" "</f>
        <v xml:space="preserve"> </v>
      </c>
      <c r="C296" t="str">
        <f>"20170915"</f>
        <v>20170915</v>
      </c>
      <c r="D296" t="str">
        <f>"---"</f>
        <v>---</v>
      </c>
      <c r="E296" t="str">
        <f>"---"</f>
        <v>---</v>
      </c>
      <c r="F296" t="str">
        <f>"5000.00"</f>
        <v>5000.00</v>
      </c>
      <c r="G296" t="str">
        <f>"5684.05"</f>
        <v>5684.05</v>
      </c>
      <c r="H296" t="str">
        <f>"---"</f>
        <v>---</v>
      </c>
      <c r="I296" t="str">
        <f>"---"</f>
        <v>---</v>
      </c>
      <c r="J296" t="str">
        <f>"银行转存"</f>
        <v>银行转存</v>
      </c>
      <c r="K296" t="str">
        <f t="shared" ref="K296:P296" si="119">"---"</f>
        <v>---</v>
      </c>
      <c r="L296" t="str">
        <f t="shared" si="119"/>
        <v>---</v>
      </c>
      <c r="M296" t="str">
        <f t="shared" si="119"/>
        <v>---</v>
      </c>
      <c r="N296" t="str">
        <f t="shared" si="119"/>
        <v>---</v>
      </c>
      <c r="O296" t="str">
        <f t="shared" si="119"/>
        <v>---</v>
      </c>
      <c r="P296" t="str">
        <f t="shared" si="119"/>
        <v>---</v>
      </c>
    </row>
    <row r="297" spans="1:16" x14ac:dyDescent="0.25">
      <c r="A297" t="str">
        <f t="shared" si="101"/>
        <v>人民币</v>
      </c>
      <c r="B297" t="str">
        <f>"天目配号"</f>
        <v>天目配号</v>
      </c>
      <c r="C297" t="str">
        <f>"20170915"</f>
        <v>20170915</v>
      </c>
      <c r="D297" t="str">
        <f>"0.000"</f>
        <v>0.000</v>
      </c>
      <c r="E297" t="str">
        <f>"1.00"</f>
        <v>1.00</v>
      </c>
      <c r="F297" t="str">
        <f>"0.00"</f>
        <v>0.00</v>
      </c>
      <c r="G297" t="str">
        <f>"5684.05"</f>
        <v>5684.05</v>
      </c>
      <c r="H297" t="str">
        <f>"0.00"</f>
        <v>0.00</v>
      </c>
      <c r="I297" t="str">
        <f>"309"</f>
        <v>309</v>
      </c>
      <c r="J297" t="str">
        <f>"申购配号(天目配号)"</f>
        <v>申购配号(天目配号)</v>
      </c>
      <c r="K297" t="str">
        <f>"0.00"</f>
        <v>0.00</v>
      </c>
      <c r="L297" t="str">
        <f>"0.00"</f>
        <v>0.00</v>
      </c>
      <c r="M297" t="str">
        <f>"0.00"</f>
        <v>0.00</v>
      </c>
      <c r="N297" t="str">
        <f>"0.00"</f>
        <v>0.00</v>
      </c>
      <c r="O297" t="str">
        <f>"736136"</f>
        <v>736136</v>
      </c>
      <c r="P297" t="str">
        <f>"A400948245"</f>
        <v>A400948245</v>
      </c>
    </row>
    <row r="298" spans="1:16" x14ac:dyDescent="0.25">
      <c r="A298" t="str">
        <f t="shared" si="101"/>
        <v>人民币</v>
      </c>
      <c r="B298" t="str">
        <f>"赛为智能"</f>
        <v>赛为智能</v>
      </c>
      <c r="C298" t="str">
        <f>"20170915"</f>
        <v>20170915</v>
      </c>
      <c r="D298" t="str">
        <f>"20.610"</f>
        <v>20.610</v>
      </c>
      <c r="E298" t="str">
        <f>"100.00"</f>
        <v>100.00</v>
      </c>
      <c r="F298" t="str">
        <f>"-2066.00"</f>
        <v>-2066.00</v>
      </c>
      <c r="G298" t="str">
        <f>"3618.05"</f>
        <v>3618.05</v>
      </c>
      <c r="H298" t="str">
        <f>"300.00"</f>
        <v>300.00</v>
      </c>
      <c r="I298" t="str">
        <f>"313"</f>
        <v>313</v>
      </c>
      <c r="J298" t="str">
        <f>"证券买入(赛为智能)"</f>
        <v>证券买入(赛为智能)</v>
      </c>
      <c r="K298" t="str">
        <f>"5.00"</f>
        <v>5.00</v>
      </c>
      <c r="L298" t="str">
        <f t="shared" ref="L298:N300" si="120">"0.00"</f>
        <v>0.00</v>
      </c>
      <c r="M298" t="str">
        <f t="shared" si="120"/>
        <v>0.00</v>
      </c>
      <c r="N298" t="str">
        <f t="shared" si="120"/>
        <v>0.00</v>
      </c>
      <c r="O298" t="str">
        <f>"300044"</f>
        <v>300044</v>
      </c>
      <c r="P298" t="str">
        <f>"0153613480"</f>
        <v>0153613480</v>
      </c>
    </row>
    <row r="299" spans="1:16" x14ac:dyDescent="0.25">
      <c r="A299" t="str">
        <f t="shared" si="101"/>
        <v>人民币</v>
      </c>
      <c r="B299" t="str">
        <f>"北方国际"</f>
        <v>北方国际</v>
      </c>
      <c r="C299" t="str">
        <f>"20170915"</f>
        <v>20170915</v>
      </c>
      <c r="D299" t="str">
        <f>"23.000"</f>
        <v>23.000</v>
      </c>
      <c r="E299" t="str">
        <f>"100.00"</f>
        <v>100.00</v>
      </c>
      <c r="F299" t="str">
        <f>"-2305.00"</f>
        <v>-2305.00</v>
      </c>
      <c r="G299" t="str">
        <f>"1313.05"</f>
        <v>1313.05</v>
      </c>
      <c r="H299" t="str">
        <f>"600.00"</f>
        <v>600.00</v>
      </c>
      <c r="I299" t="str">
        <f>"305"</f>
        <v>305</v>
      </c>
      <c r="J299" t="str">
        <f>"证券买入(北方国际)"</f>
        <v>证券买入(北方国际)</v>
      </c>
      <c r="K299" t="str">
        <f>"5.00"</f>
        <v>5.00</v>
      </c>
      <c r="L299" t="str">
        <f t="shared" si="120"/>
        <v>0.00</v>
      </c>
      <c r="M299" t="str">
        <f t="shared" si="120"/>
        <v>0.00</v>
      </c>
      <c r="N299" t="str">
        <f t="shared" si="120"/>
        <v>0.00</v>
      </c>
      <c r="O299" t="str">
        <f>"000065"</f>
        <v>000065</v>
      </c>
      <c r="P299" t="str">
        <f>"0153613480"</f>
        <v>0153613480</v>
      </c>
    </row>
    <row r="300" spans="1:16" x14ac:dyDescent="0.25">
      <c r="A300" t="str">
        <f t="shared" si="101"/>
        <v>人民币</v>
      </c>
      <c r="B300" t="str">
        <f>"阿石创"</f>
        <v>阿石创</v>
      </c>
      <c r="C300" t="str">
        <f>"20170915"</f>
        <v>20170915</v>
      </c>
      <c r="D300" t="str">
        <f>"0.000"</f>
        <v>0.000</v>
      </c>
      <c r="E300" t="str">
        <f>"4.00"</f>
        <v>4.00</v>
      </c>
      <c r="F300" t="str">
        <f>"0.00"</f>
        <v>0.00</v>
      </c>
      <c r="G300" t="str">
        <f>"1313.05"</f>
        <v>1313.05</v>
      </c>
      <c r="H300" t="str">
        <f>"0.00"</f>
        <v>0.00</v>
      </c>
      <c r="I300" t="str">
        <f>"311"</f>
        <v>311</v>
      </c>
      <c r="J300" t="str">
        <f>"申购配号(阿石创)"</f>
        <v>申购配号(阿石创)</v>
      </c>
      <c r="K300" t="str">
        <f>"0.00"</f>
        <v>0.00</v>
      </c>
      <c r="L300" t="str">
        <f t="shared" si="120"/>
        <v>0.00</v>
      </c>
      <c r="M300" t="str">
        <f t="shared" si="120"/>
        <v>0.00</v>
      </c>
      <c r="N300" t="str">
        <f t="shared" si="120"/>
        <v>0.00</v>
      </c>
      <c r="O300" t="str">
        <f>"300706"</f>
        <v>300706</v>
      </c>
      <c r="P300" t="str">
        <f>"0153613480"</f>
        <v>0153613480</v>
      </c>
    </row>
    <row r="301" spans="1:16" x14ac:dyDescent="0.25">
      <c r="A301" t="str">
        <f t="shared" si="101"/>
        <v>人民币</v>
      </c>
      <c r="B301" t="str">
        <f>" "</f>
        <v xml:space="preserve"> </v>
      </c>
      <c r="C301" t="str">
        <f>"20170919"</f>
        <v>20170919</v>
      </c>
      <c r="D301" t="str">
        <f>"---"</f>
        <v>---</v>
      </c>
      <c r="E301" t="str">
        <f>"---"</f>
        <v>---</v>
      </c>
      <c r="F301" t="str">
        <f>"7000.00"</f>
        <v>7000.00</v>
      </c>
      <c r="G301" t="str">
        <f>"8313.05"</f>
        <v>8313.05</v>
      </c>
      <c r="H301" t="str">
        <f>"---"</f>
        <v>---</v>
      </c>
      <c r="I301" t="str">
        <f>"---"</f>
        <v>---</v>
      </c>
      <c r="J301" t="str">
        <f>"银行转存"</f>
        <v>银行转存</v>
      </c>
      <c r="K301" t="str">
        <f t="shared" ref="K301:P301" si="121">"---"</f>
        <v>---</v>
      </c>
      <c r="L301" t="str">
        <f t="shared" si="121"/>
        <v>---</v>
      </c>
      <c r="M301" t="str">
        <f t="shared" si="121"/>
        <v>---</v>
      </c>
      <c r="N301" t="str">
        <f t="shared" si="121"/>
        <v>---</v>
      </c>
      <c r="O301" t="str">
        <f t="shared" si="121"/>
        <v>---</v>
      </c>
      <c r="P301" t="str">
        <f t="shared" si="121"/>
        <v>---</v>
      </c>
    </row>
    <row r="302" spans="1:16" x14ac:dyDescent="0.25">
      <c r="A302" t="str">
        <f t="shared" si="101"/>
        <v>人民币</v>
      </c>
      <c r="B302" t="str">
        <f>"亚士配号"</f>
        <v>亚士配号</v>
      </c>
      <c r="C302" t="str">
        <f>"20170919"</f>
        <v>20170919</v>
      </c>
      <c r="D302" t="str">
        <f>"0.000"</f>
        <v>0.000</v>
      </c>
      <c r="E302" t="str">
        <f>"1.00"</f>
        <v>1.00</v>
      </c>
      <c r="F302" t="str">
        <f>"0.00"</f>
        <v>0.00</v>
      </c>
      <c r="G302" t="str">
        <f>"8313.05"</f>
        <v>8313.05</v>
      </c>
      <c r="H302" t="str">
        <f>"0.00"</f>
        <v>0.00</v>
      </c>
      <c r="I302" t="str">
        <f>"322"</f>
        <v>322</v>
      </c>
      <c r="J302" t="str">
        <f>"申购配号(亚士配号)"</f>
        <v>申购配号(亚士配号)</v>
      </c>
      <c r="K302" t="str">
        <f t="shared" ref="K302:N303" si="122">"0.00"</f>
        <v>0.00</v>
      </c>
      <c r="L302" t="str">
        <f t="shared" si="122"/>
        <v>0.00</v>
      </c>
      <c r="M302" t="str">
        <f t="shared" si="122"/>
        <v>0.00</v>
      </c>
      <c r="N302" t="str">
        <f t="shared" si="122"/>
        <v>0.00</v>
      </c>
      <c r="O302" t="str">
        <f>"736378"</f>
        <v>736378</v>
      </c>
      <c r="P302" t="str">
        <f>"A400948245"</f>
        <v>A400948245</v>
      </c>
    </row>
    <row r="303" spans="1:16" x14ac:dyDescent="0.25">
      <c r="A303" t="str">
        <f t="shared" si="101"/>
        <v>人民币</v>
      </c>
      <c r="B303" t="str">
        <f>"辰欣配号"</f>
        <v>辰欣配号</v>
      </c>
      <c r="C303" t="str">
        <f>"20170919"</f>
        <v>20170919</v>
      </c>
      <c r="D303" t="str">
        <f>"0.000"</f>
        <v>0.000</v>
      </c>
      <c r="E303" t="str">
        <f>"1.00"</f>
        <v>1.00</v>
      </c>
      <c r="F303" t="str">
        <f>"0.00"</f>
        <v>0.00</v>
      </c>
      <c r="G303" t="str">
        <f>"8313.05"</f>
        <v>8313.05</v>
      </c>
      <c r="H303" t="str">
        <f>"0.00"</f>
        <v>0.00</v>
      </c>
      <c r="I303" t="str">
        <f>"320"</f>
        <v>320</v>
      </c>
      <c r="J303" t="str">
        <f>"申购配号(辰欣配号)"</f>
        <v>申购配号(辰欣配号)</v>
      </c>
      <c r="K303" t="str">
        <f t="shared" si="122"/>
        <v>0.00</v>
      </c>
      <c r="L303" t="str">
        <f t="shared" si="122"/>
        <v>0.00</v>
      </c>
      <c r="M303" t="str">
        <f t="shared" si="122"/>
        <v>0.00</v>
      </c>
      <c r="N303" t="str">
        <f t="shared" si="122"/>
        <v>0.00</v>
      </c>
      <c r="O303" t="str">
        <f>"736367"</f>
        <v>736367</v>
      </c>
      <c r="P303" t="str">
        <f>"A400948245"</f>
        <v>A400948245</v>
      </c>
    </row>
    <row r="304" spans="1:16" x14ac:dyDescent="0.25">
      <c r="A304" t="str">
        <f t="shared" si="101"/>
        <v>人民币</v>
      </c>
      <c r="B304" t="str">
        <f>"西部建设"</f>
        <v>西部建设</v>
      </c>
      <c r="C304" t="str">
        <f>"20170919"</f>
        <v>20170919</v>
      </c>
      <c r="D304" t="str">
        <f>"19.820"</f>
        <v>19.820</v>
      </c>
      <c r="E304" t="str">
        <f>"400.00"</f>
        <v>400.00</v>
      </c>
      <c r="F304" t="str">
        <f>"-7933.00"</f>
        <v>-7933.00</v>
      </c>
      <c r="G304" t="str">
        <f>"380.05"</f>
        <v>380.05</v>
      </c>
      <c r="H304" t="str">
        <f>"1700.00"</f>
        <v>1700.00</v>
      </c>
      <c r="I304" t="str">
        <f>"325"</f>
        <v>325</v>
      </c>
      <c r="J304" t="str">
        <f>"证券买入(西部建设)"</f>
        <v>证券买入(西部建设)</v>
      </c>
      <c r="K304" t="str">
        <f>"5.00"</f>
        <v>5.00</v>
      </c>
      <c r="L304" t="str">
        <f>"0.00"</f>
        <v>0.00</v>
      </c>
      <c r="M304" t="str">
        <f>"0.00"</f>
        <v>0.00</v>
      </c>
      <c r="N304" t="str">
        <f>"0.00"</f>
        <v>0.00</v>
      </c>
      <c r="O304" t="str">
        <f>"002302"</f>
        <v>002302</v>
      </c>
      <c r="P304" t="str">
        <f>"0153613480"</f>
        <v>0153613480</v>
      </c>
    </row>
    <row r="305" spans="1:16" x14ac:dyDescent="0.25">
      <c r="A305" t="str">
        <f t="shared" si="101"/>
        <v>人民币</v>
      </c>
      <c r="B305" t="str">
        <f>" "</f>
        <v xml:space="preserve"> </v>
      </c>
      <c r="C305" t="str">
        <f>"20170920"</f>
        <v>20170920</v>
      </c>
      <c r="D305" t="str">
        <f>"---"</f>
        <v>---</v>
      </c>
      <c r="E305" t="str">
        <f>"---"</f>
        <v>---</v>
      </c>
      <c r="F305" t="str">
        <f>"3.17"</f>
        <v>3.17</v>
      </c>
      <c r="G305" t="str">
        <f>"383.22"</f>
        <v>383.22</v>
      </c>
      <c r="H305" t="str">
        <f>"---"</f>
        <v>---</v>
      </c>
      <c r="I305" t="str">
        <f>"---"</f>
        <v>---</v>
      </c>
      <c r="J305" t="str">
        <f>"批量利息归本"</f>
        <v>批量利息归本</v>
      </c>
      <c r="K305" t="str">
        <f t="shared" ref="K305:P305" si="123">"---"</f>
        <v>---</v>
      </c>
      <c r="L305" t="str">
        <f t="shared" si="123"/>
        <v>---</v>
      </c>
      <c r="M305" t="str">
        <f t="shared" si="123"/>
        <v>---</v>
      </c>
      <c r="N305" t="str">
        <f t="shared" si="123"/>
        <v>---</v>
      </c>
      <c r="O305" t="str">
        <f t="shared" si="123"/>
        <v>---</v>
      </c>
      <c r="P305" t="str">
        <f t="shared" si="123"/>
        <v>---</v>
      </c>
    </row>
    <row r="306" spans="1:16" x14ac:dyDescent="0.25">
      <c r="A306" t="str">
        <f t="shared" si="101"/>
        <v>人民币</v>
      </c>
      <c r="B306" t="str">
        <f>"国芳配号"</f>
        <v>国芳配号</v>
      </c>
      <c r="C306" t="str">
        <f>"20170920"</f>
        <v>20170920</v>
      </c>
      <c r="D306" t="str">
        <f>"0.000"</f>
        <v>0.000</v>
      </c>
      <c r="E306" t="str">
        <f>"1.00"</f>
        <v>1.00</v>
      </c>
      <c r="F306" t="str">
        <f>"0.00"</f>
        <v>0.00</v>
      </c>
      <c r="G306" t="str">
        <f>"383.22"</f>
        <v>383.22</v>
      </c>
      <c r="H306" t="str">
        <f>"0.00"</f>
        <v>0.00</v>
      </c>
      <c r="I306" t="str">
        <f>"331"</f>
        <v>331</v>
      </c>
      <c r="J306" t="str">
        <f>"申购配号(国芳配号)"</f>
        <v>申购配号(国芳配号)</v>
      </c>
      <c r="K306" t="str">
        <f t="shared" ref="K306:N307" si="124">"0.00"</f>
        <v>0.00</v>
      </c>
      <c r="L306" t="str">
        <f t="shared" si="124"/>
        <v>0.00</v>
      </c>
      <c r="M306" t="str">
        <f t="shared" si="124"/>
        <v>0.00</v>
      </c>
      <c r="N306" t="str">
        <f t="shared" si="124"/>
        <v>0.00</v>
      </c>
      <c r="O306" t="str">
        <f>"791086"</f>
        <v>791086</v>
      </c>
      <c r="P306" t="str">
        <f>"A400948245"</f>
        <v>A400948245</v>
      </c>
    </row>
    <row r="307" spans="1:16" x14ac:dyDescent="0.25">
      <c r="A307" t="str">
        <f t="shared" si="101"/>
        <v>人民币</v>
      </c>
      <c r="B307" t="str">
        <f>"铭普光磁"</f>
        <v>铭普光磁</v>
      </c>
      <c r="C307" t="str">
        <f>"20170920"</f>
        <v>20170920</v>
      </c>
      <c r="D307" t="str">
        <f>"0.000"</f>
        <v>0.000</v>
      </c>
      <c r="E307" t="str">
        <f>"5.00"</f>
        <v>5.00</v>
      </c>
      <c r="F307" t="str">
        <f>"0.00"</f>
        <v>0.00</v>
      </c>
      <c r="G307" t="str">
        <f>"383.22"</f>
        <v>383.22</v>
      </c>
      <c r="H307" t="str">
        <f>"0.00"</f>
        <v>0.00</v>
      </c>
      <c r="I307" t="str">
        <f>"333"</f>
        <v>333</v>
      </c>
      <c r="J307" t="str">
        <f>"申购配号(铭普光磁)"</f>
        <v>申购配号(铭普光磁)</v>
      </c>
      <c r="K307" t="str">
        <f t="shared" si="124"/>
        <v>0.00</v>
      </c>
      <c r="L307" t="str">
        <f t="shared" si="124"/>
        <v>0.00</v>
      </c>
      <c r="M307" t="str">
        <f t="shared" si="124"/>
        <v>0.00</v>
      </c>
      <c r="N307" t="str">
        <f t="shared" si="124"/>
        <v>0.00</v>
      </c>
      <c r="O307" t="str">
        <f>"002902"</f>
        <v>002902</v>
      </c>
      <c r="P307" t="str">
        <f>"0153613480"</f>
        <v>0153613480</v>
      </c>
    </row>
    <row r="308" spans="1:16" x14ac:dyDescent="0.25">
      <c r="A308" t="str">
        <f t="shared" si="101"/>
        <v>人民币</v>
      </c>
      <c r="B308" t="str">
        <f>" "</f>
        <v xml:space="preserve"> </v>
      </c>
      <c r="C308" t="str">
        <f>"20170925"</f>
        <v>20170925</v>
      </c>
      <c r="D308" t="str">
        <f>"---"</f>
        <v>---</v>
      </c>
      <c r="E308" t="str">
        <f>"---"</f>
        <v>---</v>
      </c>
      <c r="F308" t="str">
        <f>"-344.00"</f>
        <v>-344.00</v>
      </c>
      <c r="G308" t="str">
        <f>"39.22"</f>
        <v>39.22</v>
      </c>
      <c r="H308" t="str">
        <f>"---"</f>
        <v>---</v>
      </c>
      <c r="I308" t="str">
        <f>"---"</f>
        <v>---</v>
      </c>
      <c r="J308" t="str">
        <f>"银行转取"</f>
        <v>银行转取</v>
      </c>
      <c r="K308" t="str">
        <f t="shared" ref="K308:P308" si="125">"---"</f>
        <v>---</v>
      </c>
      <c r="L308" t="str">
        <f t="shared" si="125"/>
        <v>---</v>
      </c>
      <c r="M308" t="str">
        <f t="shared" si="125"/>
        <v>---</v>
      </c>
      <c r="N308" t="str">
        <f t="shared" si="125"/>
        <v>---</v>
      </c>
      <c r="O308" t="str">
        <f t="shared" si="125"/>
        <v>---</v>
      </c>
      <c r="P308" t="str">
        <f t="shared" si="125"/>
        <v>---</v>
      </c>
    </row>
    <row r="309" spans="1:16" x14ac:dyDescent="0.25">
      <c r="A309" t="str">
        <f t="shared" si="101"/>
        <v>人民币</v>
      </c>
      <c r="B309" t="str">
        <f>"北方国际"</f>
        <v>北方国际</v>
      </c>
      <c r="C309" t="str">
        <f>"20170925"</f>
        <v>20170925</v>
      </c>
      <c r="D309" t="str">
        <f>"22.240"</f>
        <v>22.240</v>
      </c>
      <c r="E309" t="str">
        <f>"-300.00"</f>
        <v>-300.00</v>
      </c>
      <c r="F309" t="str">
        <f>"6660.33"</f>
        <v>6660.33</v>
      </c>
      <c r="G309" t="str">
        <f>"6699.55"</f>
        <v>6699.55</v>
      </c>
      <c r="H309" t="str">
        <f>"300.00"</f>
        <v>300.00</v>
      </c>
      <c r="I309" t="str">
        <f>"338"</f>
        <v>338</v>
      </c>
      <c r="J309" t="str">
        <f>"证券卖出(北方国际)"</f>
        <v>证券卖出(北方国际)</v>
      </c>
      <c r="K309" t="str">
        <f>"5.00"</f>
        <v>5.00</v>
      </c>
      <c r="L309" t="str">
        <f>"6.67"</f>
        <v>6.67</v>
      </c>
      <c r="M309" t="str">
        <f t="shared" ref="M309:N313" si="126">"0.00"</f>
        <v>0.00</v>
      </c>
      <c r="N309" t="str">
        <f t="shared" si="126"/>
        <v>0.00</v>
      </c>
      <c r="O309" t="str">
        <f>"000065"</f>
        <v>000065</v>
      </c>
      <c r="P309" t="str">
        <f>"0153613480"</f>
        <v>0153613480</v>
      </c>
    </row>
    <row r="310" spans="1:16" x14ac:dyDescent="0.25">
      <c r="A310" t="str">
        <f t="shared" si="101"/>
        <v>人民币</v>
      </c>
      <c r="B310" t="str">
        <f>"赛为智能"</f>
        <v>赛为智能</v>
      </c>
      <c r="C310" t="str">
        <f>"20170925"</f>
        <v>20170925</v>
      </c>
      <c r="D310" t="str">
        <f>"20.450"</f>
        <v>20.450</v>
      </c>
      <c r="E310" t="str">
        <f>"300.00"</f>
        <v>300.00</v>
      </c>
      <c r="F310" t="str">
        <f>"-6140.00"</f>
        <v>-6140.00</v>
      </c>
      <c r="G310" t="str">
        <f>"559.55"</f>
        <v>559.55</v>
      </c>
      <c r="H310" t="str">
        <f>"600.00"</f>
        <v>600.00</v>
      </c>
      <c r="I310" t="str">
        <f>"341"</f>
        <v>341</v>
      </c>
      <c r="J310" t="str">
        <f>"证券买入(赛为智能)"</f>
        <v>证券买入(赛为智能)</v>
      </c>
      <c r="K310" t="str">
        <f>"5.00"</f>
        <v>5.00</v>
      </c>
      <c r="L310" t="str">
        <f>"0.00"</f>
        <v>0.00</v>
      </c>
      <c r="M310" t="str">
        <f t="shared" si="126"/>
        <v>0.00</v>
      </c>
      <c r="N310" t="str">
        <f t="shared" si="126"/>
        <v>0.00</v>
      </c>
      <c r="O310" t="str">
        <f>"300044"</f>
        <v>300044</v>
      </c>
      <c r="P310" t="str">
        <f>"0153613480"</f>
        <v>0153613480</v>
      </c>
    </row>
    <row r="311" spans="1:16" x14ac:dyDescent="0.25">
      <c r="A311" t="str">
        <f t="shared" si="101"/>
        <v>人民币</v>
      </c>
      <c r="B311" t="str">
        <f>"北方国际"</f>
        <v>北方国际</v>
      </c>
      <c r="C311" t="str">
        <f>"20170925"</f>
        <v>20170925</v>
      </c>
      <c r="D311" t="str">
        <f>"22.250"</f>
        <v>22.250</v>
      </c>
      <c r="E311" t="str">
        <f>"-300.00"</f>
        <v>-300.00</v>
      </c>
      <c r="F311" t="str">
        <f>"6663.32"</f>
        <v>6663.32</v>
      </c>
      <c r="G311" t="str">
        <f>"7222.87"</f>
        <v>7222.87</v>
      </c>
      <c r="H311" t="str">
        <f>"0.00"</f>
        <v>0.00</v>
      </c>
      <c r="I311" t="str">
        <f>"344"</f>
        <v>344</v>
      </c>
      <c r="J311" t="str">
        <f>"证券卖出(北方国际)"</f>
        <v>证券卖出(北方国际)</v>
      </c>
      <c r="K311" t="str">
        <f>"5.00"</f>
        <v>5.00</v>
      </c>
      <c r="L311" t="str">
        <f>"6.68"</f>
        <v>6.68</v>
      </c>
      <c r="M311" t="str">
        <f t="shared" si="126"/>
        <v>0.00</v>
      </c>
      <c r="N311" t="str">
        <f t="shared" si="126"/>
        <v>0.00</v>
      </c>
      <c r="O311" t="str">
        <f>"000065"</f>
        <v>000065</v>
      </c>
      <c r="P311" t="str">
        <f>"0153613480"</f>
        <v>0153613480</v>
      </c>
    </row>
    <row r="312" spans="1:16" x14ac:dyDescent="0.25">
      <c r="A312" t="str">
        <f t="shared" si="101"/>
        <v>人民币</v>
      </c>
      <c r="B312" t="str">
        <f>"赛为智能"</f>
        <v>赛为智能</v>
      </c>
      <c r="C312" t="str">
        <f>"20170925"</f>
        <v>20170925</v>
      </c>
      <c r="D312" t="str">
        <f>"20.380"</f>
        <v>20.380</v>
      </c>
      <c r="E312" t="str">
        <f>"300.00"</f>
        <v>300.00</v>
      </c>
      <c r="F312" t="str">
        <f>"-6119.00"</f>
        <v>-6119.00</v>
      </c>
      <c r="G312" t="str">
        <f>"1103.87"</f>
        <v>1103.87</v>
      </c>
      <c r="H312" t="str">
        <f>"900.00"</f>
        <v>900.00</v>
      </c>
      <c r="I312" t="str">
        <f>"347"</f>
        <v>347</v>
      </c>
      <c r="J312" t="str">
        <f>"证券买入(赛为智能)"</f>
        <v>证券买入(赛为智能)</v>
      </c>
      <c r="K312" t="str">
        <f>"5.00"</f>
        <v>5.00</v>
      </c>
      <c r="L312" t="str">
        <f>"0.00"</f>
        <v>0.00</v>
      </c>
      <c r="M312" t="str">
        <f t="shared" si="126"/>
        <v>0.00</v>
      </c>
      <c r="N312" t="str">
        <f t="shared" si="126"/>
        <v>0.00</v>
      </c>
      <c r="O312" t="str">
        <f>"300044"</f>
        <v>300044</v>
      </c>
      <c r="P312" t="str">
        <f>"0153613480"</f>
        <v>0153613480</v>
      </c>
    </row>
    <row r="313" spans="1:16" x14ac:dyDescent="0.25">
      <c r="A313" t="str">
        <f t="shared" si="101"/>
        <v>人民币</v>
      </c>
      <c r="B313" t="str">
        <f>"宇环数控"</f>
        <v>宇环数控</v>
      </c>
      <c r="C313" t="str">
        <f>"20170926"</f>
        <v>20170926</v>
      </c>
      <c r="D313" t="str">
        <f>"0.000"</f>
        <v>0.000</v>
      </c>
      <c r="E313" t="str">
        <f>"6.00"</f>
        <v>6.00</v>
      </c>
      <c r="F313" t="str">
        <f>"0.00"</f>
        <v>0.00</v>
      </c>
      <c r="G313" t="str">
        <f>"1103.87"</f>
        <v>1103.87</v>
      </c>
      <c r="H313" t="str">
        <f>"0.00"</f>
        <v>0.00</v>
      </c>
      <c r="I313" t="str">
        <f>"1"</f>
        <v>1</v>
      </c>
      <c r="J313" t="str">
        <f>"申购配号(宇环数控)"</f>
        <v>申购配号(宇环数控)</v>
      </c>
      <c r="K313" t="str">
        <f>"0.00"</f>
        <v>0.00</v>
      </c>
      <c r="L313" t="str">
        <f>"0.00"</f>
        <v>0.00</v>
      </c>
      <c r="M313" t="str">
        <f t="shared" si="126"/>
        <v>0.00</v>
      </c>
      <c r="N313" t="str">
        <f t="shared" si="126"/>
        <v>0.00</v>
      </c>
      <c r="O313" t="str">
        <f>"002903"</f>
        <v>002903</v>
      </c>
      <c r="P313" t="str">
        <f>"0153613480"</f>
        <v>0153613480</v>
      </c>
    </row>
    <row r="314" spans="1:16" x14ac:dyDescent="0.25">
      <c r="A314" t="str">
        <f t="shared" si="101"/>
        <v>人民币</v>
      </c>
      <c r="B314" t="str">
        <f>" "</f>
        <v xml:space="preserve"> </v>
      </c>
      <c r="C314" t="str">
        <f>"20170927"</f>
        <v>20170927</v>
      </c>
      <c r="D314" t="str">
        <f>"---"</f>
        <v>---</v>
      </c>
      <c r="E314" t="str">
        <f>"---"</f>
        <v>---</v>
      </c>
      <c r="F314" t="str">
        <f>"10000.00"</f>
        <v>10000.00</v>
      </c>
      <c r="G314" t="str">
        <f>"11103.87"</f>
        <v>11103.87</v>
      </c>
      <c r="H314" t="str">
        <f>"---"</f>
        <v>---</v>
      </c>
      <c r="I314" t="str">
        <f>"---"</f>
        <v>---</v>
      </c>
      <c r="J314" t="str">
        <f>"银行转存"</f>
        <v>银行转存</v>
      </c>
      <c r="K314" t="str">
        <f t="shared" ref="K314:P315" si="127">"---"</f>
        <v>---</v>
      </c>
      <c r="L314" t="str">
        <f t="shared" si="127"/>
        <v>---</v>
      </c>
      <c r="M314" t="str">
        <f t="shared" si="127"/>
        <v>---</v>
      </c>
      <c r="N314" t="str">
        <f t="shared" si="127"/>
        <v>---</v>
      </c>
      <c r="O314" t="str">
        <f t="shared" si="127"/>
        <v>---</v>
      </c>
      <c r="P314" t="str">
        <f t="shared" si="127"/>
        <v>---</v>
      </c>
    </row>
    <row r="315" spans="1:16" x14ac:dyDescent="0.25">
      <c r="A315" t="str">
        <f t="shared" si="101"/>
        <v>人民币</v>
      </c>
      <c r="B315" t="str">
        <f>" "</f>
        <v xml:space="preserve"> </v>
      </c>
      <c r="C315" t="str">
        <f>"20170927"</f>
        <v>20170927</v>
      </c>
      <c r="D315" t="str">
        <f>"---"</f>
        <v>---</v>
      </c>
      <c r="E315" t="str">
        <f>"---"</f>
        <v>---</v>
      </c>
      <c r="F315" t="str">
        <f>"-5000.00"</f>
        <v>-5000.00</v>
      </c>
      <c r="G315" t="str">
        <f>"6103.87"</f>
        <v>6103.87</v>
      </c>
      <c r="H315" t="str">
        <f>"---"</f>
        <v>---</v>
      </c>
      <c r="I315" t="str">
        <f>"---"</f>
        <v>---</v>
      </c>
      <c r="J315" t="str">
        <f>"银行转取"</f>
        <v>银行转取</v>
      </c>
      <c r="K315" t="str">
        <f t="shared" si="127"/>
        <v>---</v>
      </c>
      <c r="L315" t="str">
        <f t="shared" si="127"/>
        <v>---</v>
      </c>
      <c r="M315" t="str">
        <f t="shared" si="127"/>
        <v>---</v>
      </c>
      <c r="N315" t="str">
        <f t="shared" si="127"/>
        <v>---</v>
      </c>
      <c r="O315" t="str">
        <f t="shared" si="127"/>
        <v>---</v>
      </c>
      <c r="P315" t="str">
        <f t="shared" si="127"/>
        <v>---</v>
      </c>
    </row>
    <row r="316" spans="1:16" x14ac:dyDescent="0.25">
      <c r="A316" t="str">
        <f t="shared" si="101"/>
        <v>人民币</v>
      </c>
      <c r="B316" t="str">
        <f>"西部建设"</f>
        <v>西部建设</v>
      </c>
      <c r="C316" t="str">
        <f>"20170927"</f>
        <v>20170927</v>
      </c>
      <c r="D316" t="str">
        <f>"19.200"</f>
        <v>19.200</v>
      </c>
      <c r="E316" t="str">
        <f>"200.00"</f>
        <v>200.00</v>
      </c>
      <c r="F316" t="str">
        <f>"-3845.00"</f>
        <v>-3845.00</v>
      </c>
      <c r="G316" t="str">
        <f>"2258.87"</f>
        <v>2258.87</v>
      </c>
      <c r="H316" t="str">
        <f>"1900.00"</f>
        <v>1900.00</v>
      </c>
      <c r="I316" t="str">
        <f>"10"</f>
        <v>10</v>
      </c>
      <c r="J316" t="str">
        <f>"证券买入(西部建设)"</f>
        <v>证券买入(西部建设)</v>
      </c>
      <c r="K316" t="str">
        <f>"5.00"</f>
        <v>5.00</v>
      </c>
      <c r="L316" t="str">
        <f t="shared" ref="L316:N324" si="128">"0.00"</f>
        <v>0.00</v>
      </c>
      <c r="M316" t="str">
        <f t="shared" si="128"/>
        <v>0.00</v>
      </c>
      <c r="N316" t="str">
        <f t="shared" si="128"/>
        <v>0.00</v>
      </c>
      <c r="O316" t="str">
        <f>"002302"</f>
        <v>002302</v>
      </c>
      <c r="P316" t="str">
        <f t="shared" ref="P316:P324" si="129">"0153613480"</f>
        <v>0153613480</v>
      </c>
    </row>
    <row r="317" spans="1:16" x14ac:dyDescent="0.25">
      <c r="A317" t="str">
        <f t="shared" si="101"/>
        <v>人民币</v>
      </c>
      <c r="B317" t="str">
        <f>"西部建设"</f>
        <v>西部建设</v>
      </c>
      <c r="C317" t="str">
        <f>"20170927"</f>
        <v>20170927</v>
      </c>
      <c r="D317" t="str">
        <f>"19.200"</f>
        <v>19.200</v>
      </c>
      <c r="E317" t="str">
        <f>"100.00"</f>
        <v>100.00</v>
      </c>
      <c r="F317" t="str">
        <f>"-1925.00"</f>
        <v>-1925.00</v>
      </c>
      <c r="G317" t="str">
        <f t="shared" ref="G317:G324" si="130">"333.87"</f>
        <v>333.87</v>
      </c>
      <c r="H317" t="str">
        <f>"2000.00"</f>
        <v>2000.00</v>
      </c>
      <c r="I317" t="str">
        <f>"17"</f>
        <v>17</v>
      </c>
      <c r="J317" t="str">
        <f>"证券买入(西部建设)"</f>
        <v>证券买入(西部建设)</v>
      </c>
      <c r="K317" t="str">
        <f>"5.00"</f>
        <v>5.00</v>
      </c>
      <c r="L317" t="str">
        <f t="shared" si="128"/>
        <v>0.00</v>
      </c>
      <c r="M317" t="str">
        <f t="shared" si="128"/>
        <v>0.00</v>
      </c>
      <c r="N317" t="str">
        <f t="shared" si="128"/>
        <v>0.00</v>
      </c>
      <c r="O317" t="str">
        <f>"002302"</f>
        <v>002302</v>
      </c>
      <c r="P317" t="str">
        <f t="shared" si="129"/>
        <v>0153613480</v>
      </c>
    </row>
    <row r="318" spans="1:16" x14ac:dyDescent="0.25">
      <c r="A318" t="str">
        <f t="shared" si="101"/>
        <v>人民币</v>
      </c>
      <c r="B318" t="str">
        <f>"华阳集团"</f>
        <v>华阳集团</v>
      </c>
      <c r="C318" t="str">
        <f>"20170927"</f>
        <v>20170927</v>
      </c>
      <c r="D318" t="str">
        <f t="shared" ref="D318:D324" si="131">"0.000"</f>
        <v>0.000</v>
      </c>
      <c r="E318" t="str">
        <f>"7.00"</f>
        <v>7.00</v>
      </c>
      <c r="F318" t="str">
        <f t="shared" ref="F318:F324" si="132">"0.00"</f>
        <v>0.00</v>
      </c>
      <c r="G318" t="str">
        <f t="shared" si="130"/>
        <v>333.87</v>
      </c>
      <c r="H318" t="str">
        <f t="shared" ref="H318:H324" si="133">"0.00"</f>
        <v>0.00</v>
      </c>
      <c r="I318" t="str">
        <f>"8"</f>
        <v>8</v>
      </c>
      <c r="J318" t="str">
        <f>"申购配号(华阳集团)"</f>
        <v>申购配号(华阳集团)</v>
      </c>
      <c r="K318" t="str">
        <f t="shared" ref="K318:K324" si="134">"0.00"</f>
        <v>0.00</v>
      </c>
      <c r="L318" t="str">
        <f t="shared" si="128"/>
        <v>0.00</v>
      </c>
      <c r="M318" t="str">
        <f t="shared" si="128"/>
        <v>0.00</v>
      </c>
      <c r="N318" t="str">
        <f t="shared" si="128"/>
        <v>0.00</v>
      </c>
      <c r="O318" t="str">
        <f>"002906"</f>
        <v>002906</v>
      </c>
      <c r="P318" t="str">
        <f t="shared" si="129"/>
        <v>0153613480</v>
      </c>
    </row>
    <row r="319" spans="1:16" x14ac:dyDescent="0.25">
      <c r="A319" t="str">
        <f t="shared" si="101"/>
        <v>人民币</v>
      </c>
      <c r="B319" t="str">
        <f>"德生科技"</f>
        <v>德生科技</v>
      </c>
      <c r="C319" t="str">
        <f>"20171010"</f>
        <v>20171010</v>
      </c>
      <c r="D319" t="str">
        <f t="shared" si="131"/>
        <v>0.000</v>
      </c>
      <c r="E319" t="str">
        <f>"8.00"</f>
        <v>8.00</v>
      </c>
      <c r="F319" t="str">
        <f t="shared" si="132"/>
        <v>0.00</v>
      </c>
      <c r="G319" t="str">
        <f t="shared" si="130"/>
        <v>333.87</v>
      </c>
      <c r="H319" t="str">
        <f t="shared" si="133"/>
        <v>0.00</v>
      </c>
      <c r="I319" t="str">
        <f>"23"</f>
        <v>23</v>
      </c>
      <c r="J319" t="str">
        <f>"申购配号(德生科技)"</f>
        <v>申购配号(德生科技)</v>
      </c>
      <c r="K319" t="str">
        <f t="shared" si="134"/>
        <v>0.00</v>
      </c>
      <c r="L319" t="str">
        <f t="shared" si="128"/>
        <v>0.00</v>
      </c>
      <c r="M319" t="str">
        <f t="shared" si="128"/>
        <v>0.00</v>
      </c>
      <c r="N319" t="str">
        <f t="shared" si="128"/>
        <v>0.00</v>
      </c>
      <c r="O319" t="str">
        <f>"002908"</f>
        <v>002908</v>
      </c>
      <c r="P319" t="str">
        <f t="shared" si="129"/>
        <v>0153613480</v>
      </c>
    </row>
    <row r="320" spans="1:16" x14ac:dyDescent="0.25">
      <c r="A320" t="str">
        <f t="shared" si="101"/>
        <v>人民币</v>
      </c>
      <c r="B320" t="str">
        <f>"华森制药"</f>
        <v>华森制药</v>
      </c>
      <c r="C320" t="str">
        <f>"20171011"</f>
        <v>20171011</v>
      </c>
      <c r="D320" t="str">
        <f t="shared" si="131"/>
        <v>0.000</v>
      </c>
      <c r="E320" t="str">
        <f>"9.00"</f>
        <v>9.00</v>
      </c>
      <c r="F320" t="str">
        <f t="shared" si="132"/>
        <v>0.00</v>
      </c>
      <c r="G320" t="str">
        <f t="shared" si="130"/>
        <v>333.87</v>
      </c>
      <c r="H320" t="str">
        <f t="shared" si="133"/>
        <v>0.00</v>
      </c>
      <c r="I320" t="str">
        <f>"26"</f>
        <v>26</v>
      </c>
      <c r="J320" t="str">
        <f>"申购配号(华森制药)"</f>
        <v>申购配号(华森制药)</v>
      </c>
      <c r="K320" t="str">
        <f t="shared" si="134"/>
        <v>0.00</v>
      </c>
      <c r="L320" t="str">
        <f t="shared" si="128"/>
        <v>0.00</v>
      </c>
      <c r="M320" t="str">
        <f t="shared" si="128"/>
        <v>0.00</v>
      </c>
      <c r="N320" t="str">
        <f t="shared" si="128"/>
        <v>0.00</v>
      </c>
      <c r="O320" t="str">
        <f>"002907"</f>
        <v>002907</v>
      </c>
      <c r="P320" t="str">
        <f t="shared" si="129"/>
        <v>0153613480</v>
      </c>
    </row>
    <row r="321" spans="1:16" x14ac:dyDescent="0.25">
      <c r="A321" t="str">
        <f t="shared" si="101"/>
        <v>人民币</v>
      </c>
      <c r="B321" t="str">
        <f>"凯伦股份"</f>
        <v>凯伦股份</v>
      </c>
      <c r="C321" t="str">
        <f>"20171012"</f>
        <v>20171012</v>
      </c>
      <c r="D321" t="str">
        <f t="shared" si="131"/>
        <v>0.000</v>
      </c>
      <c r="E321" t="str">
        <f>"9.00"</f>
        <v>9.00</v>
      </c>
      <c r="F321" t="str">
        <f t="shared" si="132"/>
        <v>0.00</v>
      </c>
      <c r="G321" t="str">
        <f t="shared" si="130"/>
        <v>333.87</v>
      </c>
      <c r="H321" t="str">
        <f t="shared" si="133"/>
        <v>0.00</v>
      </c>
      <c r="I321" t="str">
        <f>"29"</f>
        <v>29</v>
      </c>
      <c r="J321" t="str">
        <f>"申购配号(凯伦股份)"</f>
        <v>申购配号(凯伦股份)</v>
      </c>
      <c r="K321" t="str">
        <f t="shared" si="134"/>
        <v>0.00</v>
      </c>
      <c r="L321" t="str">
        <f t="shared" si="128"/>
        <v>0.00</v>
      </c>
      <c r="M321" t="str">
        <f t="shared" si="128"/>
        <v>0.00</v>
      </c>
      <c r="N321" t="str">
        <f t="shared" si="128"/>
        <v>0.00</v>
      </c>
      <c r="O321" t="str">
        <f>"300715"</f>
        <v>300715</v>
      </c>
      <c r="P321" t="str">
        <f t="shared" si="129"/>
        <v>0153613480</v>
      </c>
    </row>
    <row r="322" spans="1:16" x14ac:dyDescent="0.25">
      <c r="A322" t="str">
        <f t="shared" ref="A322:A389" si="135">"人民币"</f>
        <v>人民币</v>
      </c>
      <c r="B322" t="str">
        <f>"庄园牧场"</f>
        <v>庄园牧场</v>
      </c>
      <c r="C322" t="str">
        <f>"20171018"</f>
        <v>20171018</v>
      </c>
      <c r="D322" t="str">
        <f t="shared" si="131"/>
        <v>0.000</v>
      </c>
      <c r="E322" t="str">
        <f>"10.00"</f>
        <v>10.00</v>
      </c>
      <c r="F322" t="str">
        <f t="shared" si="132"/>
        <v>0.00</v>
      </c>
      <c r="G322" t="str">
        <f t="shared" si="130"/>
        <v>333.87</v>
      </c>
      <c r="H322" t="str">
        <f t="shared" si="133"/>
        <v>0.00</v>
      </c>
      <c r="I322" t="str">
        <f>"32"</f>
        <v>32</v>
      </c>
      <c r="J322" t="str">
        <f>"申购配号(庄园牧场)"</f>
        <v>申购配号(庄园牧场)</v>
      </c>
      <c r="K322" t="str">
        <f t="shared" si="134"/>
        <v>0.00</v>
      </c>
      <c r="L322" t="str">
        <f t="shared" si="128"/>
        <v>0.00</v>
      </c>
      <c r="M322" t="str">
        <f t="shared" si="128"/>
        <v>0.00</v>
      </c>
      <c r="N322" t="str">
        <f t="shared" si="128"/>
        <v>0.00</v>
      </c>
      <c r="O322" t="str">
        <f>"002910"</f>
        <v>002910</v>
      </c>
      <c r="P322" t="str">
        <f t="shared" si="129"/>
        <v>0153613480</v>
      </c>
    </row>
    <row r="323" spans="1:16" x14ac:dyDescent="0.25">
      <c r="A323" t="str">
        <f t="shared" si="135"/>
        <v>人民币</v>
      </c>
      <c r="B323" t="str">
        <f>"永福股份"</f>
        <v>永福股份</v>
      </c>
      <c r="C323" t="str">
        <f>"20171019"</f>
        <v>20171019</v>
      </c>
      <c r="D323" t="str">
        <f t="shared" si="131"/>
        <v>0.000</v>
      </c>
      <c r="E323" t="str">
        <f>"10.00"</f>
        <v>10.00</v>
      </c>
      <c r="F323" t="str">
        <f t="shared" si="132"/>
        <v>0.00</v>
      </c>
      <c r="G323" t="str">
        <f t="shared" si="130"/>
        <v>333.87</v>
      </c>
      <c r="H323" t="str">
        <f t="shared" si="133"/>
        <v>0.00</v>
      </c>
      <c r="I323" t="str">
        <f>"35"</f>
        <v>35</v>
      </c>
      <c r="J323" t="str">
        <f>"申购配号(永福股份)"</f>
        <v>申购配号(永福股份)</v>
      </c>
      <c r="K323" t="str">
        <f t="shared" si="134"/>
        <v>0.00</v>
      </c>
      <c r="L323" t="str">
        <f t="shared" si="128"/>
        <v>0.00</v>
      </c>
      <c r="M323" t="str">
        <f t="shared" si="128"/>
        <v>0.00</v>
      </c>
      <c r="N323" t="str">
        <f t="shared" si="128"/>
        <v>0.00</v>
      </c>
      <c r="O323" t="str">
        <f>"300712"</f>
        <v>300712</v>
      </c>
      <c r="P323" t="str">
        <f t="shared" si="129"/>
        <v>0153613480</v>
      </c>
    </row>
    <row r="324" spans="1:16" x14ac:dyDescent="0.25">
      <c r="A324" t="str">
        <f t="shared" si="135"/>
        <v>人民币</v>
      </c>
      <c r="B324" t="str">
        <f>"英可瑞"</f>
        <v>英可瑞</v>
      </c>
      <c r="C324" t="str">
        <f>"20171019"</f>
        <v>20171019</v>
      </c>
      <c r="D324" t="str">
        <f t="shared" si="131"/>
        <v>0.000</v>
      </c>
      <c r="E324" t="str">
        <f>"10.00"</f>
        <v>10.00</v>
      </c>
      <c r="F324" t="str">
        <f t="shared" si="132"/>
        <v>0.00</v>
      </c>
      <c r="G324" t="str">
        <f t="shared" si="130"/>
        <v>333.87</v>
      </c>
      <c r="H324" t="str">
        <f t="shared" si="133"/>
        <v>0.00</v>
      </c>
      <c r="I324" t="str">
        <f>"37"</f>
        <v>37</v>
      </c>
      <c r="J324" t="str">
        <f>"申购配号(英可瑞)"</f>
        <v>申购配号(英可瑞)</v>
      </c>
      <c r="K324" t="str">
        <f t="shared" si="134"/>
        <v>0.00</v>
      </c>
      <c r="L324" t="str">
        <f t="shared" si="128"/>
        <v>0.00</v>
      </c>
      <c r="M324" t="str">
        <f t="shared" si="128"/>
        <v>0.00</v>
      </c>
      <c r="N324" t="str">
        <f t="shared" si="128"/>
        <v>0.00</v>
      </c>
      <c r="O324" t="str">
        <f>"300713"</f>
        <v>300713</v>
      </c>
      <c r="P324" t="str">
        <f t="shared" si="129"/>
        <v>0153613480</v>
      </c>
    </row>
    <row r="325" spans="1:16" x14ac:dyDescent="0.25">
      <c r="A325" t="str">
        <f t="shared" si="135"/>
        <v>人民币</v>
      </c>
      <c r="B325" t="str">
        <f>" "</f>
        <v xml:space="preserve"> </v>
      </c>
      <c r="C325" t="str">
        <f>"20171024"</f>
        <v>20171024</v>
      </c>
      <c r="D325" t="str">
        <f>"---"</f>
        <v>---</v>
      </c>
      <c r="E325" t="str">
        <f>"---"</f>
        <v>---</v>
      </c>
      <c r="F325" t="str">
        <f>"6800.00"</f>
        <v>6800.00</v>
      </c>
      <c r="G325" t="str">
        <f>"7133.87"</f>
        <v>7133.87</v>
      </c>
      <c r="H325" t="str">
        <f>"---"</f>
        <v>---</v>
      </c>
      <c r="I325" t="str">
        <f>"---"</f>
        <v>---</v>
      </c>
      <c r="J325" t="str">
        <f>"银行转存"</f>
        <v>银行转存</v>
      </c>
      <c r="K325" t="str">
        <f t="shared" ref="K325:P325" si="136">"---"</f>
        <v>---</v>
      </c>
      <c r="L325" t="str">
        <f t="shared" si="136"/>
        <v>---</v>
      </c>
      <c r="M325" t="str">
        <f t="shared" si="136"/>
        <v>---</v>
      </c>
      <c r="N325" t="str">
        <f t="shared" si="136"/>
        <v>---</v>
      </c>
      <c r="O325" t="str">
        <f t="shared" si="136"/>
        <v>---</v>
      </c>
      <c r="P325" t="str">
        <f t="shared" si="136"/>
        <v>---</v>
      </c>
    </row>
    <row r="326" spans="1:16" x14ac:dyDescent="0.25">
      <c r="A326" t="str">
        <f t="shared" si="135"/>
        <v>人民币</v>
      </c>
      <c r="B326" t="str">
        <f>"西部建设"</f>
        <v>西部建设</v>
      </c>
      <c r="C326" t="str">
        <f>"20171024"</f>
        <v>20171024</v>
      </c>
      <c r="D326" t="str">
        <f>"18.500"</f>
        <v>18.500</v>
      </c>
      <c r="E326" t="str">
        <f>"300.00"</f>
        <v>300.00</v>
      </c>
      <c r="F326" t="str">
        <f>"-5555.00"</f>
        <v>-5555.00</v>
      </c>
      <c r="G326" t="str">
        <f>"1578.87"</f>
        <v>1578.87</v>
      </c>
      <c r="H326" t="str">
        <f>"2300.00"</f>
        <v>2300.00</v>
      </c>
      <c r="I326" t="str">
        <f>"42"</f>
        <v>42</v>
      </c>
      <c r="J326" t="str">
        <f>"证券买入(西部建设)"</f>
        <v>证券买入(西部建设)</v>
      </c>
      <c r="K326" t="str">
        <f>"5.00"</f>
        <v>5.00</v>
      </c>
      <c r="L326" t="str">
        <f>"0.00"</f>
        <v>0.00</v>
      </c>
      <c r="M326" t="str">
        <f>"0.00"</f>
        <v>0.00</v>
      </c>
      <c r="N326" t="str">
        <f>"0.00"</f>
        <v>0.00</v>
      </c>
      <c r="O326" t="str">
        <f>"002302"</f>
        <v>002302</v>
      </c>
      <c r="P326" t="str">
        <f>"0153613480"</f>
        <v>0153613480</v>
      </c>
    </row>
    <row r="327" spans="1:16" x14ac:dyDescent="0.25">
      <c r="A327" t="str">
        <f t="shared" si="135"/>
        <v>人民币</v>
      </c>
      <c r="B327" t="str">
        <f>" "</f>
        <v xml:space="preserve"> </v>
      </c>
      <c r="C327" t="str">
        <f>"20171025"</f>
        <v>20171025</v>
      </c>
      <c r="D327" t="str">
        <f>"---"</f>
        <v>---</v>
      </c>
      <c r="E327" t="str">
        <f>"---"</f>
        <v>---</v>
      </c>
      <c r="F327" t="str">
        <f>"6764.00"</f>
        <v>6764.00</v>
      </c>
      <c r="G327" t="str">
        <f>"8342.87"</f>
        <v>8342.87</v>
      </c>
      <c r="H327" t="str">
        <f>"---"</f>
        <v>---</v>
      </c>
      <c r="I327" t="str">
        <f>"---"</f>
        <v>---</v>
      </c>
      <c r="J327" t="str">
        <f>"银行转存"</f>
        <v>银行转存</v>
      </c>
      <c r="K327" t="str">
        <f t="shared" ref="K327:P327" si="137">"---"</f>
        <v>---</v>
      </c>
      <c r="L327" t="str">
        <f t="shared" si="137"/>
        <v>---</v>
      </c>
      <c r="M327" t="str">
        <f t="shared" si="137"/>
        <v>---</v>
      </c>
      <c r="N327" t="str">
        <f t="shared" si="137"/>
        <v>---</v>
      </c>
      <c r="O327" t="str">
        <f t="shared" si="137"/>
        <v>---</v>
      </c>
      <c r="P327" t="str">
        <f t="shared" si="137"/>
        <v>---</v>
      </c>
    </row>
    <row r="328" spans="1:16" x14ac:dyDescent="0.25">
      <c r="A328" t="str">
        <f t="shared" si="135"/>
        <v>人民币</v>
      </c>
      <c r="B328" t="str">
        <f>"西部建设"</f>
        <v>西部建设</v>
      </c>
      <c r="C328" t="str">
        <f>"20171025"</f>
        <v>20171025</v>
      </c>
      <c r="D328" t="str">
        <f>"18.200"</f>
        <v>18.200</v>
      </c>
      <c r="E328" t="str">
        <f>"200.00"</f>
        <v>200.00</v>
      </c>
      <c r="F328" t="str">
        <f>"-3645.00"</f>
        <v>-3645.00</v>
      </c>
      <c r="G328" t="str">
        <f>"4697.87"</f>
        <v>4697.87</v>
      </c>
      <c r="H328" t="str">
        <f>"2500.00"</f>
        <v>2500.00</v>
      </c>
      <c r="I328" t="str">
        <f>"49"</f>
        <v>49</v>
      </c>
      <c r="J328" t="str">
        <f>"证券买入(西部建设)"</f>
        <v>证券买入(西部建设)</v>
      </c>
      <c r="K328" t="str">
        <f>"5.00"</f>
        <v>5.00</v>
      </c>
      <c r="L328" t="str">
        <f t="shared" ref="L328:N329" si="138">"0.00"</f>
        <v>0.00</v>
      </c>
      <c r="M328" t="str">
        <f t="shared" si="138"/>
        <v>0.00</v>
      </c>
      <c r="N328" t="str">
        <f t="shared" si="138"/>
        <v>0.00</v>
      </c>
      <c r="O328" t="str">
        <f>"002302"</f>
        <v>002302</v>
      </c>
      <c r="P328" t="str">
        <f>"0153613480"</f>
        <v>0153613480</v>
      </c>
    </row>
    <row r="329" spans="1:16" x14ac:dyDescent="0.25">
      <c r="A329" t="str">
        <f t="shared" si="135"/>
        <v>人民币</v>
      </c>
      <c r="B329" t="str">
        <f>"长盛轴承"</f>
        <v>长盛轴承</v>
      </c>
      <c r="C329" t="str">
        <f>"20171025"</f>
        <v>20171025</v>
      </c>
      <c r="D329" t="str">
        <f>"0.000"</f>
        <v>0.000</v>
      </c>
      <c r="E329" t="str">
        <f>"10.00"</f>
        <v>10.00</v>
      </c>
      <c r="F329" t="str">
        <f>"0.00"</f>
        <v>0.00</v>
      </c>
      <c r="G329" t="str">
        <f>"4697.87"</f>
        <v>4697.87</v>
      </c>
      <c r="H329" t="str">
        <f>"0.00"</f>
        <v>0.00</v>
      </c>
      <c r="I329" t="str">
        <f>"46"</f>
        <v>46</v>
      </c>
      <c r="J329" t="str">
        <f>"申购配号(长盛轴承)"</f>
        <v>申购配号(长盛轴承)</v>
      </c>
      <c r="K329" t="str">
        <f>"0.00"</f>
        <v>0.00</v>
      </c>
      <c r="L329" t="str">
        <f t="shared" si="138"/>
        <v>0.00</v>
      </c>
      <c r="M329" t="str">
        <f t="shared" si="138"/>
        <v>0.00</v>
      </c>
      <c r="N329" t="str">
        <f t="shared" si="138"/>
        <v>0.00</v>
      </c>
      <c r="O329" t="str">
        <f>"300718"</f>
        <v>300718</v>
      </c>
      <c r="P329" t="str">
        <f>"0153613480"</f>
        <v>0153613480</v>
      </c>
    </row>
    <row r="330" spans="1:16" x14ac:dyDescent="0.25">
      <c r="A330" t="str">
        <f t="shared" si="135"/>
        <v>人民币</v>
      </c>
      <c r="B330" t="str">
        <f>" "</f>
        <v xml:space="preserve"> </v>
      </c>
      <c r="C330" t="str">
        <f>"20171026"</f>
        <v>20171026</v>
      </c>
      <c r="D330" t="str">
        <f>"---"</f>
        <v>---</v>
      </c>
      <c r="E330" t="str">
        <f>"---"</f>
        <v>---</v>
      </c>
      <c r="F330" t="str">
        <f>"-3000.00"</f>
        <v>-3000.00</v>
      </c>
      <c r="G330" t="str">
        <f>"1697.87"</f>
        <v>1697.87</v>
      </c>
      <c r="H330" t="str">
        <f>"---"</f>
        <v>---</v>
      </c>
      <c r="I330" t="str">
        <f>"---"</f>
        <v>---</v>
      </c>
      <c r="J330" t="str">
        <f>"银行转取"</f>
        <v>银行转取</v>
      </c>
      <c r="K330" t="str">
        <f t="shared" ref="K330:P330" si="139">"---"</f>
        <v>---</v>
      </c>
      <c r="L330" t="str">
        <f t="shared" si="139"/>
        <v>---</v>
      </c>
      <c r="M330" t="str">
        <f t="shared" si="139"/>
        <v>---</v>
      </c>
      <c r="N330" t="str">
        <f t="shared" si="139"/>
        <v>---</v>
      </c>
      <c r="O330" t="str">
        <f t="shared" si="139"/>
        <v>---</v>
      </c>
      <c r="P330" t="str">
        <f t="shared" si="139"/>
        <v>---</v>
      </c>
    </row>
    <row r="331" spans="1:16" x14ac:dyDescent="0.25">
      <c r="A331" t="str">
        <f t="shared" si="135"/>
        <v>人民币</v>
      </c>
      <c r="B331" t="str">
        <f>"华信新材"</f>
        <v>华信新材</v>
      </c>
      <c r="C331" t="str">
        <f>"20171026"</f>
        <v>20171026</v>
      </c>
      <c r="D331" t="str">
        <f>"0.000"</f>
        <v>0.000</v>
      </c>
      <c r="E331" t="str">
        <f>"11.00"</f>
        <v>11.00</v>
      </c>
      <c r="F331" t="str">
        <f>"0.00"</f>
        <v>0.00</v>
      </c>
      <c r="G331" t="str">
        <f>"1697.87"</f>
        <v>1697.87</v>
      </c>
      <c r="H331" t="str">
        <f>"0.00"</f>
        <v>0.00</v>
      </c>
      <c r="I331" t="str">
        <f>"55"</f>
        <v>55</v>
      </c>
      <c r="J331" t="str">
        <f>"申购配号(华信新材)"</f>
        <v>申购配号(华信新材)</v>
      </c>
      <c r="K331" t="str">
        <f t="shared" ref="K331:N332" si="140">"0.00"</f>
        <v>0.00</v>
      </c>
      <c r="L331" t="str">
        <f t="shared" si="140"/>
        <v>0.00</v>
      </c>
      <c r="M331" t="str">
        <f t="shared" si="140"/>
        <v>0.00</v>
      </c>
      <c r="N331" t="str">
        <f t="shared" si="140"/>
        <v>0.00</v>
      </c>
      <c r="O331" t="str">
        <f>"300717"</f>
        <v>300717</v>
      </c>
      <c r="P331" t="str">
        <f>"0153613480"</f>
        <v>0153613480</v>
      </c>
    </row>
    <row r="332" spans="1:16" x14ac:dyDescent="0.25">
      <c r="A332" t="str">
        <f t="shared" si="135"/>
        <v>人民币</v>
      </c>
      <c r="B332" t="str">
        <f>"海川智能"</f>
        <v>海川智能</v>
      </c>
      <c r="C332" t="str">
        <f>"20171026"</f>
        <v>20171026</v>
      </c>
      <c r="D332" t="str">
        <f>"0.000"</f>
        <v>0.000</v>
      </c>
      <c r="E332" t="str">
        <f>"11.00"</f>
        <v>11.00</v>
      </c>
      <c r="F332" t="str">
        <f>"0.00"</f>
        <v>0.00</v>
      </c>
      <c r="G332" t="str">
        <f>"1697.87"</f>
        <v>1697.87</v>
      </c>
      <c r="H332" t="str">
        <f>"0.00"</f>
        <v>0.00</v>
      </c>
      <c r="I332" t="str">
        <f>"57"</f>
        <v>57</v>
      </c>
      <c r="J332" t="str">
        <f>"申购配号(海川智能)"</f>
        <v>申购配号(海川智能)</v>
      </c>
      <c r="K332" t="str">
        <f t="shared" si="140"/>
        <v>0.00</v>
      </c>
      <c r="L332" t="str">
        <f t="shared" si="140"/>
        <v>0.00</v>
      </c>
      <c r="M332" t="str">
        <f t="shared" si="140"/>
        <v>0.00</v>
      </c>
      <c r="N332" t="str">
        <f t="shared" si="140"/>
        <v>0.00</v>
      </c>
      <c r="O332" t="str">
        <f>"300720"</f>
        <v>300720</v>
      </c>
      <c r="P332" t="str">
        <f>"0153613480"</f>
        <v>0153613480</v>
      </c>
    </row>
    <row r="333" spans="1:16" x14ac:dyDescent="0.25">
      <c r="A333" t="str">
        <f t="shared" si="135"/>
        <v>人民币</v>
      </c>
      <c r="B333" t="str">
        <f>"西部建设"</f>
        <v>西部建设</v>
      </c>
      <c r="C333" t="str">
        <f>"20171102"</f>
        <v>20171102</v>
      </c>
      <c r="D333" t="str">
        <f>"16.870"</f>
        <v>16.870</v>
      </c>
      <c r="E333" t="str">
        <f>"100.00"</f>
        <v>100.00</v>
      </c>
      <c r="F333" t="str">
        <f>"-1692.00"</f>
        <v>-1692.00</v>
      </c>
      <c r="G333" t="str">
        <f t="shared" ref="G333:G338" si="141">"5.87"</f>
        <v>5.87</v>
      </c>
      <c r="H333" t="str">
        <f>"2600.00"</f>
        <v>2600.00</v>
      </c>
      <c r="I333" t="str">
        <f>"68"</f>
        <v>68</v>
      </c>
      <c r="J333" t="str">
        <f>"证券买入(西部建设)"</f>
        <v>证券买入(西部建设)</v>
      </c>
      <c r="K333" t="str">
        <f>"5.00"</f>
        <v>5.00</v>
      </c>
      <c r="L333" t="str">
        <f t="shared" ref="L333:N338" si="142">"0.00"</f>
        <v>0.00</v>
      </c>
      <c r="M333" t="str">
        <f t="shared" si="142"/>
        <v>0.00</v>
      </c>
      <c r="N333" t="str">
        <f t="shared" si="142"/>
        <v>0.00</v>
      </c>
      <c r="O333" t="str">
        <f>"002302"</f>
        <v>002302</v>
      </c>
      <c r="P333" t="str">
        <f>"0153613480"</f>
        <v>0153613480</v>
      </c>
    </row>
    <row r="334" spans="1:16" x14ac:dyDescent="0.25">
      <c r="A334" t="str">
        <f t="shared" si="135"/>
        <v>人民币</v>
      </c>
      <c r="B334" t="str">
        <f>"怡达股份"</f>
        <v>怡达股份</v>
      </c>
      <c r="C334" t="str">
        <f>"20171102"</f>
        <v>20171102</v>
      </c>
      <c r="D334" t="str">
        <f>"0.000"</f>
        <v>0.000</v>
      </c>
      <c r="E334" t="str">
        <f>"11.00"</f>
        <v>11.00</v>
      </c>
      <c r="F334" t="str">
        <f>"0.00"</f>
        <v>0.00</v>
      </c>
      <c r="G334" t="str">
        <f t="shared" si="141"/>
        <v>5.87</v>
      </c>
      <c r="H334" t="str">
        <f>"0.00"</f>
        <v>0.00</v>
      </c>
      <c r="I334" t="str">
        <f>"66"</f>
        <v>66</v>
      </c>
      <c r="J334" t="str">
        <f>"申购配号(怡达股份)"</f>
        <v>申购配号(怡达股份)</v>
      </c>
      <c r="K334" t="str">
        <f>"0.00"</f>
        <v>0.00</v>
      </c>
      <c r="L334" t="str">
        <f t="shared" si="142"/>
        <v>0.00</v>
      </c>
      <c r="M334" t="str">
        <f t="shared" si="142"/>
        <v>0.00</v>
      </c>
      <c r="N334" t="str">
        <f t="shared" si="142"/>
        <v>0.00</v>
      </c>
      <c r="O334" t="str">
        <f>"300721"</f>
        <v>300721</v>
      </c>
      <c r="P334" t="str">
        <f>"0153613480"</f>
        <v>0153613480</v>
      </c>
    </row>
    <row r="335" spans="1:16" x14ac:dyDescent="0.25">
      <c r="A335" t="str">
        <f t="shared" si="135"/>
        <v>人民币</v>
      </c>
      <c r="B335" t="str">
        <f>"盘龙药业"</f>
        <v>盘龙药业</v>
      </c>
      <c r="C335" t="str">
        <f>"20171102"</f>
        <v>20171102</v>
      </c>
      <c r="D335" t="str">
        <f>"0.000"</f>
        <v>0.000</v>
      </c>
      <c r="E335" t="str">
        <f>"11.00"</f>
        <v>11.00</v>
      </c>
      <c r="F335" t="str">
        <f>"0.00"</f>
        <v>0.00</v>
      </c>
      <c r="G335" t="str">
        <f t="shared" si="141"/>
        <v>5.87</v>
      </c>
      <c r="H335" t="str">
        <f>"0.00"</f>
        <v>0.00</v>
      </c>
      <c r="I335" t="str">
        <f>"64"</f>
        <v>64</v>
      </c>
      <c r="J335" t="str">
        <f>"申购配号(盘龙药业)"</f>
        <v>申购配号(盘龙药业)</v>
      </c>
      <c r="K335" t="str">
        <f>"0.00"</f>
        <v>0.00</v>
      </c>
      <c r="L335" t="str">
        <f t="shared" si="142"/>
        <v>0.00</v>
      </c>
      <c r="M335" t="str">
        <f t="shared" si="142"/>
        <v>0.00</v>
      </c>
      <c r="N335" t="str">
        <f t="shared" si="142"/>
        <v>0.00</v>
      </c>
      <c r="O335" t="str">
        <f>"002864"</f>
        <v>002864</v>
      </c>
      <c r="P335" t="str">
        <f>"0153613480"</f>
        <v>0153613480</v>
      </c>
    </row>
    <row r="336" spans="1:16" x14ac:dyDescent="0.25">
      <c r="A336" t="str">
        <f t="shared" si="135"/>
        <v>人民币</v>
      </c>
      <c r="B336" t="str">
        <f>"小康配号"</f>
        <v>小康配号</v>
      </c>
      <c r="C336" t="str">
        <f>"20171106"</f>
        <v>20171106</v>
      </c>
      <c r="D336" t="str">
        <f>"0.000"</f>
        <v>0.000</v>
      </c>
      <c r="E336" t="str">
        <f>"1000.00"</f>
        <v>1000.00</v>
      </c>
      <c r="F336" t="str">
        <f>"0.00"</f>
        <v>0.00</v>
      </c>
      <c r="G336" t="str">
        <f t="shared" si="141"/>
        <v>5.87</v>
      </c>
      <c r="H336" t="str">
        <f>"0.00"</f>
        <v>0.00</v>
      </c>
      <c r="I336" t="str">
        <f>"74"</f>
        <v>74</v>
      </c>
      <c r="J336" t="str">
        <f>"申购配号(小康配号)"</f>
        <v>申购配号(小康配号)</v>
      </c>
      <c r="K336" t="str">
        <f>"0.00"</f>
        <v>0.00</v>
      </c>
      <c r="L336" t="str">
        <f t="shared" si="142"/>
        <v>0.00</v>
      </c>
      <c r="M336" t="str">
        <f t="shared" si="142"/>
        <v>0.00</v>
      </c>
      <c r="N336" t="str">
        <f t="shared" si="142"/>
        <v>0.00</v>
      </c>
      <c r="O336" t="str">
        <f>"794127"</f>
        <v>794127</v>
      </c>
      <c r="P336" t="str">
        <f>"A400948245"</f>
        <v>A400948245</v>
      </c>
    </row>
    <row r="337" spans="1:16" x14ac:dyDescent="0.25">
      <c r="A337" t="str">
        <f t="shared" si="135"/>
        <v>人民币</v>
      </c>
      <c r="B337" t="str">
        <f>"时达发债"</f>
        <v>时达发债</v>
      </c>
      <c r="C337" t="str">
        <f>"20171106"</f>
        <v>20171106</v>
      </c>
      <c r="D337" t="str">
        <f>"0.000"</f>
        <v>0.000</v>
      </c>
      <c r="E337" t="str">
        <f>"1000.00"</f>
        <v>1000.00</v>
      </c>
      <c r="F337" t="str">
        <f>"0.00"</f>
        <v>0.00</v>
      </c>
      <c r="G337" t="str">
        <f t="shared" si="141"/>
        <v>5.87</v>
      </c>
      <c r="H337" t="str">
        <f>"0.00"</f>
        <v>0.00</v>
      </c>
      <c r="I337" t="str">
        <f>"76"</f>
        <v>76</v>
      </c>
      <c r="J337" t="str">
        <f>"申购配号(时达发债)"</f>
        <v>申购配号(时达发债)</v>
      </c>
      <c r="K337" t="str">
        <f>"0.00"</f>
        <v>0.00</v>
      </c>
      <c r="L337" t="str">
        <f t="shared" si="142"/>
        <v>0.00</v>
      </c>
      <c r="M337" t="str">
        <f t="shared" si="142"/>
        <v>0.00</v>
      </c>
      <c r="N337" t="str">
        <f t="shared" si="142"/>
        <v>0.00</v>
      </c>
      <c r="O337" t="str">
        <f>"072527"</f>
        <v>072527</v>
      </c>
      <c r="P337" t="str">
        <f t="shared" ref="P337:P342" si="143">"0153613480"</f>
        <v>0153613480</v>
      </c>
    </row>
    <row r="338" spans="1:16" x14ac:dyDescent="0.25">
      <c r="A338" t="str">
        <f t="shared" si="135"/>
        <v>人民币</v>
      </c>
      <c r="B338" t="str">
        <f>"一品红"</f>
        <v>一品红</v>
      </c>
      <c r="C338" t="str">
        <f>"20171107"</f>
        <v>20171107</v>
      </c>
      <c r="D338" t="str">
        <f>"0.000"</f>
        <v>0.000</v>
      </c>
      <c r="E338" t="str">
        <f>"11.00"</f>
        <v>11.00</v>
      </c>
      <c r="F338" t="str">
        <f>"0.00"</f>
        <v>0.00</v>
      </c>
      <c r="G338" t="str">
        <f t="shared" si="141"/>
        <v>5.87</v>
      </c>
      <c r="H338" t="str">
        <f>"0.00"</f>
        <v>0.00</v>
      </c>
      <c r="I338" t="str">
        <f>"1"</f>
        <v>1</v>
      </c>
      <c r="J338" t="str">
        <f>"申购配号(一品红)"</f>
        <v>申购配号(一品红)</v>
      </c>
      <c r="K338" t="str">
        <f>"0.00"</f>
        <v>0.00</v>
      </c>
      <c r="L338" t="str">
        <f t="shared" si="142"/>
        <v>0.00</v>
      </c>
      <c r="M338" t="str">
        <f t="shared" si="142"/>
        <v>0.00</v>
      </c>
      <c r="N338" t="str">
        <f t="shared" si="142"/>
        <v>0.00</v>
      </c>
      <c r="O338" t="str">
        <f>"300723"</f>
        <v>300723</v>
      </c>
      <c r="P338" t="str">
        <f t="shared" si="143"/>
        <v>0153613480</v>
      </c>
    </row>
    <row r="339" spans="1:16" x14ac:dyDescent="0.25">
      <c r="A339" t="str">
        <f t="shared" si="135"/>
        <v>人民币</v>
      </c>
      <c r="B339" t="str">
        <f>"西部建设"</f>
        <v>西部建设</v>
      </c>
      <c r="C339" t="str">
        <f>"20171110"</f>
        <v>20171110</v>
      </c>
      <c r="D339" t="str">
        <f>"16.250"</f>
        <v>16.250</v>
      </c>
      <c r="E339" t="str">
        <f>"-1300.00"</f>
        <v>-1300.00</v>
      </c>
      <c r="F339" t="str">
        <f>"21097.32"</f>
        <v>21097.32</v>
      </c>
      <c r="G339" t="str">
        <f>"21103.19"</f>
        <v>21103.19</v>
      </c>
      <c r="H339" t="str">
        <f>"1300.00"</f>
        <v>1300.00</v>
      </c>
      <c r="I339" t="str">
        <f>"6"</f>
        <v>6</v>
      </c>
      <c r="J339" t="str">
        <f>"证券卖出(西部建设)"</f>
        <v>证券卖出(西部建设)</v>
      </c>
      <c r="K339" t="str">
        <f>"6.55"</f>
        <v>6.55</v>
      </c>
      <c r="L339" t="str">
        <f>"21.13"</f>
        <v>21.13</v>
      </c>
      <c r="M339" t="str">
        <f t="shared" ref="M339:N343" si="144">"0.00"</f>
        <v>0.00</v>
      </c>
      <c r="N339" t="str">
        <f t="shared" si="144"/>
        <v>0.00</v>
      </c>
      <c r="O339" t="str">
        <f>"002302"</f>
        <v>002302</v>
      </c>
      <c r="P339" t="str">
        <f t="shared" si="143"/>
        <v>0153613480</v>
      </c>
    </row>
    <row r="340" spans="1:16" x14ac:dyDescent="0.25">
      <c r="A340" t="str">
        <f t="shared" si="135"/>
        <v>人民币</v>
      </c>
      <c r="B340" t="str">
        <f>"宏达电子"</f>
        <v>宏达电子</v>
      </c>
      <c r="C340" t="str">
        <f>"20171110"</f>
        <v>20171110</v>
      </c>
      <c r="D340" t="str">
        <f>"0.000"</f>
        <v>0.000</v>
      </c>
      <c r="E340" t="str">
        <f>"11.00"</f>
        <v>11.00</v>
      </c>
      <c r="F340" t="str">
        <f>"0.00"</f>
        <v>0.00</v>
      </c>
      <c r="G340" t="str">
        <f>"21103.19"</f>
        <v>21103.19</v>
      </c>
      <c r="H340" t="str">
        <f>"0.00"</f>
        <v>0.00</v>
      </c>
      <c r="I340" t="str">
        <f>"10"</f>
        <v>10</v>
      </c>
      <c r="J340" t="str">
        <f>"申购配号(宏达电子)"</f>
        <v>申购配号(宏达电子)</v>
      </c>
      <c r="K340" t="str">
        <f>"0.00"</f>
        <v>0.00</v>
      </c>
      <c r="L340" t="str">
        <f>"0.00"</f>
        <v>0.00</v>
      </c>
      <c r="M340" t="str">
        <f t="shared" si="144"/>
        <v>0.00</v>
      </c>
      <c r="N340" t="str">
        <f t="shared" si="144"/>
        <v>0.00</v>
      </c>
      <c r="O340" t="str">
        <f>"300726"</f>
        <v>300726</v>
      </c>
      <c r="P340" t="str">
        <f t="shared" si="143"/>
        <v>0153613480</v>
      </c>
    </row>
    <row r="341" spans="1:16" x14ac:dyDescent="0.25">
      <c r="A341" t="str">
        <f t="shared" si="135"/>
        <v>人民币</v>
      </c>
      <c r="B341" t="str">
        <f>"西部建设"</f>
        <v>西部建设</v>
      </c>
      <c r="C341" t="str">
        <f>"20171113"</f>
        <v>20171113</v>
      </c>
      <c r="D341" t="str">
        <f>"16.220"</f>
        <v>16.220</v>
      </c>
      <c r="E341" t="str">
        <f>"-1300.00"</f>
        <v>-1300.00</v>
      </c>
      <c r="F341" t="str">
        <f>"21058.37"</f>
        <v>21058.37</v>
      </c>
      <c r="G341" t="str">
        <f>"42161.56"</f>
        <v>42161.56</v>
      </c>
      <c r="H341" t="str">
        <f>"0.00"</f>
        <v>0.00</v>
      </c>
      <c r="I341" t="str">
        <f>"20"</f>
        <v>20</v>
      </c>
      <c r="J341" t="str">
        <f>"证券卖出(西部建设)"</f>
        <v>证券卖出(西部建设)</v>
      </c>
      <c r="K341" t="str">
        <f>"6.54"</f>
        <v>6.54</v>
      </c>
      <c r="L341" t="str">
        <f>"21.09"</f>
        <v>21.09</v>
      </c>
      <c r="M341" t="str">
        <f t="shared" si="144"/>
        <v>0.00</v>
      </c>
      <c r="N341" t="str">
        <f t="shared" si="144"/>
        <v>0.00</v>
      </c>
      <c r="O341" t="str">
        <f>"002302"</f>
        <v>002302</v>
      </c>
      <c r="P341" t="str">
        <f t="shared" si="143"/>
        <v>0153613480</v>
      </c>
    </row>
    <row r="342" spans="1:16" x14ac:dyDescent="0.25">
      <c r="A342" t="str">
        <f t="shared" si="135"/>
        <v>人民币</v>
      </c>
      <c r="B342" t="str">
        <f>"赛为智能"</f>
        <v>赛为智能</v>
      </c>
      <c r="C342" t="str">
        <f>"20171113"</f>
        <v>20171113</v>
      </c>
      <c r="D342" t="str">
        <f>"19.600"</f>
        <v>19.600</v>
      </c>
      <c r="E342" t="str">
        <f>"-900.00"</f>
        <v>-900.00</v>
      </c>
      <c r="F342" t="str">
        <f>"17616.89"</f>
        <v>17616.89</v>
      </c>
      <c r="G342" t="str">
        <f>"59778.45"</f>
        <v>59778.45</v>
      </c>
      <c r="H342" t="str">
        <f>"0.00"</f>
        <v>0.00</v>
      </c>
      <c r="I342" t="str">
        <f>"14"</f>
        <v>14</v>
      </c>
      <c r="J342" t="str">
        <f>"证券卖出(赛为智能)"</f>
        <v>证券卖出(赛为智能)</v>
      </c>
      <c r="K342" t="str">
        <f>"5.47"</f>
        <v>5.47</v>
      </c>
      <c r="L342" t="str">
        <f>"17.64"</f>
        <v>17.64</v>
      </c>
      <c r="M342" t="str">
        <f t="shared" si="144"/>
        <v>0.00</v>
      </c>
      <c r="N342" t="str">
        <f t="shared" si="144"/>
        <v>0.00</v>
      </c>
      <c r="O342" t="str">
        <f>"300044"</f>
        <v>300044</v>
      </c>
      <c r="P342" t="str">
        <f t="shared" si="143"/>
        <v>0153613480</v>
      </c>
    </row>
    <row r="343" spans="1:16" x14ac:dyDescent="0.25">
      <c r="A343" t="str">
        <f t="shared" si="135"/>
        <v>人民币</v>
      </c>
      <c r="B343" t="str">
        <f>"天添利"</f>
        <v>天添利</v>
      </c>
      <c r="C343" t="str">
        <f>"20171113"</f>
        <v>20171113</v>
      </c>
      <c r="D343" t="str">
        <f>"1.000"</f>
        <v>1.000</v>
      </c>
      <c r="E343" t="str">
        <f>"59777.45"</f>
        <v>59777.45</v>
      </c>
      <c r="F343" t="str">
        <f>"-59777.45"</f>
        <v>-59777.45</v>
      </c>
      <c r="G343" t="str">
        <f>"1.00"</f>
        <v>1.00</v>
      </c>
      <c r="H343" t="str">
        <f>"59777.45"</f>
        <v>59777.45</v>
      </c>
      <c r="I343" t="str">
        <f>" "</f>
        <v xml:space="preserve"> </v>
      </c>
      <c r="J343" t="str">
        <f>"保证金产品申购(天添利)"</f>
        <v>保证金产品申购(天添利)</v>
      </c>
      <c r="K343" t="str">
        <f>"0.00"</f>
        <v>0.00</v>
      </c>
      <c r="L343" t="str">
        <f>"0.00"</f>
        <v>0.00</v>
      </c>
      <c r="M343" t="str">
        <f t="shared" si="144"/>
        <v>0.00</v>
      </c>
      <c r="N343" t="str">
        <f t="shared" si="144"/>
        <v>0.00</v>
      </c>
      <c r="O343" t="str">
        <f>"880013"</f>
        <v>880013</v>
      </c>
      <c r="P343" t="str">
        <f>"980518091676"</f>
        <v>980518091676</v>
      </c>
    </row>
    <row r="344" spans="1:16" x14ac:dyDescent="0.25">
      <c r="A344" t="str">
        <f t="shared" si="135"/>
        <v>人民币</v>
      </c>
      <c r="B344" t="str">
        <f>" "</f>
        <v xml:space="preserve"> </v>
      </c>
      <c r="C344" t="str">
        <f>"20171114"</f>
        <v>20171114</v>
      </c>
      <c r="D344" t="str">
        <f>"---"</f>
        <v>---</v>
      </c>
      <c r="E344" t="str">
        <f>"---"</f>
        <v>---</v>
      </c>
      <c r="F344" t="str">
        <f>"59777.00"</f>
        <v>59777.00</v>
      </c>
      <c r="G344" t="str">
        <f>"59778.00"</f>
        <v>59778.00</v>
      </c>
      <c r="H344" t="str">
        <f>"---"</f>
        <v>---</v>
      </c>
      <c r="I344" t="str">
        <f>"---"</f>
        <v>---</v>
      </c>
      <c r="J344" t="str">
        <f>"保证金产品快速取款"</f>
        <v>保证金产品快速取款</v>
      </c>
      <c r="K344" t="str">
        <f t="shared" ref="K344:P345" si="145">"---"</f>
        <v>---</v>
      </c>
      <c r="L344" t="str">
        <f t="shared" si="145"/>
        <v>---</v>
      </c>
      <c r="M344" t="str">
        <f t="shared" si="145"/>
        <v>---</v>
      </c>
      <c r="N344" t="str">
        <f t="shared" si="145"/>
        <v>---</v>
      </c>
      <c r="O344" t="str">
        <f t="shared" si="145"/>
        <v>---</v>
      </c>
      <c r="P344" t="str">
        <f t="shared" si="145"/>
        <v>---</v>
      </c>
    </row>
    <row r="345" spans="1:16" x14ac:dyDescent="0.25">
      <c r="A345" t="str">
        <f t="shared" si="135"/>
        <v>人民币</v>
      </c>
      <c r="B345" t="str">
        <f>" "</f>
        <v xml:space="preserve"> </v>
      </c>
      <c r="C345" t="str">
        <f>"20171114"</f>
        <v>20171114</v>
      </c>
      <c r="D345" t="str">
        <f>"---"</f>
        <v>---</v>
      </c>
      <c r="E345" t="str">
        <f>"---"</f>
        <v>---</v>
      </c>
      <c r="F345" t="str">
        <f>"-59777.00"</f>
        <v>-59777.00</v>
      </c>
      <c r="G345" t="str">
        <f>"1.00"</f>
        <v>1.00</v>
      </c>
      <c r="H345" t="str">
        <f>"---"</f>
        <v>---</v>
      </c>
      <c r="I345" t="str">
        <f>"---"</f>
        <v>---</v>
      </c>
      <c r="J345" t="str">
        <f>"银行转取"</f>
        <v>银行转取</v>
      </c>
      <c r="K345" t="str">
        <f t="shared" si="145"/>
        <v>---</v>
      </c>
      <c r="L345" t="str">
        <f t="shared" si="145"/>
        <v>---</v>
      </c>
      <c r="M345" t="str">
        <f t="shared" si="145"/>
        <v>---</v>
      </c>
      <c r="N345" t="str">
        <f t="shared" si="145"/>
        <v>---</v>
      </c>
      <c r="O345" t="str">
        <f t="shared" si="145"/>
        <v>---</v>
      </c>
      <c r="P345" t="str">
        <f t="shared" si="145"/>
        <v>---</v>
      </c>
    </row>
    <row r="346" spans="1:16" x14ac:dyDescent="0.25">
      <c r="A346" t="str">
        <f t="shared" si="135"/>
        <v>人民币</v>
      </c>
      <c r="B346" t="str">
        <f>"天添利"</f>
        <v>天添利</v>
      </c>
      <c r="C346" t="str">
        <f>"20171114"</f>
        <v>20171114</v>
      </c>
      <c r="D346" t="str">
        <f>"1.000"</f>
        <v>1.000</v>
      </c>
      <c r="E346" t="str">
        <f>"-59777.00"</f>
        <v>-59777.00</v>
      </c>
      <c r="F346" t="str">
        <f>"0.00"</f>
        <v>0.00</v>
      </c>
      <c r="G346" t="str">
        <f>"1.00"</f>
        <v>1.00</v>
      </c>
      <c r="H346" t="str">
        <f>"0.45"</f>
        <v>0.45</v>
      </c>
      <c r="I346" t="str">
        <f>" "</f>
        <v xml:space="preserve"> </v>
      </c>
      <c r="J346" t="str">
        <f>"保证金份额转让划出(天添利)"</f>
        <v>保证金份额转让划出(天添利)</v>
      </c>
      <c r="K346" t="str">
        <f>"0.00"</f>
        <v>0.00</v>
      </c>
      <c r="L346" t="str">
        <f>"0.00"</f>
        <v>0.00</v>
      </c>
      <c r="M346" t="str">
        <f>"0.00"</f>
        <v>0.00</v>
      </c>
      <c r="N346" t="str">
        <f>"0.00"</f>
        <v>0.00</v>
      </c>
      <c r="O346" t="str">
        <f>"880013"</f>
        <v>880013</v>
      </c>
      <c r="P346" t="str">
        <f>"980518091676"</f>
        <v>980518091676</v>
      </c>
    </row>
    <row r="347" spans="1:16" x14ac:dyDescent="0.25">
      <c r="A347" t="str">
        <f t="shared" si="135"/>
        <v>人民币</v>
      </c>
      <c r="B347" t="str">
        <f>" "</f>
        <v xml:space="preserve"> </v>
      </c>
      <c r="C347" t="str">
        <f>"20171115"</f>
        <v>20171115</v>
      </c>
      <c r="D347" t="str">
        <f>"---"</f>
        <v>---</v>
      </c>
      <c r="E347" t="str">
        <f>"---"</f>
        <v>---</v>
      </c>
      <c r="F347" t="str">
        <f>"9942.00"</f>
        <v>9942.00</v>
      </c>
      <c r="G347" t="str">
        <f>"9943.00"</f>
        <v>9943.00</v>
      </c>
      <c r="H347" t="str">
        <f>"---"</f>
        <v>---</v>
      </c>
      <c r="I347" t="str">
        <f>"---"</f>
        <v>---</v>
      </c>
      <c r="J347" t="str">
        <f>"银行转存"</f>
        <v>银行转存</v>
      </c>
      <c r="K347" t="str">
        <f t="shared" ref="K347:P347" si="146">"---"</f>
        <v>---</v>
      </c>
      <c r="L347" t="str">
        <f t="shared" si="146"/>
        <v>---</v>
      </c>
      <c r="M347" t="str">
        <f t="shared" si="146"/>
        <v>---</v>
      </c>
      <c r="N347" t="str">
        <f t="shared" si="146"/>
        <v>---</v>
      </c>
      <c r="O347" t="str">
        <f t="shared" si="146"/>
        <v>---</v>
      </c>
      <c r="P347" t="str">
        <f t="shared" si="146"/>
        <v>---</v>
      </c>
    </row>
    <row r="348" spans="1:16" x14ac:dyDescent="0.25">
      <c r="A348" t="str">
        <f t="shared" si="135"/>
        <v>人民币</v>
      </c>
      <c r="B348" t="str">
        <f>"武汉凡谷"</f>
        <v>武汉凡谷</v>
      </c>
      <c r="C348" t="str">
        <f>"20171115"</f>
        <v>20171115</v>
      </c>
      <c r="D348" t="str">
        <f>"13.880"</f>
        <v>13.880</v>
      </c>
      <c r="E348" t="str">
        <f>"300.00"</f>
        <v>300.00</v>
      </c>
      <c r="F348" t="str">
        <f>"-4169.00"</f>
        <v>-4169.00</v>
      </c>
      <c r="G348" t="str">
        <f>"5774.00"</f>
        <v>5774.00</v>
      </c>
      <c r="H348" t="str">
        <f>"300.00"</f>
        <v>300.00</v>
      </c>
      <c r="I348" t="str">
        <f>"36"</f>
        <v>36</v>
      </c>
      <c r="J348" t="str">
        <f>"证券买入(武汉凡谷)"</f>
        <v>证券买入(武汉凡谷)</v>
      </c>
      <c r="K348" t="str">
        <f>"5.00"</f>
        <v>5.00</v>
      </c>
      <c r="L348" t="str">
        <f t="shared" ref="L348:N350" si="147">"0.00"</f>
        <v>0.00</v>
      </c>
      <c r="M348" t="str">
        <f t="shared" si="147"/>
        <v>0.00</v>
      </c>
      <c r="N348" t="str">
        <f t="shared" si="147"/>
        <v>0.00</v>
      </c>
      <c r="O348" t="str">
        <f>"002194"</f>
        <v>002194</v>
      </c>
      <c r="P348" t="str">
        <f>"0153613480"</f>
        <v>0153613480</v>
      </c>
    </row>
    <row r="349" spans="1:16" x14ac:dyDescent="0.25">
      <c r="A349" t="str">
        <f t="shared" si="135"/>
        <v>人民币</v>
      </c>
      <c r="B349" t="str">
        <f>"润禾材料"</f>
        <v>润禾材料</v>
      </c>
      <c r="C349" t="str">
        <f>"20171115"</f>
        <v>20171115</v>
      </c>
      <c r="D349" t="str">
        <f>"0.000"</f>
        <v>0.000</v>
      </c>
      <c r="E349" t="str">
        <f>"10.00"</f>
        <v>10.00</v>
      </c>
      <c r="F349" t="str">
        <f>"0.00"</f>
        <v>0.00</v>
      </c>
      <c r="G349" t="str">
        <f>"5774.00"</f>
        <v>5774.00</v>
      </c>
      <c r="H349" t="str">
        <f>"0.00"</f>
        <v>0.00</v>
      </c>
      <c r="I349" t="str">
        <f>"34"</f>
        <v>34</v>
      </c>
      <c r="J349" t="str">
        <f>"申购配号(润禾材料)"</f>
        <v>申购配号(润禾材料)</v>
      </c>
      <c r="K349" t="str">
        <f>"0.00"</f>
        <v>0.00</v>
      </c>
      <c r="L349" t="str">
        <f t="shared" si="147"/>
        <v>0.00</v>
      </c>
      <c r="M349" t="str">
        <f t="shared" si="147"/>
        <v>0.00</v>
      </c>
      <c r="N349" t="str">
        <f t="shared" si="147"/>
        <v>0.00</v>
      </c>
      <c r="O349" t="str">
        <f>"300727"</f>
        <v>300727</v>
      </c>
      <c r="P349" t="str">
        <f>"0153613480"</f>
        <v>0153613480</v>
      </c>
    </row>
    <row r="350" spans="1:16" x14ac:dyDescent="0.25">
      <c r="A350" t="str">
        <f t="shared" si="135"/>
        <v>人民币</v>
      </c>
      <c r="B350" t="str">
        <f>"天添利"</f>
        <v>天添利</v>
      </c>
      <c r="C350" t="str">
        <f>"20171115"</f>
        <v>20171115</v>
      </c>
      <c r="D350" t="str">
        <f>"1.000"</f>
        <v>1.000</v>
      </c>
      <c r="E350" t="str">
        <f>"5773.00"</f>
        <v>5773.00</v>
      </c>
      <c r="F350" t="str">
        <f>"-5773.00"</f>
        <v>-5773.00</v>
      </c>
      <c r="G350" t="str">
        <f>"1.00"</f>
        <v>1.00</v>
      </c>
      <c r="H350" t="str">
        <f>"5773.45"</f>
        <v>5773.45</v>
      </c>
      <c r="I350" t="str">
        <f>" "</f>
        <v xml:space="preserve"> </v>
      </c>
      <c r="J350" t="str">
        <f>"保证金产品申购(天添利)"</f>
        <v>保证金产品申购(天添利)</v>
      </c>
      <c r="K350" t="str">
        <f>"0.00"</f>
        <v>0.00</v>
      </c>
      <c r="L350" t="str">
        <f t="shared" si="147"/>
        <v>0.00</v>
      </c>
      <c r="M350" t="str">
        <f t="shared" si="147"/>
        <v>0.00</v>
      </c>
      <c r="N350" t="str">
        <f t="shared" si="147"/>
        <v>0.00</v>
      </c>
      <c r="O350" t="str">
        <f>"880013"</f>
        <v>880013</v>
      </c>
      <c r="P350" t="str">
        <f>"980518091676"</f>
        <v>980518091676</v>
      </c>
    </row>
    <row r="351" spans="1:16" x14ac:dyDescent="0.25">
      <c r="A351" t="str">
        <f t="shared" si="135"/>
        <v>人民币</v>
      </c>
      <c r="B351" t="str">
        <f>"武汉凡谷"</f>
        <v>武汉凡谷</v>
      </c>
      <c r="C351" t="str">
        <f>"20171116"</f>
        <v>20171116</v>
      </c>
      <c r="D351" t="str">
        <f>"15.260"</f>
        <v>15.260</v>
      </c>
      <c r="E351" t="str">
        <f>"-300.00"</f>
        <v>-300.00</v>
      </c>
      <c r="F351" t="str">
        <f>"4568.42"</f>
        <v>4568.42</v>
      </c>
      <c r="G351" t="str">
        <f>"4569.42"</f>
        <v>4569.42</v>
      </c>
      <c r="H351" t="str">
        <f>"0.00"</f>
        <v>0.00</v>
      </c>
      <c r="I351" t="str">
        <f>"45"</f>
        <v>45</v>
      </c>
      <c r="J351" t="str">
        <f>"证券卖出(武汉凡谷)"</f>
        <v>证券卖出(武汉凡谷)</v>
      </c>
      <c r="K351" t="str">
        <f>"5.00"</f>
        <v>5.00</v>
      </c>
      <c r="L351" t="str">
        <f>"4.58"</f>
        <v>4.58</v>
      </c>
      <c r="M351" t="str">
        <f t="shared" ref="M351:N354" si="148">"0.00"</f>
        <v>0.00</v>
      </c>
      <c r="N351" t="str">
        <f t="shared" si="148"/>
        <v>0.00</v>
      </c>
      <c r="O351" t="str">
        <f>"002194"</f>
        <v>002194</v>
      </c>
      <c r="P351" t="str">
        <f>"0153613480"</f>
        <v>0153613480</v>
      </c>
    </row>
    <row r="352" spans="1:16" x14ac:dyDescent="0.25">
      <c r="A352" t="str">
        <f t="shared" si="135"/>
        <v>人民币</v>
      </c>
      <c r="B352" t="str">
        <f>"天添利"</f>
        <v>天添利</v>
      </c>
      <c r="C352" t="str">
        <f>"20171116"</f>
        <v>20171116</v>
      </c>
      <c r="D352" t="str">
        <f>"1.000"</f>
        <v>1.000</v>
      </c>
      <c r="E352" t="str">
        <f>"4568.42"</f>
        <v>4568.42</v>
      </c>
      <c r="F352" t="str">
        <f>"-4568.42"</f>
        <v>-4568.42</v>
      </c>
      <c r="G352" t="str">
        <f>"1.00"</f>
        <v>1.00</v>
      </c>
      <c r="H352" t="str">
        <f>"10341.87"</f>
        <v>10341.87</v>
      </c>
      <c r="I352" t="str">
        <f>" "</f>
        <v xml:space="preserve"> </v>
      </c>
      <c r="J352" t="str">
        <f>"保证金产品申购(天添利)"</f>
        <v>保证金产品申购(天添利)</v>
      </c>
      <c r="K352" t="str">
        <f>"0.00"</f>
        <v>0.00</v>
      </c>
      <c r="L352" t="str">
        <f>"0.00"</f>
        <v>0.00</v>
      </c>
      <c r="M352" t="str">
        <f t="shared" si="148"/>
        <v>0.00</v>
      </c>
      <c r="N352" t="str">
        <f t="shared" si="148"/>
        <v>0.00</v>
      </c>
      <c r="O352" t="str">
        <f>"880013"</f>
        <v>880013</v>
      </c>
      <c r="P352" t="str">
        <f>"980518091676"</f>
        <v>980518091676</v>
      </c>
    </row>
    <row r="353" spans="1:16" x14ac:dyDescent="0.25">
      <c r="A353" t="str">
        <f t="shared" si="135"/>
        <v>人民币</v>
      </c>
      <c r="B353" t="str">
        <f>"汉王科技"</f>
        <v>汉王科技</v>
      </c>
      <c r="C353" t="str">
        <f>"20171117"</f>
        <v>20171117</v>
      </c>
      <c r="D353" t="str">
        <f>"33.300"</f>
        <v>33.300</v>
      </c>
      <c r="E353" t="str">
        <f>"100.00"</f>
        <v>100.00</v>
      </c>
      <c r="F353" t="str">
        <f>"-3335.00"</f>
        <v>-3335.00</v>
      </c>
      <c r="G353" t="str">
        <f>"-3334.00"</f>
        <v>-3334.00</v>
      </c>
      <c r="H353" t="str">
        <f>"100.00"</f>
        <v>100.00</v>
      </c>
      <c r="I353" t="str">
        <f>"52"</f>
        <v>52</v>
      </c>
      <c r="J353" t="str">
        <f>"证券买入(汉王科技)"</f>
        <v>证券买入(汉王科技)</v>
      </c>
      <c r="K353" t="str">
        <f>"5.00"</f>
        <v>5.00</v>
      </c>
      <c r="L353" t="str">
        <f>"0.00"</f>
        <v>0.00</v>
      </c>
      <c r="M353" t="str">
        <f t="shared" si="148"/>
        <v>0.00</v>
      </c>
      <c r="N353" t="str">
        <f t="shared" si="148"/>
        <v>0.00</v>
      </c>
      <c r="O353" t="str">
        <f>"002362"</f>
        <v>002362</v>
      </c>
      <c r="P353" t="str">
        <f>"0153613480"</f>
        <v>0153613480</v>
      </c>
    </row>
    <row r="354" spans="1:16" x14ac:dyDescent="0.25">
      <c r="A354" t="str">
        <f t="shared" si="135"/>
        <v>人民币</v>
      </c>
      <c r="B354" t="str">
        <f>"天添利"</f>
        <v>天添利</v>
      </c>
      <c r="C354" t="str">
        <f>"20171117"</f>
        <v>20171117</v>
      </c>
      <c r="D354" t="str">
        <f>"1.000"</f>
        <v>1.000</v>
      </c>
      <c r="E354" t="str">
        <f>"-3335.00"</f>
        <v>-3335.00</v>
      </c>
      <c r="F354" t="str">
        <f>"3335.00"</f>
        <v>3335.00</v>
      </c>
      <c r="G354" t="str">
        <f>"-3334.00"</f>
        <v>-3334.00</v>
      </c>
      <c r="H354" t="str">
        <f>"7006.87"</f>
        <v>7006.87</v>
      </c>
      <c r="I354" t="str">
        <f>" "</f>
        <v xml:space="preserve"> </v>
      </c>
      <c r="J354" t="str">
        <f>"保证金产品赎回(天添利)"</f>
        <v>保证金产品赎回(天添利)</v>
      </c>
      <c r="K354" t="str">
        <f>"0.00"</f>
        <v>0.00</v>
      </c>
      <c r="L354" t="str">
        <f>"0.00"</f>
        <v>0.00</v>
      </c>
      <c r="M354" t="str">
        <f t="shared" si="148"/>
        <v>0.00</v>
      </c>
      <c r="N354" t="str">
        <f t="shared" si="148"/>
        <v>0.00</v>
      </c>
      <c r="O354" t="str">
        <f>"880013"</f>
        <v>880013</v>
      </c>
      <c r="P354" t="str">
        <f>"980518091676"</f>
        <v>980518091676</v>
      </c>
    </row>
    <row r="355" spans="1:16" x14ac:dyDescent="0.25">
      <c r="A355" t="str">
        <f t="shared" si="135"/>
        <v>人民币</v>
      </c>
      <c r="B355" t="str">
        <f>"天添利"</f>
        <v>天添利</v>
      </c>
      <c r="C355" t="str">
        <f>"20171117"</f>
        <v>20171117</v>
      </c>
      <c r="D355" t="str">
        <f>"0.000"</f>
        <v>0.000</v>
      </c>
      <c r="E355" t="str">
        <f>"0.00"</f>
        <v>0.00</v>
      </c>
      <c r="F355" t="str">
        <f>"3335.00"</f>
        <v>3335.00</v>
      </c>
      <c r="G355" t="str">
        <f>"1.00"</f>
        <v>1.00</v>
      </c>
      <c r="H355" t="str">
        <f>"7006.87"</f>
        <v>7006.87</v>
      </c>
      <c r="I355" t="str">
        <f>"---"</f>
        <v>---</v>
      </c>
      <c r="J355" t="str">
        <f>"赎回到帐(天添利)"</f>
        <v>赎回到帐(天添利)</v>
      </c>
      <c r="K355" t="str">
        <f t="shared" ref="K355:N357" si="149">"---"</f>
        <v>---</v>
      </c>
      <c r="L355" t="str">
        <f t="shared" si="149"/>
        <v>---</v>
      </c>
      <c r="M355" t="str">
        <f t="shared" si="149"/>
        <v>---</v>
      </c>
      <c r="N355" t="str">
        <f t="shared" si="149"/>
        <v>---</v>
      </c>
      <c r="O355" t="str">
        <f>"880013"</f>
        <v>880013</v>
      </c>
      <c r="P355" t="str">
        <f>"980518091676"</f>
        <v>980518091676</v>
      </c>
    </row>
    <row r="356" spans="1:16" x14ac:dyDescent="0.25">
      <c r="A356" t="str">
        <f t="shared" si="135"/>
        <v>人民币</v>
      </c>
      <c r="B356" t="str">
        <f>" "</f>
        <v xml:space="preserve"> </v>
      </c>
      <c r="C356" t="str">
        <f>"20171120"</f>
        <v>20171120</v>
      </c>
      <c r="D356" t="str">
        <f>"---"</f>
        <v>---</v>
      </c>
      <c r="E356" t="str">
        <f>"---"</f>
        <v>---</v>
      </c>
      <c r="F356" t="str">
        <f>"7006.00"</f>
        <v>7006.00</v>
      </c>
      <c r="G356" t="str">
        <f>"7007.00"</f>
        <v>7007.00</v>
      </c>
      <c r="H356" t="str">
        <f>"---"</f>
        <v>---</v>
      </c>
      <c r="I356" t="str">
        <f>"---"</f>
        <v>---</v>
      </c>
      <c r="J356" t="str">
        <f>"保证金产品快速取款"</f>
        <v>保证金产品快速取款</v>
      </c>
      <c r="K356" t="str">
        <f t="shared" si="149"/>
        <v>---</v>
      </c>
      <c r="L356" t="str">
        <f t="shared" si="149"/>
        <v>---</v>
      </c>
      <c r="M356" t="str">
        <f t="shared" si="149"/>
        <v>---</v>
      </c>
      <c r="N356" t="str">
        <f t="shared" si="149"/>
        <v>---</v>
      </c>
      <c r="O356" t="str">
        <f>"---"</f>
        <v>---</v>
      </c>
      <c r="P356" t="str">
        <f>"---"</f>
        <v>---</v>
      </c>
    </row>
    <row r="357" spans="1:16" x14ac:dyDescent="0.25">
      <c r="A357" t="str">
        <f t="shared" si="135"/>
        <v>人民币</v>
      </c>
      <c r="B357" t="str">
        <f>" "</f>
        <v xml:space="preserve"> </v>
      </c>
      <c r="C357" t="str">
        <f>"20171120"</f>
        <v>20171120</v>
      </c>
      <c r="D357" t="str">
        <f>"---"</f>
        <v>---</v>
      </c>
      <c r="E357" t="str">
        <f>"---"</f>
        <v>---</v>
      </c>
      <c r="F357" t="str">
        <f>"-7006.00"</f>
        <v>-7006.00</v>
      </c>
      <c r="G357" t="str">
        <f>"1.00"</f>
        <v>1.00</v>
      </c>
      <c r="H357" t="str">
        <f>"---"</f>
        <v>---</v>
      </c>
      <c r="I357" t="str">
        <f>"---"</f>
        <v>---</v>
      </c>
      <c r="J357" t="str">
        <f>"银行转取"</f>
        <v>银行转取</v>
      </c>
      <c r="K357" t="str">
        <f t="shared" si="149"/>
        <v>---</v>
      </c>
      <c r="L357" t="str">
        <f t="shared" si="149"/>
        <v>---</v>
      </c>
      <c r="M357" t="str">
        <f t="shared" si="149"/>
        <v>---</v>
      </c>
      <c r="N357" t="str">
        <f t="shared" si="149"/>
        <v>---</v>
      </c>
      <c r="O357" t="str">
        <f>"---"</f>
        <v>---</v>
      </c>
      <c r="P357" t="str">
        <f>"---"</f>
        <v>---</v>
      </c>
    </row>
    <row r="358" spans="1:16" x14ac:dyDescent="0.25">
      <c r="A358" t="str">
        <f t="shared" si="135"/>
        <v>人民币</v>
      </c>
      <c r="B358" t="str">
        <f>"天添利"</f>
        <v>天添利</v>
      </c>
      <c r="C358" t="str">
        <f>"20171120"</f>
        <v>20171120</v>
      </c>
      <c r="D358" t="str">
        <f>"1.000"</f>
        <v>1.000</v>
      </c>
      <c r="E358" t="str">
        <f>"-7006.00"</f>
        <v>-7006.00</v>
      </c>
      <c r="F358" t="str">
        <f>"0.00"</f>
        <v>0.00</v>
      </c>
      <c r="G358" t="str">
        <f>"1.00"</f>
        <v>1.00</v>
      </c>
      <c r="H358" t="str">
        <f>"0.87"</f>
        <v>0.87</v>
      </c>
      <c r="I358" t="str">
        <f>" "</f>
        <v xml:space="preserve"> </v>
      </c>
      <c r="J358" t="str">
        <f>"保证金份额转让划出(天添利)"</f>
        <v>保证金份额转让划出(天添利)</v>
      </c>
      <c r="K358" t="str">
        <f t="shared" ref="K358:N359" si="150">"0.00"</f>
        <v>0.00</v>
      </c>
      <c r="L358" t="str">
        <f t="shared" si="150"/>
        <v>0.00</v>
      </c>
      <c r="M358" t="str">
        <f t="shared" si="150"/>
        <v>0.00</v>
      </c>
      <c r="N358" t="str">
        <f t="shared" si="150"/>
        <v>0.00</v>
      </c>
      <c r="O358" t="str">
        <f>"880013"</f>
        <v>880013</v>
      </c>
      <c r="P358" t="str">
        <f>"980518091676"</f>
        <v>980518091676</v>
      </c>
    </row>
    <row r="359" spans="1:16" x14ac:dyDescent="0.25">
      <c r="A359" t="str">
        <f t="shared" si="135"/>
        <v>人民币</v>
      </c>
      <c r="B359" t="str">
        <f>"天添利"</f>
        <v>天添利</v>
      </c>
      <c r="C359" t="str">
        <f>"20171120"</f>
        <v>20171120</v>
      </c>
      <c r="D359" t="str">
        <f>"1.000"</f>
        <v>1.000</v>
      </c>
      <c r="E359" t="str">
        <f>"-0.87"</f>
        <v>-0.87</v>
      </c>
      <c r="F359" t="str">
        <f>"0.87"</f>
        <v>0.87</v>
      </c>
      <c r="G359" t="str">
        <f>"1.00"</f>
        <v>1.00</v>
      </c>
      <c r="H359" t="str">
        <f>"0.00"</f>
        <v>0.00</v>
      </c>
      <c r="I359" t="str">
        <f>" "</f>
        <v xml:space="preserve"> </v>
      </c>
      <c r="J359" t="str">
        <f>"保证金产品赎回(天添利)"</f>
        <v>保证金产品赎回(天添利)</v>
      </c>
      <c r="K359" t="str">
        <f t="shared" si="150"/>
        <v>0.00</v>
      </c>
      <c r="L359" t="str">
        <f t="shared" si="150"/>
        <v>0.00</v>
      </c>
      <c r="M359" t="str">
        <f t="shared" si="150"/>
        <v>0.00</v>
      </c>
      <c r="N359" t="str">
        <f t="shared" si="150"/>
        <v>0.00</v>
      </c>
      <c r="O359" t="str">
        <f>"880013"</f>
        <v>880013</v>
      </c>
      <c r="P359" t="str">
        <f>"980518091676"</f>
        <v>980518091676</v>
      </c>
    </row>
    <row r="360" spans="1:16" x14ac:dyDescent="0.25">
      <c r="A360" t="str">
        <f t="shared" si="135"/>
        <v>人民币</v>
      </c>
      <c r="B360" t="str">
        <f>"天添利"</f>
        <v>天添利</v>
      </c>
      <c r="C360" t="str">
        <f>"20171120"</f>
        <v>20171120</v>
      </c>
      <c r="D360" t="str">
        <f>"0.000"</f>
        <v>0.000</v>
      </c>
      <c r="E360" t="str">
        <f>"0.00"</f>
        <v>0.00</v>
      </c>
      <c r="F360" t="str">
        <f>"0.87"</f>
        <v>0.87</v>
      </c>
      <c r="G360" t="str">
        <f>"1.87"</f>
        <v>1.87</v>
      </c>
      <c r="H360" t="str">
        <f>"0.00"</f>
        <v>0.00</v>
      </c>
      <c r="I360" t="str">
        <f>"---"</f>
        <v>---</v>
      </c>
      <c r="J360" t="str">
        <f>"赎回到帐(天添利)"</f>
        <v>赎回到帐(天添利)</v>
      </c>
      <c r="K360" t="str">
        <f t="shared" ref="K360:N361" si="151">"---"</f>
        <v>---</v>
      </c>
      <c r="L360" t="str">
        <f t="shared" si="151"/>
        <v>---</v>
      </c>
      <c r="M360" t="str">
        <f t="shared" si="151"/>
        <v>---</v>
      </c>
      <c r="N360" t="str">
        <f t="shared" si="151"/>
        <v>---</v>
      </c>
      <c r="O360" t="str">
        <f>"880013"</f>
        <v>880013</v>
      </c>
      <c r="P360" t="str">
        <f>"980518091676"</f>
        <v>980518091676</v>
      </c>
    </row>
    <row r="361" spans="1:16" x14ac:dyDescent="0.25">
      <c r="A361" t="str">
        <f t="shared" si="135"/>
        <v>人民币</v>
      </c>
      <c r="B361" t="str">
        <f>" "</f>
        <v xml:space="preserve"> </v>
      </c>
      <c r="C361" t="str">
        <f>"20171121"</f>
        <v>20171121</v>
      </c>
      <c r="D361" t="str">
        <f>"---"</f>
        <v>---</v>
      </c>
      <c r="E361" t="str">
        <f>"---"</f>
        <v>---</v>
      </c>
      <c r="F361" t="str">
        <f>"6006.00"</f>
        <v>6006.00</v>
      </c>
      <c r="G361" t="str">
        <f>"6007.87"</f>
        <v>6007.87</v>
      </c>
      <c r="H361" t="str">
        <f>"---"</f>
        <v>---</v>
      </c>
      <c r="I361" t="str">
        <f>"---"</f>
        <v>---</v>
      </c>
      <c r="J361" t="str">
        <f>"银行转存"</f>
        <v>银行转存</v>
      </c>
      <c r="K361" t="str">
        <f t="shared" si="151"/>
        <v>---</v>
      </c>
      <c r="L361" t="str">
        <f t="shared" si="151"/>
        <v>---</v>
      </c>
      <c r="M361" t="str">
        <f t="shared" si="151"/>
        <v>---</v>
      </c>
      <c r="N361" t="str">
        <f t="shared" si="151"/>
        <v>---</v>
      </c>
      <c r="O361" t="str">
        <f>"---"</f>
        <v>---</v>
      </c>
      <c r="P361" t="str">
        <f>"---"</f>
        <v>---</v>
      </c>
    </row>
    <row r="362" spans="1:16" x14ac:dyDescent="0.25">
      <c r="A362" t="str">
        <f t="shared" si="135"/>
        <v>人民币</v>
      </c>
      <c r="B362" t="str">
        <f>"汉王科技"</f>
        <v>汉王科技</v>
      </c>
      <c r="C362" t="str">
        <f>"20171121"</f>
        <v>20171121</v>
      </c>
      <c r="D362" t="str">
        <f>"33.150"</f>
        <v>33.150</v>
      </c>
      <c r="E362" t="str">
        <f>"100.00"</f>
        <v>100.00</v>
      </c>
      <c r="F362" t="str">
        <f>"-3320.00"</f>
        <v>-3320.00</v>
      </c>
      <c r="G362" t="str">
        <f>"2687.87"</f>
        <v>2687.87</v>
      </c>
      <c r="H362" t="str">
        <f>"200.00"</f>
        <v>200.00</v>
      </c>
      <c r="I362" t="str">
        <f>"71"</f>
        <v>71</v>
      </c>
      <c r="J362" t="str">
        <f>"证券买入(汉王科技)"</f>
        <v>证券买入(汉王科技)</v>
      </c>
      <c r="K362" t="str">
        <f>"5.00"</f>
        <v>5.00</v>
      </c>
      <c r="L362" t="str">
        <f t="shared" ref="L362:N364" si="152">"0.00"</f>
        <v>0.00</v>
      </c>
      <c r="M362" t="str">
        <f t="shared" si="152"/>
        <v>0.00</v>
      </c>
      <c r="N362" t="str">
        <f t="shared" si="152"/>
        <v>0.00</v>
      </c>
      <c r="O362" t="str">
        <f>"002362"</f>
        <v>002362</v>
      </c>
      <c r="P362" t="str">
        <f>"0153613480"</f>
        <v>0153613480</v>
      </c>
    </row>
    <row r="363" spans="1:16" x14ac:dyDescent="0.25">
      <c r="A363" t="str">
        <f t="shared" si="135"/>
        <v>人民币</v>
      </c>
      <c r="B363" t="str">
        <f>"奥士康"</f>
        <v>奥士康</v>
      </c>
      <c r="C363" t="str">
        <f>"20171122"</f>
        <v>20171122</v>
      </c>
      <c r="D363" t="str">
        <f>"0.000"</f>
        <v>0.000</v>
      </c>
      <c r="E363" t="str">
        <f>"8.00"</f>
        <v>8.00</v>
      </c>
      <c r="F363" t="str">
        <f>"0.00"</f>
        <v>0.00</v>
      </c>
      <c r="G363" t="str">
        <f>"2687.87"</f>
        <v>2687.87</v>
      </c>
      <c r="H363" t="str">
        <f>"0.00"</f>
        <v>0.00</v>
      </c>
      <c r="I363" t="str">
        <f>"75"</f>
        <v>75</v>
      </c>
      <c r="J363" t="str">
        <f>"申购配号(奥士康)"</f>
        <v>申购配号(奥士康)</v>
      </c>
      <c r="K363" t="str">
        <f>"0.00"</f>
        <v>0.00</v>
      </c>
      <c r="L363" t="str">
        <f t="shared" si="152"/>
        <v>0.00</v>
      </c>
      <c r="M363" t="str">
        <f t="shared" si="152"/>
        <v>0.00</v>
      </c>
      <c r="N363" t="str">
        <f t="shared" si="152"/>
        <v>0.00</v>
      </c>
      <c r="O363" t="str">
        <f>"002913"</f>
        <v>002913</v>
      </c>
      <c r="P363" t="str">
        <f>"0153613480"</f>
        <v>0153613480</v>
      </c>
    </row>
    <row r="364" spans="1:16" x14ac:dyDescent="0.25">
      <c r="A364" t="str">
        <f t="shared" si="135"/>
        <v>人民币</v>
      </c>
      <c r="B364" t="str">
        <f>"乐歌股份"</f>
        <v>乐歌股份</v>
      </c>
      <c r="C364" t="str">
        <f>"20171122"</f>
        <v>20171122</v>
      </c>
      <c r="D364" t="str">
        <f>"0.000"</f>
        <v>0.000</v>
      </c>
      <c r="E364" t="str">
        <f>"8.00"</f>
        <v>8.00</v>
      </c>
      <c r="F364" t="str">
        <f>"0.00"</f>
        <v>0.00</v>
      </c>
      <c r="G364" t="str">
        <f>"2687.87"</f>
        <v>2687.87</v>
      </c>
      <c r="H364" t="str">
        <f>"0.00"</f>
        <v>0.00</v>
      </c>
      <c r="I364" t="str">
        <f>"77"</f>
        <v>77</v>
      </c>
      <c r="J364" t="str">
        <f>"申购配号(乐歌股份)"</f>
        <v>申购配号(乐歌股份)</v>
      </c>
      <c r="K364" t="str">
        <f>"0.00"</f>
        <v>0.00</v>
      </c>
      <c r="L364" t="str">
        <f t="shared" si="152"/>
        <v>0.00</v>
      </c>
      <c r="M364" t="str">
        <f t="shared" si="152"/>
        <v>0.00</v>
      </c>
      <c r="N364" t="str">
        <f t="shared" si="152"/>
        <v>0.00</v>
      </c>
      <c r="O364" t="str">
        <f>"300729"</f>
        <v>300729</v>
      </c>
      <c r="P364" t="str">
        <f>"0153613480"</f>
        <v>0153613480</v>
      </c>
    </row>
    <row r="365" spans="1:16" x14ac:dyDescent="0.25">
      <c r="A365" t="str">
        <f t="shared" si="135"/>
        <v>人民币</v>
      </c>
      <c r="B365" t="str">
        <f>" "</f>
        <v xml:space="preserve"> </v>
      </c>
      <c r="C365" t="str">
        <f>"20171123"</f>
        <v>20171123</v>
      </c>
      <c r="D365" t="str">
        <f>"---"</f>
        <v>---</v>
      </c>
      <c r="E365" t="str">
        <f>"---"</f>
        <v>---</v>
      </c>
      <c r="F365" t="str">
        <f>"500.00"</f>
        <v>500.00</v>
      </c>
      <c r="G365" t="str">
        <f>"3187.87"</f>
        <v>3187.87</v>
      </c>
      <c r="H365" t="str">
        <f>"---"</f>
        <v>---</v>
      </c>
      <c r="I365" t="str">
        <f>"---"</f>
        <v>---</v>
      </c>
      <c r="J365" t="str">
        <f>"银行转存"</f>
        <v>银行转存</v>
      </c>
      <c r="K365" t="str">
        <f t="shared" ref="K365:P365" si="153">"---"</f>
        <v>---</v>
      </c>
      <c r="L365" t="str">
        <f t="shared" si="153"/>
        <v>---</v>
      </c>
      <c r="M365" t="str">
        <f t="shared" si="153"/>
        <v>---</v>
      </c>
      <c r="N365" t="str">
        <f t="shared" si="153"/>
        <v>---</v>
      </c>
      <c r="O365" t="str">
        <f t="shared" si="153"/>
        <v>---</v>
      </c>
      <c r="P365" t="str">
        <f t="shared" si="153"/>
        <v>---</v>
      </c>
    </row>
    <row r="366" spans="1:16" x14ac:dyDescent="0.25">
      <c r="A366" t="str">
        <f t="shared" si="135"/>
        <v>人民币</v>
      </c>
      <c r="B366" t="str">
        <f>"汉王科技"</f>
        <v>汉王科技</v>
      </c>
      <c r="C366" t="str">
        <f>"20171123"</f>
        <v>20171123</v>
      </c>
      <c r="D366" t="str">
        <f>"29.410"</f>
        <v>29.410</v>
      </c>
      <c r="E366" t="str">
        <f>"100.00"</f>
        <v>100.00</v>
      </c>
      <c r="F366" t="str">
        <f>"-2946.00"</f>
        <v>-2946.00</v>
      </c>
      <c r="G366" t="str">
        <f>"241.87"</f>
        <v>241.87</v>
      </c>
      <c r="H366" t="str">
        <f>"300.00"</f>
        <v>300.00</v>
      </c>
      <c r="I366" t="str">
        <f>"82"</f>
        <v>82</v>
      </c>
      <c r="J366" t="str">
        <f>"证券买入(汉王科技)"</f>
        <v>证券买入(汉王科技)</v>
      </c>
      <c r="K366" t="str">
        <f>"5.00"</f>
        <v>5.00</v>
      </c>
      <c r="L366" t="str">
        <f t="shared" ref="L366:N368" si="154">"0.00"</f>
        <v>0.00</v>
      </c>
      <c r="M366" t="str">
        <f t="shared" si="154"/>
        <v>0.00</v>
      </c>
      <c r="N366" t="str">
        <f t="shared" si="154"/>
        <v>0.00</v>
      </c>
      <c r="O366" t="str">
        <f>"002362"</f>
        <v>002362</v>
      </c>
      <c r="P366" t="str">
        <f>"0153613480"</f>
        <v>0153613480</v>
      </c>
    </row>
    <row r="367" spans="1:16" x14ac:dyDescent="0.25">
      <c r="A367" t="str">
        <f t="shared" si="135"/>
        <v>人民币</v>
      </c>
      <c r="B367" t="str">
        <f>"中欣氟材"</f>
        <v>中欣氟材</v>
      </c>
      <c r="C367" t="str">
        <f>"20171123"</f>
        <v>20171123</v>
      </c>
      <c r="D367" t="str">
        <f>"0.000"</f>
        <v>0.000</v>
      </c>
      <c r="E367" t="str">
        <f>"7.00"</f>
        <v>7.00</v>
      </c>
      <c r="F367" t="str">
        <f>"0.00"</f>
        <v>0.00</v>
      </c>
      <c r="G367" t="str">
        <f>"241.87"</f>
        <v>241.87</v>
      </c>
      <c r="H367" t="str">
        <f>"0.00"</f>
        <v>0.00</v>
      </c>
      <c r="I367" t="str">
        <f>"85"</f>
        <v>85</v>
      </c>
      <c r="J367" t="str">
        <f>"申购配号(中欣氟材)"</f>
        <v>申购配号(中欣氟材)</v>
      </c>
      <c r="K367" t="str">
        <f>"0.00"</f>
        <v>0.00</v>
      </c>
      <c r="L367" t="str">
        <f t="shared" si="154"/>
        <v>0.00</v>
      </c>
      <c r="M367" t="str">
        <f t="shared" si="154"/>
        <v>0.00</v>
      </c>
      <c r="N367" t="str">
        <f t="shared" si="154"/>
        <v>0.00</v>
      </c>
      <c r="O367" t="str">
        <f>"002915"</f>
        <v>002915</v>
      </c>
      <c r="P367" t="str">
        <f>"0153613480"</f>
        <v>0153613480</v>
      </c>
    </row>
    <row r="368" spans="1:16" x14ac:dyDescent="0.25">
      <c r="A368" t="str">
        <f t="shared" si="135"/>
        <v>人民币</v>
      </c>
      <c r="B368" t="str">
        <f>"科创信息"</f>
        <v>科创信息</v>
      </c>
      <c r="C368" t="str">
        <f>"20171123"</f>
        <v>20171123</v>
      </c>
      <c r="D368" t="str">
        <f>"0.000"</f>
        <v>0.000</v>
      </c>
      <c r="E368" t="str">
        <f>"7.00"</f>
        <v>7.00</v>
      </c>
      <c r="F368" t="str">
        <f>"0.00"</f>
        <v>0.00</v>
      </c>
      <c r="G368" t="str">
        <f>"241.87"</f>
        <v>241.87</v>
      </c>
      <c r="H368" t="str">
        <f>"0.00"</f>
        <v>0.00</v>
      </c>
      <c r="I368" t="str">
        <f>"87"</f>
        <v>87</v>
      </c>
      <c r="J368" t="str">
        <f>"申购配号(科创信息)"</f>
        <v>申购配号(科创信息)</v>
      </c>
      <c r="K368" t="str">
        <f>"0.00"</f>
        <v>0.00</v>
      </c>
      <c r="L368" t="str">
        <f t="shared" si="154"/>
        <v>0.00</v>
      </c>
      <c r="M368" t="str">
        <f t="shared" si="154"/>
        <v>0.00</v>
      </c>
      <c r="N368" t="str">
        <f t="shared" si="154"/>
        <v>0.00</v>
      </c>
      <c r="O368" t="str">
        <f>"300730"</f>
        <v>300730</v>
      </c>
      <c r="P368" t="str">
        <f>"0153613480"</f>
        <v>0153613480</v>
      </c>
    </row>
    <row r="369" spans="1:16" x14ac:dyDescent="0.25">
      <c r="A369" t="str">
        <f t="shared" si="135"/>
        <v>人民币</v>
      </c>
      <c r="B369" t="str">
        <f>"西水股份"</f>
        <v>西水股份</v>
      </c>
      <c r="C369" t="str">
        <f t="shared" ref="C369:C375" si="155">"20171129"</f>
        <v>20171129</v>
      </c>
      <c r="D369" t="str">
        <f>"25.390"</f>
        <v>25.390</v>
      </c>
      <c r="E369" t="str">
        <f>"100.00"</f>
        <v>100.00</v>
      </c>
      <c r="F369" t="str">
        <f>"-2544.05"</f>
        <v>-2544.05</v>
      </c>
      <c r="G369" t="str">
        <f>"-2302.18"</f>
        <v>-2302.18</v>
      </c>
      <c r="H369" t="str">
        <f>"100.00"</f>
        <v>100.00</v>
      </c>
      <c r="I369" t="str">
        <f>"99"</f>
        <v>99</v>
      </c>
      <c r="J369" t="str">
        <f>"证券买入(西水股份)"</f>
        <v>证券买入(西水股份)</v>
      </c>
      <c r="K369" t="str">
        <f>"5.00"</f>
        <v>5.00</v>
      </c>
      <c r="L369" t="str">
        <f>"0.00"</f>
        <v>0.00</v>
      </c>
      <c r="M369" t="str">
        <f>"0.05"</f>
        <v>0.05</v>
      </c>
      <c r="N369" t="str">
        <f t="shared" ref="N369:N377" si="156">"0.00"</f>
        <v>0.00</v>
      </c>
      <c r="O369" t="str">
        <f>"600291"</f>
        <v>600291</v>
      </c>
      <c r="P369" t="str">
        <f>"A400948245"</f>
        <v>A400948245</v>
      </c>
    </row>
    <row r="370" spans="1:16" x14ac:dyDescent="0.25">
      <c r="A370" t="str">
        <f t="shared" si="135"/>
        <v>人民币</v>
      </c>
      <c r="B370" t="str">
        <f>"西水股份"</f>
        <v>西水股份</v>
      </c>
      <c r="C370" t="str">
        <f t="shared" si="155"/>
        <v>20171129</v>
      </c>
      <c r="D370" t="str">
        <f>"25.290"</f>
        <v>25.290</v>
      </c>
      <c r="E370" t="str">
        <f>"200.00"</f>
        <v>200.00</v>
      </c>
      <c r="F370" t="str">
        <f>"-5063.10"</f>
        <v>-5063.10</v>
      </c>
      <c r="G370" t="str">
        <f>"-7365.28"</f>
        <v>-7365.28</v>
      </c>
      <c r="H370" t="str">
        <f>"300.00"</f>
        <v>300.00</v>
      </c>
      <c r="I370" t="str">
        <f>"111"</f>
        <v>111</v>
      </c>
      <c r="J370" t="str">
        <f>"证券买入(西水股份)"</f>
        <v>证券买入(西水股份)</v>
      </c>
      <c r="K370" t="str">
        <f>"5.00"</f>
        <v>5.00</v>
      </c>
      <c r="L370" t="str">
        <f>"0.00"</f>
        <v>0.00</v>
      </c>
      <c r="M370" t="str">
        <f>"0.10"</f>
        <v>0.10</v>
      </c>
      <c r="N370" t="str">
        <f t="shared" si="156"/>
        <v>0.00</v>
      </c>
      <c r="O370" t="str">
        <f>"600291"</f>
        <v>600291</v>
      </c>
      <c r="P370" t="str">
        <f>"A400948245"</f>
        <v>A400948245</v>
      </c>
    </row>
    <row r="371" spans="1:16" x14ac:dyDescent="0.25">
      <c r="A371" t="str">
        <f t="shared" si="135"/>
        <v>人民币</v>
      </c>
      <c r="B371" t="str">
        <f>"汉王科技"</f>
        <v>汉王科技</v>
      </c>
      <c r="C371" t="str">
        <f t="shared" si="155"/>
        <v>20171129</v>
      </c>
      <c r="D371" t="str">
        <f>"25.390"</f>
        <v>25.390</v>
      </c>
      <c r="E371" t="str">
        <f>"-100.00"</f>
        <v>-100.00</v>
      </c>
      <c r="F371" t="str">
        <f>"2531.46"</f>
        <v>2531.46</v>
      </c>
      <c r="G371" t="str">
        <f>"-4833.82"</f>
        <v>-4833.82</v>
      </c>
      <c r="H371" t="str">
        <f>"200.00"</f>
        <v>200.00</v>
      </c>
      <c r="I371" t="str">
        <f>"96"</f>
        <v>96</v>
      </c>
      <c r="J371" t="str">
        <f>"证券卖出(汉王科技)"</f>
        <v>证券卖出(汉王科技)</v>
      </c>
      <c r="K371" t="str">
        <f>"5.00"</f>
        <v>5.00</v>
      </c>
      <c r="L371" t="str">
        <f>"2.54"</f>
        <v>2.54</v>
      </c>
      <c r="M371" t="str">
        <f t="shared" ref="M371:M377" si="157">"0.00"</f>
        <v>0.00</v>
      </c>
      <c r="N371" t="str">
        <f t="shared" si="156"/>
        <v>0.00</v>
      </c>
      <c r="O371" t="str">
        <f>"002362"</f>
        <v>002362</v>
      </c>
      <c r="P371" t="str">
        <f t="shared" ref="P371:P377" si="158">"0153613480"</f>
        <v>0153613480</v>
      </c>
    </row>
    <row r="372" spans="1:16" x14ac:dyDescent="0.25">
      <c r="A372" t="str">
        <f t="shared" si="135"/>
        <v>人民币</v>
      </c>
      <c r="B372" t="str">
        <f>"汉王科技"</f>
        <v>汉王科技</v>
      </c>
      <c r="C372" t="str">
        <f t="shared" si="155"/>
        <v>20171129</v>
      </c>
      <c r="D372" t="str">
        <f>"25.370"</f>
        <v>25.370</v>
      </c>
      <c r="E372" t="str">
        <f>"-100.00"</f>
        <v>-100.00</v>
      </c>
      <c r="F372" t="str">
        <f>"2529.46"</f>
        <v>2529.46</v>
      </c>
      <c r="G372" t="str">
        <f>"-2304.36"</f>
        <v>-2304.36</v>
      </c>
      <c r="H372" t="str">
        <f>"100.00"</f>
        <v>100.00</v>
      </c>
      <c r="I372" t="str">
        <f>"105"</f>
        <v>105</v>
      </c>
      <c r="J372" t="str">
        <f>"证券卖出(汉王科技)"</f>
        <v>证券卖出(汉王科技)</v>
      </c>
      <c r="K372" t="str">
        <f>"5.00"</f>
        <v>5.00</v>
      </c>
      <c r="L372" t="str">
        <f>"2.54"</f>
        <v>2.54</v>
      </c>
      <c r="M372" t="str">
        <f t="shared" si="157"/>
        <v>0.00</v>
      </c>
      <c r="N372" t="str">
        <f t="shared" si="156"/>
        <v>0.00</v>
      </c>
      <c r="O372" t="str">
        <f>"002362"</f>
        <v>002362</v>
      </c>
      <c r="P372" t="str">
        <f t="shared" si="158"/>
        <v>0153613480</v>
      </c>
    </row>
    <row r="373" spans="1:16" x14ac:dyDescent="0.25">
      <c r="A373" t="str">
        <f t="shared" si="135"/>
        <v>人民币</v>
      </c>
      <c r="B373" t="str">
        <f>"汉王科技"</f>
        <v>汉王科技</v>
      </c>
      <c r="C373" t="str">
        <f t="shared" si="155"/>
        <v>20171129</v>
      </c>
      <c r="D373" t="str">
        <f>"25.380"</f>
        <v>25.380</v>
      </c>
      <c r="E373" t="str">
        <f>"-100.00"</f>
        <v>-100.00</v>
      </c>
      <c r="F373" t="str">
        <f>"2530.46"</f>
        <v>2530.46</v>
      </c>
      <c r="G373" t="str">
        <f>"226.10"</f>
        <v>226.10</v>
      </c>
      <c r="H373" t="str">
        <f>"0.00"</f>
        <v>0.00</v>
      </c>
      <c r="I373" t="str">
        <f>"108"</f>
        <v>108</v>
      </c>
      <c r="J373" t="str">
        <f>"证券卖出(汉王科技)"</f>
        <v>证券卖出(汉王科技)</v>
      </c>
      <c r="K373" t="str">
        <f>"5.00"</f>
        <v>5.00</v>
      </c>
      <c r="L373" t="str">
        <f>"2.54"</f>
        <v>2.54</v>
      </c>
      <c r="M373" t="str">
        <f t="shared" si="157"/>
        <v>0.00</v>
      </c>
      <c r="N373" t="str">
        <f t="shared" si="156"/>
        <v>0.00</v>
      </c>
      <c r="O373" t="str">
        <f>"002362"</f>
        <v>002362</v>
      </c>
      <c r="P373" t="str">
        <f t="shared" si="158"/>
        <v>0153613480</v>
      </c>
    </row>
    <row r="374" spans="1:16" x14ac:dyDescent="0.25">
      <c r="A374" t="str">
        <f t="shared" si="135"/>
        <v>人民币</v>
      </c>
      <c r="B374" t="str">
        <f>"金奥博"</f>
        <v>金奥博</v>
      </c>
      <c r="C374" t="str">
        <f t="shared" si="155"/>
        <v>20171129</v>
      </c>
      <c r="D374" t="str">
        <f>"0.000"</f>
        <v>0.000</v>
      </c>
      <c r="E374" t="str">
        <f>"5.00"</f>
        <v>5.00</v>
      </c>
      <c r="F374" t="str">
        <f>"0.00"</f>
        <v>0.00</v>
      </c>
      <c r="G374" t="str">
        <f>"226.10"</f>
        <v>226.10</v>
      </c>
      <c r="H374" t="str">
        <f>"0.00"</f>
        <v>0.00</v>
      </c>
      <c r="I374" t="str">
        <f>"92"</f>
        <v>92</v>
      </c>
      <c r="J374" t="str">
        <f>"申购配号(金奥博)"</f>
        <v>申购配号(金奥博)</v>
      </c>
      <c r="K374" t="str">
        <f t="shared" ref="K374:L377" si="159">"0.00"</f>
        <v>0.00</v>
      </c>
      <c r="L374" t="str">
        <f t="shared" si="159"/>
        <v>0.00</v>
      </c>
      <c r="M374" t="str">
        <f t="shared" si="157"/>
        <v>0.00</v>
      </c>
      <c r="N374" t="str">
        <f t="shared" si="156"/>
        <v>0.00</v>
      </c>
      <c r="O374" t="str">
        <f>"002917"</f>
        <v>002917</v>
      </c>
      <c r="P374" t="str">
        <f t="shared" si="158"/>
        <v>0153613480</v>
      </c>
    </row>
    <row r="375" spans="1:16" x14ac:dyDescent="0.25">
      <c r="A375" t="str">
        <f t="shared" si="135"/>
        <v>人民币</v>
      </c>
      <c r="B375" t="str">
        <f>"科创新源"</f>
        <v>科创新源</v>
      </c>
      <c r="C375" t="str">
        <f t="shared" si="155"/>
        <v>20171129</v>
      </c>
      <c r="D375" t="str">
        <f>"0.000"</f>
        <v>0.000</v>
      </c>
      <c r="E375" t="str">
        <f>"5.00"</f>
        <v>5.00</v>
      </c>
      <c r="F375" t="str">
        <f>"0.00"</f>
        <v>0.00</v>
      </c>
      <c r="G375" t="str">
        <f>"226.10"</f>
        <v>226.10</v>
      </c>
      <c r="H375" t="str">
        <f>"0.00"</f>
        <v>0.00</v>
      </c>
      <c r="I375" t="str">
        <f>"94"</f>
        <v>94</v>
      </c>
      <c r="J375" t="str">
        <f>"申购配号(科创新源)"</f>
        <v>申购配号(科创新源)</v>
      </c>
      <c r="K375" t="str">
        <f t="shared" si="159"/>
        <v>0.00</v>
      </c>
      <c r="L375" t="str">
        <f t="shared" si="159"/>
        <v>0.00</v>
      </c>
      <c r="M375" t="str">
        <f t="shared" si="157"/>
        <v>0.00</v>
      </c>
      <c r="N375" t="str">
        <f t="shared" si="156"/>
        <v>0.00</v>
      </c>
      <c r="O375" t="str">
        <f>"300731"</f>
        <v>300731</v>
      </c>
      <c r="P375" t="str">
        <f t="shared" si="158"/>
        <v>0153613480</v>
      </c>
    </row>
    <row r="376" spans="1:16" x14ac:dyDescent="0.25">
      <c r="A376" t="str">
        <f t="shared" si="135"/>
        <v>人民币</v>
      </c>
      <c r="B376" t="str">
        <f>"设研院"</f>
        <v>设研院</v>
      </c>
      <c r="C376" t="str">
        <f>"20171130"</f>
        <v>20171130</v>
      </c>
      <c r="D376" t="str">
        <f>"0.000"</f>
        <v>0.000</v>
      </c>
      <c r="E376" t="str">
        <f>"5.00"</f>
        <v>5.00</v>
      </c>
      <c r="F376" t="str">
        <f>"0.00"</f>
        <v>0.00</v>
      </c>
      <c r="G376" t="str">
        <f>"226.10"</f>
        <v>226.10</v>
      </c>
      <c r="H376" t="str">
        <f>"0.00"</f>
        <v>0.00</v>
      </c>
      <c r="I376" t="str">
        <f>"124"</f>
        <v>124</v>
      </c>
      <c r="J376" t="str">
        <f>"申购配号(设研院)"</f>
        <v>申购配号(设研院)</v>
      </c>
      <c r="K376" t="str">
        <f t="shared" si="159"/>
        <v>0.00</v>
      </c>
      <c r="L376" t="str">
        <f t="shared" si="159"/>
        <v>0.00</v>
      </c>
      <c r="M376" t="str">
        <f t="shared" si="157"/>
        <v>0.00</v>
      </c>
      <c r="N376" t="str">
        <f t="shared" si="156"/>
        <v>0.00</v>
      </c>
      <c r="O376" t="str">
        <f>"300732"</f>
        <v>300732</v>
      </c>
      <c r="P376" t="str">
        <f t="shared" si="158"/>
        <v>0153613480</v>
      </c>
    </row>
    <row r="377" spans="1:16" x14ac:dyDescent="0.25">
      <c r="A377" t="str">
        <f t="shared" si="135"/>
        <v>人民币</v>
      </c>
      <c r="B377" t="str">
        <f>"深南电路"</f>
        <v>深南电路</v>
      </c>
      <c r="C377" t="str">
        <f>"20171130"</f>
        <v>20171130</v>
      </c>
      <c r="D377" t="str">
        <f>"0.000"</f>
        <v>0.000</v>
      </c>
      <c r="E377" t="str">
        <f>"5.00"</f>
        <v>5.00</v>
      </c>
      <c r="F377" t="str">
        <f>"0.00"</f>
        <v>0.00</v>
      </c>
      <c r="G377" t="str">
        <f>"226.10"</f>
        <v>226.10</v>
      </c>
      <c r="H377" t="str">
        <f>"0.00"</f>
        <v>0.00</v>
      </c>
      <c r="I377" t="str">
        <f>"122"</f>
        <v>122</v>
      </c>
      <c r="J377" t="str">
        <f>"申购配号(深南电路)"</f>
        <v>申购配号(深南电路)</v>
      </c>
      <c r="K377" t="str">
        <f t="shared" si="159"/>
        <v>0.00</v>
      </c>
      <c r="L377" t="str">
        <f t="shared" si="159"/>
        <v>0.00</v>
      </c>
      <c r="M377" t="str">
        <f t="shared" si="157"/>
        <v>0.00</v>
      </c>
      <c r="N377" t="str">
        <f t="shared" si="156"/>
        <v>0.00</v>
      </c>
      <c r="O377" t="str">
        <f>"002916"</f>
        <v>002916</v>
      </c>
      <c r="P377" t="str">
        <f t="shared" si="158"/>
        <v>0153613480</v>
      </c>
    </row>
    <row r="378" spans="1:16" x14ac:dyDescent="0.25">
      <c r="A378" t="str">
        <f t="shared" si="135"/>
        <v>人民币</v>
      </c>
      <c r="B378" t="str">
        <f>" "</f>
        <v xml:space="preserve"> </v>
      </c>
      <c r="C378" t="str">
        <f>"20171205"</f>
        <v>20171205</v>
      </c>
      <c r="D378" t="str">
        <f>"---"</f>
        <v>---</v>
      </c>
      <c r="E378" t="str">
        <f>"---"</f>
        <v>---</v>
      </c>
      <c r="F378" t="str">
        <f>"8500.00"</f>
        <v>8500.00</v>
      </c>
      <c r="G378" t="str">
        <f>"8726.10"</f>
        <v>8726.10</v>
      </c>
      <c r="H378" t="str">
        <f>"---"</f>
        <v>---</v>
      </c>
      <c r="I378" t="str">
        <f>"---"</f>
        <v>---</v>
      </c>
      <c r="J378" t="str">
        <f>"银行转存"</f>
        <v>银行转存</v>
      </c>
      <c r="K378" t="str">
        <f t="shared" ref="K378:P378" si="160">"---"</f>
        <v>---</v>
      </c>
      <c r="L378" t="str">
        <f t="shared" si="160"/>
        <v>---</v>
      </c>
      <c r="M378" t="str">
        <f t="shared" si="160"/>
        <v>---</v>
      </c>
      <c r="N378" t="str">
        <f t="shared" si="160"/>
        <v>---</v>
      </c>
      <c r="O378" t="str">
        <f t="shared" si="160"/>
        <v>---</v>
      </c>
      <c r="P378" t="str">
        <f t="shared" si="160"/>
        <v>---</v>
      </c>
    </row>
    <row r="379" spans="1:16" x14ac:dyDescent="0.25">
      <c r="A379" t="str">
        <f t="shared" si="135"/>
        <v>人民币</v>
      </c>
      <c r="B379" t="str">
        <f>"西水股份"</f>
        <v>西水股份</v>
      </c>
      <c r="C379" t="str">
        <f>"20171205"</f>
        <v>20171205</v>
      </c>
      <c r="D379" t="str">
        <f>"25.290"</f>
        <v>25.290</v>
      </c>
      <c r="E379" t="str">
        <f>"200.00"</f>
        <v>200.00</v>
      </c>
      <c r="F379" t="str">
        <f>"-5063.10"</f>
        <v>-5063.10</v>
      </c>
      <c r="G379" t="str">
        <f>"3663.00"</f>
        <v>3663.00</v>
      </c>
      <c r="H379" t="str">
        <f>"500.00"</f>
        <v>500.00</v>
      </c>
      <c r="I379" t="str">
        <f>"129"</f>
        <v>129</v>
      </c>
      <c r="J379" t="str">
        <f>"证券买入(西水股份)"</f>
        <v>证券买入(西水股份)</v>
      </c>
      <c r="K379" t="str">
        <f>"5.00"</f>
        <v>5.00</v>
      </c>
      <c r="L379" t="str">
        <f>"0.00"</f>
        <v>0.00</v>
      </c>
      <c r="M379" t="str">
        <f>"0.10"</f>
        <v>0.10</v>
      </c>
      <c r="N379" t="str">
        <f>"0.00"</f>
        <v>0.00</v>
      </c>
      <c r="O379" t="str">
        <f>"600291"</f>
        <v>600291</v>
      </c>
      <c r="P379" t="str">
        <f>"A400948245"</f>
        <v>A400948245</v>
      </c>
    </row>
    <row r="380" spans="1:16" x14ac:dyDescent="0.25">
      <c r="A380" t="str">
        <f t="shared" si="135"/>
        <v>人民币</v>
      </c>
      <c r="B380" t="str">
        <f>"西水股份"</f>
        <v>西水股份</v>
      </c>
      <c r="C380" t="str">
        <f>"20171205"</f>
        <v>20171205</v>
      </c>
      <c r="D380" t="str">
        <f>"24.560"</f>
        <v>24.560</v>
      </c>
      <c r="E380" t="str">
        <f>"100.00"</f>
        <v>100.00</v>
      </c>
      <c r="F380" t="str">
        <f>"-2461.05"</f>
        <v>-2461.05</v>
      </c>
      <c r="G380" t="str">
        <f>"1201.95"</f>
        <v>1201.95</v>
      </c>
      <c r="H380" t="str">
        <f>"600.00"</f>
        <v>600.00</v>
      </c>
      <c r="I380" t="str">
        <f>"132"</f>
        <v>132</v>
      </c>
      <c r="J380" t="str">
        <f>"证券买入(西水股份)"</f>
        <v>证券买入(西水股份)</v>
      </c>
      <c r="K380" t="str">
        <f>"5.00"</f>
        <v>5.00</v>
      </c>
      <c r="L380" t="str">
        <f>"0.00"</f>
        <v>0.00</v>
      </c>
      <c r="M380" t="str">
        <f>"0.05"</f>
        <v>0.05</v>
      </c>
      <c r="N380" t="str">
        <f>"0.00"</f>
        <v>0.00</v>
      </c>
      <c r="O380" t="str">
        <f>"600291"</f>
        <v>600291</v>
      </c>
      <c r="P380" t="str">
        <f>"A400948245"</f>
        <v>A400948245</v>
      </c>
    </row>
    <row r="381" spans="1:16" x14ac:dyDescent="0.25">
      <c r="A381" t="str">
        <f t="shared" si="135"/>
        <v>人民币</v>
      </c>
      <c r="B381" t="str">
        <f>"天添利"</f>
        <v>天添利</v>
      </c>
      <c r="C381" t="str">
        <f>"20171207"</f>
        <v>20171207</v>
      </c>
      <c r="D381" t="str">
        <f>"0.000"</f>
        <v>0.000</v>
      </c>
      <c r="E381" t="str">
        <f>"0.00"</f>
        <v>0.00</v>
      </c>
      <c r="F381" t="str">
        <f>"1.52"</f>
        <v>1.52</v>
      </c>
      <c r="G381" t="str">
        <f>"1203.47"</f>
        <v>1203.47</v>
      </c>
      <c r="H381" t="str">
        <f>"0.00"</f>
        <v>0.00</v>
      </c>
      <c r="I381" t="str">
        <f>"---"</f>
        <v>---</v>
      </c>
      <c r="J381" t="str">
        <f>"股息入帐(天添利)"</f>
        <v>股息入帐(天添利)</v>
      </c>
      <c r="K381" t="str">
        <f t="shared" ref="K381:N382" si="161">"---"</f>
        <v>---</v>
      </c>
      <c r="L381" t="str">
        <f t="shared" si="161"/>
        <v>---</v>
      </c>
      <c r="M381" t="str">
        <f t="shared" si="161"/>
        <v>---</v>
      </c>
      <c r="N381" t="str">
        <f t="shared" si="161"/>
        <v>---</v>
      </c>
      <c r="O381" t="str">
        <f>"880013"</f>
        <v>880013</v>
      </c>
      <c r="P381" t="str">
        <f>"980518091676"</f>
        <v>980518091676</v>
      </c>
    </row>
    <row r="382" spans="1:16" x14ac:dyDescent="0.25">
      <c r="A382" t="str">
        <f t="shared" si="135"/>
        <v>人民币</v>
      </c>
      <c r="B382" t="str">
        <f>" "</f>
        <v xml:space="preserve"> </v>
      </c>
      <c r="C382" t="str">
        <f>"20171211"</f>
        <v>20171211</v>
      </c>
      <c r="D382" t="str">
        <f>"---"</f>
        <v>---</v>
      </c>
      <c r="E382" t="str">
        <f>"---"</f>
        <v>---</v>
      </c>
      <c r="F382" t="str">
        <f>"-1000.00"</f>
        <v>-1000.00</v>
      </c>
      <c r="G382" t="str">
        <f>"203.47"</f>
        <v>203.47</v>
      </c>
      <c r="H382" t="str">
        <f>"---"</f>
        <v>---</v>
      </c>
      <c r="I382" t="str">
        <f>"---"</f>
        <v>---</v>
      </c>
      <c r="J382" t="str">
        <f>"银行转取"</f>
        <v>银行转取</v>
      </c>
      <c r="K382" t="str">
        <f t="shared" si="161"/>
        <v>---</v>
      </c>
      <c r="L382" t="str">
        <f t="shared" si="161"/>
        <v>---</v>
      </c>
      <c r="M382" t="str">
        <f t="shared" si="161"/>
        <v>---</v>
      </c>
      <c r="N382" t="str">
        <f t="shared" si="161"/>
        <v>---</v>
      </c>
      <c r="O382" t="str">
        <f>"---"</f>
        <v>---</v>
      </c>
      <c r="P382" t="str">
        <f>"---"</f>
        <v>---</v>
      </c>
    </row>
    <row r="383" spans="1:16" x14ac:dyDescent="0.25">
      <c r="A383" t="str">
        <f t="shared" si="135"/>
        <v>人民币</v>
      </c>
      <c r="B383" t="str">
        <f>"西水股份"</f>
        <v>西水股份</v>
      </c>
      <c r="C383" t="str">
        <f>"20171218"</f>
        <v>20171218</v>
      </c>
      <c r="D383" t="str">
        <f>"23.290"</f>
        <v>23.290</v>
      </c>
      <c r="E383" t="str">
        <f>"-300.00"</f>
        <v>-300.00</v>
      </c>
      <c r="F383" t="str">
        <f>"6974.87"</f>
        <v>6974.87</v>
      </c>
      <c r="G383" t="str">
        <f>"7178.34"</f>
        <v>7178.34</v>
      </c>
      <c r="H383" t="str">
        <f>"300.00"</f>
        <v>300.00</v>
      </c>
      <c r="I383" t="str">
        <f>"141"</f>
        <v>141</v>
      </c>
      <c r="J383" t="str">
        <f>"证券卖出(西水股份)"</f>
        <v>证券卖出(西水股份)</v>
      </c>
      <c r="K383" t="str">
        <f>"5.00"</f>
        <v>5.00</v>
      </c>
      <c r="L383" t="str">
        <f>"6.99"</f>
        <v>6.99</v>
      </c>
      <c r="M383" t="str">
        <f>"0.14"</f>
        <v>0.14</v>
      </c>
      <c r="N383" t="str">
        <f>"0.00"</f>
        <v>0.00</v>
      </c>
      <c r="O383" t="str">
        <f>"600291"</f>
        <v>600291</v>
      </c>
      <c r="P383" t="str">
        <f>"A400948245"</f>
        <v>A400948245</v>
      </c>
    </row>
    <row r="384" spans="1:16" x14ac:dyDescent="0.25">
      <c r="A384" t="str">
        <f t="shared" si="135"/>
        <v>人民币</v>
      </c>
      <c r="B384" t="str">
        <f>"西水股份"</f>
        <v>西水股份</v>
      </c>
      <c r="C384" t="str">
        <f>"20171218"</f>
        <v>20171218</v>
      </c>
      <c r="D384" t="str">
        <f>"23.310"</f>
        <v>23.310</v>
      </c>
      <c r="E384" t="str">
        <f>"-300.00"</f>
        <v>-300.00</v>
      </c>
      <c r="F384" t="str">
        <f>"6980.87"</f>
        <v>6980.87</v>
      </c>
      <c r="G384" t="str">
        <f>"14159.21"</f>
        <v>14159.21</v>
      </c>
      <c r="H384" t="str">
        <f>"0.00"</f>
        <v>0.00</v>
      </c>
      <c r="I384" t="str">
        <f>"148"</f>
        <v>148</v>
      </c>
      <c r="J384" t="str">
        <f>"证券卖出(西水股份)"</f>
        <v>证券卖出(西水股份)</v>
      </c>
      <c r="K384" t="str">
        <f>"5.00"</f>
        <v>5.00</v>
      </c>
      <c r="L384" t="str">
        <f>"6.99"</f>
        <v>6.99</v>
      </c>
      <c r="M384" t="str">
        <f>"0.14"</f>
        <v>0.14</v>
      </c>
      <c r="N384" t="str">
        <f>"0.00"</f>
        <v>0.00</v>
      </c>
      <c r="O384" t="str">
        <f>"600291"</f>
        <v>600291</v>
      </c>
      <c r="P384" t="str">
        <f>"A400948245"</f>
        <v>A400948245</v>
      </c>
    </row>
    <row r="385" spans="1:16" x14ac:dyDescent="0.25">
      <c r="A385" t="str">
        <f t="shared" si="135"/>
        <v>人民币</v>
      </c>
      <c r="B385" t="str">
        <f>"东软载波"</f>
        <v>东软载波</v>
      </c>
      <c r="C385" t="str">
        <f>"20171218"</f>
        <v>20171218</v>
      </c>
      <c r="D385" t="str">
        <f>"20.767"</f>
        <v>20.767</v>
      </c>
      <c r="E385" t="str">
        <f>"300.00"</f>
        <v>300.00</v>
      </c>
      <c r="F385" t="str">
        <f>"-6235.00"</f>
        <v>-6235.00</v>
      </c>
      <c r="G385" t="str">
        <f>"7924.21"</f>
        <v>7924.21</v>
      </c>
      <c r="H385" t="str">
        <f>"300.00"</f>
        <v>300.00</v>
      </c>
      <c r="I385" t="str">
        <f>"144"</f>
        <v>144</v>
      </c>
      <c r="J385" t="str">
        <f>"证券买入(东软载波)"</f>
        <v>证券买入(东软载波)</v>
      </c>
      <c r="K385" t="str">
        <f>"5.00"</f>
        <v>5.00</v>
      </c>
      <c r="L385" t="str">
        <f>"0.00"</f>
        <v>0.00</v>
      </c>
      <c r="M385" t="str">
        <f>"0.00"</f>
        <v>0.00</v>
      </c>
      <c r="N385" t="str">
        <f>"0.00"</f>
        <v>0.00</v>
      </c>
      <c r="O385" t="str">
        <f>"300183"</f>
        <v>300183</v>
      </c>
      <c r="P385" t="str">
        <f>"0153613480"</f>
        <v>0153613480</v>
      </c>
    </row>
    <row r="386" spans="1:16" x14ac:dyDescent="0.25">
      <c r="A386" t="str">
        <f t="shared" si="135"/>
        <v>人民币</v>
      </c>
      <c r="B386" t="str">
        <f>"东软载波"</f>
        <v>东软载波</v>
      </c>
      <c r="C386" t="str">
        <f>"20171218"</f>
        <v>20171218</v>
      </c>
      <c r="D386" t="str">
        <f>"20.710"</f>
        <v>20.710</v>
      </c>
      <c r="E386" t="str">
        <f>"300.00"</f>
        <v>300.00</v>
      </c>
      <c r="F386" t="str">
        <f>"-6218.00"</f>
        <v>-6218.00</v>
      </c>
      <c r="G386" t="str">
        <f>"1706.21"</f>
        <v>1706.21</v>
      </c>
      <c r="H386" t="str">
        <f>"600.00"</f>
        <v>600.00</v>
      </c>
      <c r="I386" t="str">
        <f>"151"</f>
        <v>151</v>
      </c>
      <c r="J386" t="str">
        <f>"证券买入(东软载波)"</f>
        <v>证券买入(东软载波)</v>
      </c>
      <c r="K386" t="str">
        <f>"5.00"</f>
        <v>5.00</v>
      </c>
      <c r="L386" t="str">
        <f>"0.00"</f>
        <v>0.00</v>
      </c>
      <c r="M386" t="str">
        <f>"0.00"</f>
        <v>0.00</v>
      </c>
      <c r="N386" t="str">
        <f>"0.00"</f>
        <v>0.00</v>
      </c>
      <c r="O386" t="str">
        <f>"300183"</f>
        <v>300183</v>
      </c>
      <c r="P386" t="str">
        <f>"0153613480"</f>
        <v>0153613480</v>
      </c>
    </row>
    <row r="387" spans="1:16" x14ac:dyDescent="0.25">
      <c r="A387" t="str">
        <f t="shared" si="135"/>
        <v>人民币</v>
      </c>
      <c r="B387" t="str">
        <f>" "</f>
        <v xml:space="preserve"> </v>
      </c>
      <c r="C387" t="str">
        <f>"20171220"</f>
        <v>20171220</v>
      </c>
      <c r="D387" t="str">
        <f>"---"</f>
        <v>---</v>
      </c>
      <c r="E387" t="str">
        <f>"---"</f>
        <v>---</v>
      </c>
      <c r="F387" t="str">
        <f>"1.12"</f>
        <v>1.12</v>
      </c>
      <c r="G387" t="str">
        <f>"1707.33"</f>
        <v>1707.33</v>
      </c>
      <c r="H387" t="str">
        <f>"---"</f>
        <v>---</v>
      </c>
      <c r="I387" t="str">
        <f>"---"</f>
        <v>---</v>
      </c>
      <c r="J387" t="str">
        <f>"批量利息归本"</f>
        <v>批量利息归本</v>
      </c>
      <c r="K387" t="str">
        <f t="shared" ref="K387:P388" si="162">"---"</f>
        <v>---</v>
      </c>
      <c r="L387" t="str">
        <f t="shared" si="162"/>
        <v>---</v>
      </c>
      <c r="M387" t="str">
        <f t="shared" si="162"/>
        <v>---</v>
      </c>
      <c r="N387" t="str">
        <f t="shared" si="162"/>
        <v>---</v>
      </c>
      <c r="O387" t="str">
        <f t="shared" si="162"/>
        <v>---</v>
      </c>
      <c r="P387" t="str">
        <f t="shared" si="162"/>
        <v>---</v>
      </c>
    </row>
    <row r="388" spans="1:16" x14ac:dyDescent="0.25">
      <c r="A388" t="str">
        <f t="shared" si="135"/>
        <v>人民币</v>
      </c>
      <c r="B388" t="str">
        <f>" "</f>
        <v xml:space="preserve"> </v>
      </c>
      <c r="C388" t="str">
        <f>"20171225"</f>
        <v>20171225</v>
      </c>
      <c r="D388" t="str">
        <f>"---"</f>
        <v>---</v>
      </c>
      <c r="E388" t="str">
        <f>"---"</f>
        <v>---</v>
      </c>
      <c r="F388" t="str">
        <f>"300.00"</f>
        <v>300.00</v>
      </c>
      <c r="G388" t="str">
        <f>"2007.33"</f>
        <v>2007.33</v>
      </c>
      <c r="H388" t="str">
        <f>"---"</f>
        <v>---</v>
      </c>
      <c r="I388" t="str">
        <f>"---"</f>
        <v>---</v>
      </c>
      <c r="J388" t="str">
        <f>"银行转存"</f>
        <v>银行转存</v>
      </c>
      <c r="K388" t="str">
        <f t="shared" si="162"/>
        <v>---</v>
      </c>
      <c r="L388" t="str">
        <f t="shared" si="162"/>
        <v>---</v>
      </c>
      <c r="M388" t="str">
        <f t="shared" si="162"/>
        <v>---</v>
      </c>
      <c r="N388" t="str">
        <f t="shared" si="162"/>
        <v>---</v>
      </c>
      <c r="O388" t="str">
        <f t="shared" si="162"/>
        <v>---</v>
      </c>
      <c r="P388" t="str">
        <f t="shared" si="162"/>
        <v>---</v>
      </c>
    </row>
    <row r="389" spans="1:16" x14ac:dyDescent="0.25">
      <c r="A389" t="str">
        <f t="shared" si="135"/>
        <v>人民币</v>
      </c>
      <c r="B389" t="str">
        <f>"东软载波"</f>
        <v>东软载波</v>
      </c>
      <c r="C389" t="str">
        <f>"20171225"</f>
        <v>20171225</v>
      </c>
      <c r="D389" t="str">
        <f>"19.560"</f>
        <v>19.560</v>
      </c>
      <c r="E389" t="str">
        <f>"100.00"</f>
        <v>100.00</v>
      </c>
      <c r="F389" t="str">
        <f>"-1961.00"</f>
        <v>-1961.00</v>
      </c>
      <c r="G389" t="str">
        <f>"46.33"</f>
        <v>46.33</v>
      </c>
      <c r="H389" t="str">
        <f>"700.00"</f>
        <v>700.00</v>
      </c>
      <c r="I389" t="str">
        <f>"3"</f>
        <v>3</v>
      </c>
      <c r="J389" t="str">
        <f>"证券买入(东软载波)"</f>
        <v>证券买入(东软载波)</v>
      </c>
      <c r="K389" t="str">
        <f>"5.00"</f>
        <v>5.00</v>
      </c>
      <c r="L389" t="str">
        <f>"0.00"</f>
        <v>0.00</v>
      </c>
      <c r="M389" t="str">
        <f>"0.00"</f>
        <v>0.00</v>
      </c>
      <c r="N389" t="str">
        <f>"0.00"</f>
        <v>0.00</v>
      </c>
      <c r="O389" t="str">
        <f>"300183"</f>
        <v>300183</v>
      </c>
      <c r="P389" t="str">
        <f>"0153613480"</f>
        <v>0153613480</v>
      </c>
    </row>
  </sheetData>
  <autoFilter ref="A1:P1"/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8"/>
  <sheetViews>
    <sheetView workbookViewId="0">
      <selection activeCell="K347" sqref="K347"/>
    </sheetView>
  </sheetViews>
  <sheetFormatPr defaultRowHeight="13.8" x14ac:dyDescent="0.25"/>
  <cols>
    <col min="10" max="10" width="21.1093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9" x14ac:dyDescent="0.25">
      <c r="A2" t="str">
        <f t="shared" ref="A2:A65" si="0">"人民币"</f>
        <v>人民币</v>
      </c>
      <c r="B2" t="str">
        <f>" "</f>
        <v xml:space="preserve"> </v>
      </c>
      <c r="C2" t="str">
        <f>"20180110"</f>
        <v>20180110</v>
      </c>
      <c r="D2" t="str">
        <f>"---"</f>
        <v>---</v>
      </c>
      <c r="E2" t="str">
        <f>"---"</f>
        <v>---</v>
      </c>
      <c r="F2" t="str">
        <f>"4200.00"</f>
        <v>4200.00</v>
      </c>
      <c r="G2" t="str">
        <f>"4246.33"</f>
        <v>4246.33</v>
      </c>
      <c r="H2" t="str">
        <f>"---"</f>
        <v>---</v>
      </c>
      <c r="I2" t="str">
        <f>"---"</f>
        <v>---</v>
      </c>
      <c r="J2" t="str">
        <f>"银行转存"</f>
        <v>银行转存</v>
      </c>
      <c r="K2" t="str">
        <f t="shared" ref="K2:P2" si="1">"---"</f>
        <v>---</v>
      </c>
      <c r="L2" t="str">
        <f t="shared" si="1"/>
        <v>---</v>
      </c>
      <c r="M2" t="str">
        <f t="shared" si="1"/>
        <v>---</v>
      </c>
      <c r="N2" t="str">
        <f t="shared" si="1"/>
        <v>---</v>
      </c>
      <c r="O2" t="str">
        <f t="shared" si="1"/>
        <v>---</v>
      </c>
      <c r="P2" t="str">
        <f t="shared" si="1"/>
        <v>---</v>
      </c>
    </row>
    <row r="3" spans="1:19" x14ac:dyDescent="0.25">
      <c r="A3" t="str">
        <f t="shared" si="0"/>
        <v>人民币</v>
      </c>
      <c r="B3" t="str">
        <f>"海康威视"</f>
        <v>海康威视</v>
      </c>
      <c r="C3" t="str">
        <f>"20180110"</f>
        <v>20180110</v>
      </c>
      <c r="D3" t="str">
        <f>"41.220"</f>
        <v>41.220</v>
      </c>
      <c r="E3" t="str">
        <f>"100.00"</f>
        <v>100.00</v>
      </c>
      <c r="F3" t="str">
        <f>"-4127.00"</f>
        <v>-4127.00</v>
      </c>
      <c r="G3" t="str">
        <f>"119.33"</f>
        <v>119.33</v>
      </c>
      <c r="H3" t="str">
        <f>"100.00"</f>
        <v>100.00</v>
      </c>
      <c r="I3" t="str">
        <f>"8"</f>
        <v>8</v>
      </c>
      <c r="J3" t="str">
        <f>"证券买入(海康威视)"</f>
        <v>证券买入(海康威视)</v>
      </c>
      <c r="K3" t="str">
        <f>"5.00"</f>
        <v>5.00</v>
      </c>
      <c r="L3" t="str">
        <f>"0.00"</f>
        <v>0.00</v>
      </c>
      <c r="M3" t="str">
        <f>"0.00"</f>
        <v>0.00</v>
      </c>
      <c r="N3" t="str">
        <f>"0.00"</f>
        <v>0.00</v>
      </c>
      <c r="O3" t="str">
        <f>"002415"</f>
        <v>002415</v>
      </c>
      <c r="P3" t="str">
        <f>"0153613480"</f>
        <v>0153613480</v>
      </c>
    </row>
    <row r="4" spans="1:19" x14ac:dyDescent="0.25">
      <c r="A4" t="str">
        <f t="shared" si="0"/>
        <v>人民币</v>
      </c>
      <c r="B4" t="str">
        <f>" "</f>
        <v xml:space="preserve"> </v>
      </c>
      <c r="C4" t="str">
        <f t="shared" ref="C4:C11" si="2">"20180116"</f>
        <v>20180116</v>
      </c>
      <c r="D4" t="str">
        <f>"---"</f>
        <v>---</v>
      </c>
      <c r="E4" t="str">
        <f>"---"</f>
        <v>---</v>
      </c>
      <c r="F4" t="str">
        <f>"9900.00"</f>
        <v>9900.00</v>
      </c>
      <c r="G4" t="str">
        <f>"10019.33"</f>
        <v>10019.33</v>
      </c>
      <c r="H4" t="str">
        <f>"---"</f>
        <v>---</v>
      </c>
      <c r="I4" t="str">
        <f>"---"</f>
        <v>---</v>
      </c>
      <c r="J4" t="str">
        <f>"银行转存"</f>
        <v>银行转存</v>
      </c>
      <c r="K4" t="str">
        <f t="shared" ref="K4:P5" si="3">"---"</f>
        <v>---</v>
      </c>
      <c r="L4" t="str">
        <f t="shared" si="3"/>
        <v>---</v>
      </c>
      <c r="M4" t="str">
        <f t="shared" si="3"/>
        <v>---</v>
      </c>
      <c r="N4" t="str">
        <f t="shared" si="3"/>
        <v>---</v>
      </c>
      <c r="O4" t="str">
        <f t="shared" si="3"/>
        <v>---</v>
      </c>
      <c r="P4" t="str">
        <f t="shared" si="3"/>
        <v>---</v>
      </c>
    </row>
    <row r="5" spans="1:19" x14ac:dyDescent="0.25">
      <c r="A5" t="str">
        <f t="shared" si="0"/>
        <v>人民币</v>
      </c>
      <c r="B5" t="str">
        <f>" "</f>
        <v xml:space="preserve"> </v>
      </c>
      <c r="C5" t="str">
        <f t="shared" si="2"/>
        <v>20180116</v>
      </c>
      <c r="D5" t="str">
        <f>"---"</f>
        <v>---</v>
      </c>
      <c r="E5" t="str">
        <f>"---"</f>
        <v>---</v>
      </c>
      <c r="F5" t="str">
        <f>"100.00"</f>
        <v>100.00</v>
      </c>
      <c r="G5" t="str">
        <f>"10119.33"</f>
        <v>10119.33</v>
      </c>
      <c r="H5" t="str">
        <f>"---"</f>
        <v>---</v>
      </c>
      <c r="I5" t="str">
        <f>"---"</f>
        <v>---</v>
      </c>
      <c r="J5" t="str">
        <f>"银行转存"</f>
        <v>银行转存</v>
      </c>
      <c r="K5" t="str">
        <f t="shared" si="3"/>
        <v>---</v>
      </c>
      <c r="L5" t="str">
        <f t="shared" si="3"/>
        <v>---</v>
      </c>
      <c r="M5" t="str">
        <f t="shared" si="3"/>
        <v>---</v>
      </c>
      <c r="N5" t="str">
        <f t="shared" si="3"/>
        <v>---</v>
      </c>
      <c r="O5" t="str">
        <f t="shared" si="3"/>
        <v>---</v>
      </c>
      <c r="P5" t="str">
        <f t="shared" si="3"/>
        <v>---</v>
      </c>
    </row>
    <row r="6" spans="1:19" x14ac:dyDescent="0.25">
      <c r="A6" t="str">
        <f t="shared" si="0"/>
        <v>人民币</v>
      </c>
      <c r="B6" t="str">
        <f>"海康威视"</f>
        <v>海康威视</v>
      </c>
      <c r="C6" t="str">
        <f t="shared" si="2"/>
        <v>20180116</v>
      </c>
      <c r="D6" t="str">
        <f>"43.150"</f>
        <v>43.150</v>
      </c>
      <c r="E6" t="str">
        <f>"100.00"</f>
        <v>100.00</v>
      </c>
      <c r="F6" t="str">
        <f>"-4320.00"</f>
        <v>-4320.00</v>
      </c>
      <c r="G6" t="str">
        <f>"5799.33"</f>
        <v>5799.33</v>
      </c>
      <c r="H6" t="str">
        <f>"200.00"</f>
        <v>200.00</v>
      </c>
      <c r="I6" t="str">
        <f>"22"</f>
        <v>22</v>
      </c>
      <c r="J6" t="str">
        <f>"证券买入(海康威视)"</f>
        <v>证券买入(海康威视)</v>
      </c>
      <c r="K6" t="str">
        <f>"5.00"</f>
        <v>5.00</v>
      </c>
      <c r="L6" t="str">
        <f>"0.00"</f>
        <v>0.00</v>
      </c>
      <c r="M6" t="str">
        <f>"0.00"</f>
        <v>0.00</v>
      </c>
      <c r="N6" t="str">
        <f>"0.00"</f>
        <v>0.00</v>
      </c>
      <c r="O6" t="str">
        <f>"002415"</f>
        <v>002415</v>
      </c>
      <c r="P6" t="str">
        <f t="shared" ref="P6:P13" si="4">"0153613480"</f>
        <v>0153613480</v>
      </c>
    </row>
    <row r="7" spans="1:19" x14ac:dyDescent="0.25">
      <c r="A7" t="str">
        <f t="shared" si="0"/>
        <v>人民币</v>
      </c>
      <c r="B7" t="str">
        <f>"东软载波"</f>
        <v>东软载波</v>
      </c>
      <c r="C7" t="str">
        <f t="shared" si="2"/>
        <v>20180116</v>
      </c>
      <c r="D7" t="str">
        <f>"18.390"</f>
        <v>18.390</v>
      </c>
      <c r="E7" t="str">
        <f>"-300.00"</f>
        <v>-300.00</v>
      </c>
      <c r="F7" t="str">
        <f>"5506.48"</f>
        <v>5506.48</v>
      </c>
      <c r="G7" t="str">
        <f>"11305.81"</f>
        <v>11305.81</v>
      </c>
      <c r="H7" t="str">
        <f>"400.00"</f>
        <v>400.00</v>
      </c>
      <c r="I7" t="str">
        <f>"25"</f>
        <v>25</v>
      </c>
      <c r="J7" t="str">
        <f>"证券卖出(东软载波)"</f>
        <v>证券卖出(东软载波)</v>
      </c>
      <c r="K7" t="str">
        <f>"5.00"</f>
        <v>5.00</v>
      </c>
      <c r="L7" t="str">
        <f>"5.52"</f>
        <v>5.52</v>
      </c>
      <c r="M7" t="str">
        <f t="shared" ref="M7:N13" si="5">"0.00"</f>
        <v>0.00</v>
      </c>
      <c r="N7" t="str">
        <f t="shared" si="5"/>
        <v>0.00</v>
      </c>
      <c r="O7" t="str">
        <f>"300183"</f>
        <v>300183</v>
      </c>
      <c r="P7" t="str">
        <f t="shared" si="4"/>
        <v>0153613480</v>
      </c>
    </row>
    <row r="8" spans="1:19" x14ac:dyDescent="0.25">
      <c r="A8" t="str">
        <f t="shared" si="0"/>
        <v>人民币</v>
      </c>
      <c r="B8" t="str">
        <f>"海康威视"</f>
        <v>海康威视</v>
      </c>
      <c r="C8" t="str">
        <f t="shared" si="2"/>
        <v>20180116</v>
      </c>
      <c r="D8" t="str">
        <f>"43.170"</f>
        <v>43.170</v>
      </c>
      <c r="E8" t="str">
        <f>"100.00"</f>
        <v>100.00</v>
      </c>
      <c r="F8" t="str">
        <f>"-4322.00"</f>
        <v>-4322.00</v>
      </c>
      <c r="G8" t="str">
        <f>"6983.81"</f>
        <v>6983.81</v>
      </c>
      <c r="H8" t="str">
        <f>"300.00"</f>
        <v>300.00</v>
      </c>
      <c r="I8" t="str">
        <f>"28"</f>
        <v>28</v>
      </c>
      <c r="J8" t="str">
        <f>"证券买入(海康威视)"</f>
        <v>证券买入(海康威视)</v>
      </c>
      <c r="K8" t="str">
        <f>"5.00"</f>
        <v>5.00</v>
      </c>
      <c r="L8" t="str">
        <f>"0.00"</f>
        <v>0.00</v>
      </c>
      <c r="M8" t="str">
        <f t="shared" si="5"/>
        <v>0.00</v>
      </c>
      <c r="N8" t="str">
        <f t="shared" si="5"/>
        <v>0.00</v>
      </c>
      <c r="O8" t="str">
        <f>"002415"</f>
        <v>002415</v>
      </c>
      <c r="P8" t="str">
        <f t="shared" si="4"/>
        <v>0153613480</v>
      </c>
    </row>
    <row r="9" spans="1:19" x14ac:dyDescent="0.25">
      <c r="A9" t="str">
        <f t="shared" si="0"/>
        <v>人民币</v>
      </c>
      <c r="B9" t="str">
        <f>"东软载波"</f>
        <v>东软载波</v>
      </c>
      <c r="C9" t="str">
        <f t="shared" si="2"/>
        <v>20180116</v>
      </c>
      <c r="D9" t="str">
        <f>"18.400"</f>
        <v>18.400</v>
      </c>
      <c r="E9" t="str">
        <f>"-400.00"</f>
        <v>-400.00</v>
      </c>
      <c r="F9" t="str">
        <f>"7347.64"</f>
        <v>7347.64</v>
      </c>
      <c r="G9" t="str">
        <f>"14331.45"</f>
        <v>14331.45</v>
      </c>
      <c r="H9" t="str">
        <f>"0.00"</f>
        <v>0.00</v>
      </c>
      <c r="I9" t="str">
        <f>"32"</f>
        <v>32</v>
      </c>
      <c r="J9" t="str">
        <f>"证券卖出(东软载波)"</f>
        <v>证券卖出(东软载波)</v>
      </c>
      <c r="K9" t="str">
        <f>"5.00"</f>
        <v>5.00</v>
      </c>
      <c r="L9" t="str">
        <f>"7.36"</f>
        <v>7.36</v>
      </c>
      <c r="M9" t="str">
        <f t="shared" si="5"/>
        <v>0.00</v>
      </c>
      <c r="N9" t="str">
        <f t="shared" si="5"/>
        <v>0.00</v>
      </c>
      <c r="O9" t="str">
        <f>"300183"</f>
        <v>300183</v>
      </c>
      <c r="P9" t="str">
        <f t="shared" si="4"/>
        <v>0153613480</v>
      </c>
    </row>
    <row r="10" spans="1:19" x14ac:dyDescent="0.25">
      <c r="A10" t="str">
        <f t="shared" si="0"/>
        <v>人民币</v>
      </c>
      <c r="B10" t="str">
        <f>"海康威视"</f>
        <v>海康威视</v>
      </c>
      <c r="C10" t="str">
        <f t="shared" si="2"/>
        <v>20180116</v>
      </c>
      <c r="D10" t="str">
        <f>"42.570"</f>
        <v>42.570</v>
      </c>
      <c r="E10" t="str">
        <f>"100.00"</f>
        <v>100.00</v>
      </c>
      <c r="F10" t="str">
        <f>"-4262.00"</f>
        <v>-4262.00</v>
      </c>
      <c r="G10" t="str">
        <f>"10069.45"</f>
        <v>10069.45</v>
      </c>
      <c r="H10" t="str">
        <f>"400.00"</f>
        <v>400.00</v>
      </c>
      <c r="I10" t="str">
        <f>"38"</f>
        <v>38</v>
      </c>
      <c r="J10" t="str">
        <f>"证券买入(海康威视)"</f>
        <v>证券买入(海康威视)</v>
      </c>
      <c r="K10" t="str">
        <f>"5.00"</f>
        <v>5.00</v>
      </c>
      <c r="L10" t="str">
        <f>"0.00"</f>
        <v>0.00</v>
      </c>
      <c r="M10" t="str">
        <f t="shared" si="5"/>
        <v>0.00</v>
      </c>
      <c r="N10" t="str">
        <f t="shared" si="5"/>
        <v>0.00</v>
      </c>
      <c r="O10" t="str">
        <f>"002415"</f>
        <v>002415</v>
      </c>
      <c r="P10" t="str">
        <f t="shared" si="4"/>
        <v>0153613480</v>
      </c>
      <c r="S10" t="s">
        <v>16</v>
      </c>
    </row>
    <row r="11" spans="1:19" x14ac:dyDescent="0.25">
      <c r="A11" t="str">
        <f t="shared" si="0"/>
        <v>人民币</v>
      </c>
      <c r="B11" t="str">
        <f>"科顺股份"</f>
        <v>科顺股份</v>
      </c>
      <c r="C11" t="str">
        <f t="shared" si="2"/>
        <v>20180116</v>
      </c>
      <c r="D11" t="str">
        <f>"0.000"</f>
        <v>0.000</v>
      </c>
      <c r="E11" t="str">
        <f>"2.00"</f>
        <v>2.00</v>
      </c>
      <c r="F11" t="str">
        <f>"0.00"</f>
        <v>0.00</v>
      </c>
      <c r="G11" t="str">
        <f>"10069.45"</f>
        <v>10069.45</v>
      </c>
      <c r="H11" t="str">
        <f>"0.00"</f>
        <v>0.00</v>
      </c>
      <c r="I11" t="str">
        <f>"13"</f>
        <v>13</v>
      </c>
      <c r="J11" t="str">
        <f>"申购配号(科顺股份)"</f>
        <v>申购配号(科顺股份)</v>
      </c>
      <c r="K11" t="str">
        <f>"0.00"</f>
        <v>0.00</v>
      </c>
      <c r="L11" t="str">
        <f>"0.00"</f>
        <v>0.00</v>
      </c>
      <c r="M11" t="str">
        <f t="shared" si="5"/>
        <v>0.00</v>
      </c>
      <c r="N11" t="str">
        <f t="shared" si="5"/>
        <v>0.00</v>
      </c>
      <c r="O11" t="str">
        <f>"300737"</f>
        <v>300737</v>
      </c>
      <c r="P11" t="str">
        <f t="shared" si="4"/>
        <v>0153613480</v>
      </c>
    </row>
    <row r="12" spans="1:19" x14ac:dyDescent="0.25">
      <c r="A12" t="str">
        <f t="shared" si="0"/>
        <v>人民币</v>
      </c>
      <c r="B12" t="str">
        <f>"海康威视"</f>
        <v>海康威视</v>
      </c>
      <c r="C12" t="str">
        <f>"20180117"</f>
        <v>20180117</v>
      </c>
      <c r="D12" t="str">
        <f>"41.380"</f>
        <v>41.380</v>
      </c>
      <c r="E12" t="str">
        <f>"100.00"</f>
        <v>100.00</v>
      </c>
      <c r="F12" t="str">
        <f>"-4143.00"</f>
        <v>-4143.00</v>
      </c>
      <c r="G12" t="str">
        <f>"5926.45"</f>
        <v>5926.45</v>
      </c>
      <c r="H12" t="str">
        <f>"500.00"</f>
        <v>500.00</v>
      </c>
      <c r="I12" t="str">
        <f>"47"</f>
        <v>47</v>
      </c>
      <c r="J12" t="str">
        <f>"证券买入(海康威视)"</f>
        <v>证券买入(海康威视)</v>
      </c>
      <c r="K12" t="str">
        <f>"5.00"</f>
        <v>5.00</v>
      </c>
      <c r="L12" t="str">
        <f>"0.00"</f>
        <v>0.00</v>
      </c>
      <c r="M12" t="str">
        <f t="shared" si="5"/>
        <v>0.00</v>
      </c>
      <c r="N12" t="str">
        <f t="shared" si="5"/>
        <v>0.00</v>
      </c>
      <c r="O12" t="str">
        <f>"002415"</f>
        <v>002415</v>
      </c>
      <c r="P12" t="str">
        <f t="shared" si="4"/>
        <v>0153613480</v>
      </c>
    </row>
    <row r="13" spans="1:19" x14ac:dyDescent="0.25">
      <c r="A13" t="str">
        <f t="shared" si="0"/>
        <v>人民币</v>
      </c>
      <c r="B13" t="str">
        <f>"海康威视"</f>
        <v>海康威视</v>
      </c>
      <c r="C13" t="str">
        <f>"20180117"</f>
        <v>20180117</v>
      </c>
      <c r="D13" t="str">
        <f>"41.200"</f>
        <v>41.200</v>
      </c>
      <c r="E13" t="str">
        <f>"100.00"</f>
        <v>100.00</v>
      </c>
      <c r="F13" t="str">
        <f>"-4125.00"</f>
        <v>-4125.00</v>
      </c>
      <c r="G13" t="str">
        <f>"1801.45"</f>
        <v>1801.45</v>
      </c>
      <c r="H13" t="str">
        <f>"600.00"</f>
        <v>600.00</v>
      </c>
      <c r="I13" t="str">
        <f>"51"</f>
        <v>51</v>
      </c>
      <c r="J13" t="str">
        <f>"证券买入(海康威视)"</f>
        <v>证券买入(海康威视)</v>
      </c>
      <c r="K13" t="str">
        <f>"5.00"</f>
        <v>5.00</v>
      </c>
      <c r="L13" t="str">
        <f>"0.00"</f>
        <v>0.00</v>
      </c>
      <c r="M13" t="str">
        <f t="shared" si="5"/>
        <v>0.00</v>
      </c>
      <c r="N13" t="str">
        <f t="shared" si="5"/>
        <v>0.00</v>
      </c>
      <c r="O13" t="str">
        <f>"002415"</f>
        <v>002415</v>
      </c>
      <c r="P13" t="str">
        <f t="shared" si="4"/>
        <v>0153613480</v>
      </c>
    </row>
    <row r="14" spans="1:19" x14ac:dyDescent="0.25">
      <c r="A14" t="str">
        <f t="shared" si="0"/>
        <v>人民币</v>
      </c>
      <c r="B14" t="str">
        <f>" "</f>
        <v xml:space="preserve"> </v>
      </c>
      <c r="C14" t="str">
        <f>"20180118"</f>
        <v>20180118</v>
      </c>
      <c r="D14" t="str">
        <f>"---"</f>
        <v>---</v>
      </c>
      <c r="E14" t="str">
        <f>"---"</f>
        <v>---</v>
      </c>
      <c r="F14" t="str">
        <f>"-1529.00"</f>
        <v>-1529.00</v>
      </c>
      <c r="G14" t="str">
        <f>"272.45"</f>
        <v>272.45</v>
      </c>
      <c r="H14" t="str">
        <f>"---"</f>
        <v>---</v>
      </c>
      <c r="I14" t="str">
        <f>"---"</f>
        <v>---</v>
      </c>
      <c r="J14" t="str">
        <f>"银行转取"</f>
        <v>银行转取</v>
      </c>
      <c r="K14" t="str">
        <f t="shared" ref="K14:P14" si="6">"---"</f>
        <v>---</v>
      </c>
      <c r="L14" t="str">
        <f t="shared" si="6"/>
        <v>---</v>
      </c>
      <c r="M14" t="str">
        <f t="shared" si="6"/>
        <v>---</v>
      </c>
      <c r="N14" t="str">
        <f t="shared" si="6"/>
        <v>---</v>
      </c>
      <c r="O14" t="str">
        <f t="shared" si="6"/>
        <v>---</v>
      </c>
      <c r="P14" t="str">
        <f t="shared" si="6"/>
        <v>---</v>
      </c>
    </row>
    <row r="15" spans="1:19" x14ac:dyDescent="0.25">
      <c r="A15" t="str">
        <f t="shared" si="0"/>
        <v>人民币</v>
      </c>
      <c r="B15" t="str">
        <f>"明阳电路"</f>
        <v>明阳电路</v>
      </c>
      <c r="C15" t="str">
        <f>"20180123"</f>
        <v>20180123</v>
      </c>
      <c r="D15" t="str">
        <f>"0.000"</f>
        <v>0.000</v>
      </c>
      <c r="E15" t="str">
        <f>"3.00"</f>
        <v>3.00</v>
      </c>
      <c r="F15" t="str">
        <f>"0.00"</f>
        <v>0.00</v>
      </c>
      <c r="G15" t="str">
        <f>"272.45"</f>
        <v>272.45</v>
      </c>
      <c r="H15" t="str">
        <f>"0.00"</f>
        <v>0.00</v>
      </c>
      <c r="I15" t="str">
        <f>"57"</f>
        <v>57</v>
      </c>
      <c r="J15" t="str">
        <f>"申购配号(明阳电路)"</f>
        <v>申购配号(明阳电路)</v>
      </c>
      <c r="K15" t="str">
        <f>"0.00"</f>
        <v>0.00</v>
      </c>
      <c r="L15" t="str">
        <f>"0.00"</f>
        <v>0.00</v>
      </c>
      <c r="M15" t="str">
        <f>"0.00"</f>
        <v>0.00</v>
      </c>
      <c r="N15" t="str">
        <f>"0.00"</f>
        <v>0.00</v>
      </c>
      <c r="O15" t="str">
        <f>"300739"</f>
        <v>300739</v>
      </c>
      <c r="P15" t="str">
        <f>"0153613480"</f>
        <v>0153613480</v>
      </c>
    </row>
    <row r="16" spans="1:19" x14ac:dyDescent="0.25">
      <c r="A16" t="str">
        <f t="shared" si="0"/>
        <v>人民币</v>
      </c>
      <c r="B16" t="str">
        <f>" "</f>
        <v xml:space="preserve"> </v>
      </c>
      <c r="C16" t="str">
        <f>"20180131"</f>
        <v>20180131</v>
      </c>
      <c r="D16" t="str">
        <f>"---"</f>
        <v>---</v>
      </c>
      <c r="E16" t="str">
        <f>"---"</f>
        <v>---</v>
      </c>
      <c r="F16" t="str">
        <f>"20000.00"</f>
        <v>20000.00</v>
      </c>
      <c r="G16" t="str">
        <f>"20272.45"</f>
        <v>20272.45</v>
      </c>
      <c r="H16" t="str">
        <f>"---"</f>
        <v>---</v>
      </c>
      <c r="I16" t="str">
        <f>"---"</f>
        <v>---</v>
      </c>
      <c r="J16" t="str">
        <f>"银行转存"</f>
        <v>银行转存</v>
      </c>
      <c r="K16" t="str">
        <f t="shared" ref="K16:P16" si="7">"---"</f>
        <v>---</v>
      </c>
      <c r="L16" t="str">
        <f t="shared" si="7"/>
        <v>---</v>
      </c>
      <c r="M16" t="str">
        <f t="shared" si="7"/>
        <v>---</v>
      </c>
      <c r="N16" t="str">
        <f t="shared" si="7"/>
        <v>---</v>
      </c>
      <c r="O16" t="str">
        <f t="shared" si="7"/>
        <v>---</v>
      </c>
      <c r="P16" t="str">
        <f t="shared" si="7"/>
        <v>---</v>
      </c>
    </row>
    <row r="17" spans="1:16" x14ac:dyDescent="0.25">
      <c r="A17" t="str">
        <f t="shared" si="0"/>
        <v>人民币</v>
      </c>
      <c r="B17" t="str">
        <f>"海康威视"</f>
        <v>海康威视</v>
      </c>
      <c r="C17" t="str">
        <f>"20180131"</f>
        <v>20180131</v>
      </c>
      <c r="D17" t="str">
        <f>"39.940"</f>
        <v>39.940</v>
      </c>
      <c r="E17" t="str">
        <f>"100.00"</f>
        <v>100.00</v>
      </c>
      <c r="F17" t="str">
        <f>"-3999.00"</f>
        <v>-3999.00</v>
      </c>
      <c r="G17" t="str">
        <f>"16273.45"</f>
        <v>16273.45</v>
      </c>
      <c r="H17" t="str">
        <f>"700.00"</f>
        <v>700.00</v>
      </c>
      <c r="I17" t="str">
        <f>"64"</f>
        <v>64</v>
      </c>
      <c r="J17" t="str">
        <f>"证券买入(海康威视)"</f>
        <v>证券买入(海康威视)</v>
      </c>
      <c r="K17" t="str">
        <f t="shared" ref="K17:K24" si="8">"5.00"</f>
        <v>5.00</v>
      </c>
      <c r="L17" t="str">
        <f t="shared" ref="L17:N24" si="9">"0.00"</f>
        <v>0.00</v>
      </c>
      <c r="M17" t="str">
        <f t="shared" si="9"/>
        <v>0.00</v>
      </c>
      <c r="N17" t="str">
        <f t="shared" si="9"/>
        <v>0.00</v>
      </c>
      <c r="O17" t="str">
        <f>"002415"</f>
        <v>002415</v>
      </c>
      <c r="P17" t="str">
        <f>"0153613480"</f>
        <v>0153613480</v>
      </c>
    </row>
    <row r="18" spans="1:16" x14ac:dyDescent="0.25">
      <c r="A18" t="str">
        <f t="shared" si="0"/>
        <v>人民币</v>
      </c>
      <c r="B18" t="str">
        <f>"苏泊尔"</f>
        <v>苏泊尔</v>
      </c>
      <c r="C18" t="str">
        <f>"20180131"</f>
        <v>20180131</v>
      </c>
      <c r="D18" t="str">
        <f>"43.130"</f>
        <v>43.130</v>
      </c>
      <c r="E18" t="str">
        <f>"100.00"</f>
        <v>100.00</v>
      </c>
      <c r="F18" t="str">
        <f>"-4318.00"</f>
        <v>-4318.00</v>
      </c>
      <c r="G18" t="str">
        <f>"11955.45"</f>
        <v>11955.45</v>
      </c>
      <c r="H18" t="str">
        <f>"100.00"</f>
        <v>100.00</v>
      </c>
      <c r="I18" t="str">
        <f>"61"</f>
        <v>61</v>
      </c>
      <c r="J18" t="str">
        <f>"证券买入(苏泊尔)"</f>
        <v>证券买入(苏泊尔)</v>
      </c>
      <c r="K18" t="str">
        <f t="shared" si="8"/>
        <v>5.00</v>
      </c>
      <c r="L18" t="str">
        <f t="shared" si="9"/>
        <v>0.00</v>
      </c>
      <c r="M18" t="str">
        <f t="shared" si="9"/>
        <v>0.00</v>
      </c>
      <c r="N18" t="str">
        <f t="shared" si="9"/>
        <v>0.00</v>
      </c>
      <c r="O18" t="str">
        <f>"002032"</f>
        <v>002032</v>
      </c>
      <c r="P18" t="str">
        <f>"0153613480"</f>
        <v>0153613480</v>
      </c>
    </row>
    <row r="19" spans="1:16" x14ac:dyDescent="0.25">
      <c r="A19" t="str">
        <f t="shared" si="0"/>
        <v>人民币</v>
      </c>
      <c r="B19" t="str">
        <f>"贵州燃气"</f>
        <v>贵州燃气</v>
      </c>
      <c r="C19" t="str">
        <f>"20180201"</f>
        <v>20180201</v>
      </c>
      <c r="D19" t="str">
        <f>"24.200"</f>
        <v>24.200</v>
      </c>
      <c r="E19" t="str">
        <f>"200.00"</f>
        <v>200.00</v>
      </c>
      <c r="F19" t="str">
        <f>"-4845.10"</f>
        <v>-4845.10</v>
      </c>
      <c r="G19" t="str">
        <f>"7110.35"</f>
        <v>7110.35</v>
      </c>
      <c r="H19" t="str">
        <f>"200.00"</f>
        <v>200.00</v>
      </c>
      <c r="I19" t="str">
        <f>"7"</f>
        <v>7</v>
      </c>
      <c r="J19" t="str">
        <f>"证券买入(贵州燃气)"</f>
        <v>证券买入(贵州燃气)</v>
      </c>
      <c r="K19" t="str">
        <f t="shared" si="8"/>
        <v>5.00</v>
      </c>
      <c r="L19" t="str">
        <f>"0.00"</f>
        <v>0.00</v>
      </c>
      <c r="M19" t="str">
        <f>"0.10"</f>
        <v>0.10</v>
      </c>
      <c r="N19" t="str">
        <f t="shared" si="9"/>
        <v>0.00</v>
      </c>
      <c r="O19" t="str">
        <f>"600903"</f>
        <v>600903</v>
      </c>
      <c r="P19" t="str">
        <f>"A400948245"</f>
        <v>A400948245</v>
      </c>
    </row>
    <row r="20" spans="1:16" x14ac:dyDescent="0.25">
      <c r="A20" t="str">
        <f t="shared" si="0"/>
        <v>人民币</v>
      </c>
      <c r="B20" t="str">
        <f>"苏泊尔"</f>
        <v>苏泊尔</v>
      </c>
      <c r="C20" t="str">
        <f>"20180201"</f>
        <v>20180201</v>
      </c>
      <c r="D20" t="str">
        <f>"44.300"</f>
        <v>44.300</v>
      </c>
      <c r="E20" t="str">
        <f>"-100.00"</f>
        <v>-100.00</v>
      </c>
      <c r="F20" t="str">
        <f>"4420.57"</f>
        <v>4420.57</v>
      </c>
      <c r="G20" t="str">
        <f>"11530.92"</f>
        <v>11530.92</v>
      </c>
      <c r="H20" t="str">
        <f>"0.00"</f>
        <v>0.00</v>
      </c>
      <c r="I20" t="str">
        <f>"1"</f>
        <v>1</v>
      </c>
      <c r="J20" t="str">
        <f>"证券卖出(苏泊尔)"</f>
        <v>证券卖出(苏泊尔)</v>
      </c>
      <c r="K20" t="str">
        <f t="shared" si="8"/>
        <v>5.00</v>
      </c>
      <c r="L20" t="str">
        <f>"4.43"</f>
        <v>4.43</v>
      </c>
      <c r="M20" t="str">
        <f>"0.00"</f>
        <v>0.00</v>
      </c>
      <c r="N20" t="str">
        <f t="shared" si="9"/>
        <v>0.00</v>
      </c>
      <c r="O20" t="str">
        <f>"002032"</f>
        <v>002032</v>
      </c>
      <c r="P20" t="str">
        <f>"0153613480"</f>
        <v>0153613480</v>
      </c>
    </row>
    <row r="21" spans="1:16" x14ac:dyDescent="0.25">
      <c r="A21" t="str">
        <f t="shared" si="0"/>
        <v>人民币</v>
      </c>
      <c r="B21" t="str">
        <f>"海康威视"</f>
        <v>海康威视</v>
      </c>
      <c r="C21" t="str">
        <f>"20180201"</f>
        <v>20180201</v>
      </c>
      <c r="D21" t="str">
        <f>"40.660"</f>
        <v>40.660</v>
      </c>
      <c r="E21" t="str">
        <f>"-100.00"</f>
        <v>-100.00</v>
      </c>
      <c r="F21" t="str">
        <f>"4056.93"</f>
        <v>4056.93</v>
      </c>
      <c r="G21" t="str">
        <f>"15587.85"</f>
        <v>15587.85</v>
      </c>
      <c r="H21" t="str">
        <f>"600.00"</f>
        <v>600.00</v>
      </c>
      <c r="I21" t="str">
        <f>"4"</f>
        <v>4</v>
      </c>
      <c r="J21" t="str">
        <f>"证券卖出(海康威视)"</f>
        <v>证券卖出(海康威视)</v>
      </c>
      <c r="K21" t="str">
        <f t="shared" si="8"/>
        <v>5.00</v>
      </c>
      <c r="L21" t="str">
        <f>"4.07"</f>
        <v>4.07</v>
      </c>
      <c r="M21" t="str">
        <f>"0.00"</f>
        <v>0.00</v>
      </c>
      <c r="N21" t="str">
        <f t="shared" si="9"/>
        <v>0.00</v>
      </c>
      <c r="O21" t="str">
        <f>"002415"</f>
        <v>002415</v>
      </c>
      <c r="P21" t="str">
        <f>"0153613480"</f>
        <v>0153613480</v>
      </c>
    </row>
    <row r="22" spans="1:16" x14ac:dyDescent="0.25">
      <c r="A22" t="str">
        <f t="shared" si="0"/>
        <v>人民币</v>
      </c>
      <c r="B22" t="str">
        <f>"海康威视"</f>
        <v>海康威视</v>
      </c>
      <c r="C22" t="str">
        <f>"20180201"</f>
        <v>20180201</v>
      </c>
      <c r="D22" t="str">
        <f>"39.450"</f>
        <v>39.450</v>
      </c>
      <c r="E22" t="str">
        <f>"100.00"</f>
        <v>100.00</v>
      </c>
      <c r="F22" t="str">
        <f>"-3950.00"</f>
        <v>-3950.00</v>
      </c>
      <c r="G22" t="str">
        <f>"11637.85"</f>
        <v>11637.85</v>
      </c>
      <c r="H22" t="str">
        <f>"700.00"</f>
        <v>700.00</v>
      </c>
      <c r="I22" t="str">
        <f>"11"</f>
        <v>11</v>
      </c>
      <c r="J22" t="str">
        <f>"证券买入(海康威视)"</f>
        <v>证券买入(海康威视)</v>
      </c>
      <c r="K22" t="str">
        <f t="shared" si="8"/>
        <v>5.00</v>
      </c>
      <c r="L22" t="str">
        <f>"0.00"</f>
        <v>0.00</v>
      </c>
      <c r="M22" t="str">
        <f>"0.00"</f>
        <v>0.00</v>
      </c>
      <c r="N22" t="str">
        <f t="shared" si="9"/>
        <v>0.00</v>
      </c>
      <c r="O22" t="str">
        <f>"002415"</f>
        <v>002415</v>
      </c>
      <c r="P22" t="str">
        <f>"0153613480"</f>
        <v>0153613480</v>
      </c>
    </row>
    <row r="23" spans="1:16" x14ac:dyDescent="0.25">
      <c r="A23" t="str">
        <f t="shared" si="0"/>
        <v>人民币</v>
      </c>
      <c r="B23" t="str">
        <f>"贵州燃气"</f>
        <v>贵州燃气</v>
      </c>
      <c r="C23" t="str">
        <f>"20180202"</f>
        <v>20180202</v>
      </c>
      <c r="D23" t="str">
        <f>"25.780"</f>
        <v>25.780</v>
      </c>
      <c r="E23" t="str">
        <f>"-200.00"</f>
        <v>-200.00</v>
      </c>
      <c r="F23" t="str">
        <f>"5145.74"</f>
        <v>5145.74</v>
      </c>
      <c r="G23" t="str">
        <f>"16783.59"</f>
        <v>16783.59</v>
      </c>
      <c r="H23" t="str">
        <f>"0.00"</f>
        <v>0.00</v>
      </c>
      <c r="I23" t="str">
        <f>"21"</f>
        <v>21</v>
      </c>
      <c r="J23" t="str">
        <f>"证券卖出(贵州燃气)"</f>
        <v>证券卖出(贵州燃气)</v>
      </c>
      <c r="K23" t="str">
        <f t="shared" si="8"/>
        <v>5.00</v>
      </c>
      <c r="L23" t="str">
        <f>"5.16"</f>
        <v>5.16</v>
      </c>
      <c r="M23" t="str">
        <f>"0.10"</f>
        <v>0.10</v>
      </c>
      <c r="N23" t="str">
        <f t="shared" si="9"/>
        <v>0.00</v>
      </c>
      <c r="O23" t="str">
        <f>"600903"</f>
        <v>600903</v>
      </c>
      <c r="P23" t="str">
        <f>"A400948245"</f>
        <v>A400948245</v>
      </c>
    </row>
    <row r="24" spans="1:16" x14ac:dyDescent="0.25">
      <c r="A24" t="str">
        <f t="shared" si="0"/>
        <v>人民币</v>
      </c>
      <c r="B24" t="str">
        <f>"海康威视"</f>
        <v>海康威视</v>
      </c>
      <c r="C24" t="str">
        <f>"20180202"</f>
        <v>20180202</v>
      </c>
      <c r="D24" t="str">
        <f>"40.100"</f>
        <v>40.100</v>
      </c>
      <c r="E24" t="str">
        <f>"100.00"</f>
        <v>100.00</v>
      </c>
      <c r="F24" t="str">
        <f>"-4015.00"</f>
        <v>-4015.00</v>
      </c>
      <c r="G24" t="str">
        <f>"12768.59"</f>
        <v>12768.59</v>
      </c>
      <c r="H24" t="str">
        <f>"800.00"</f>
        <v>800.00</v>
      </c>
      <c r="I24" t="str">
        <f>"24"</f>
        <v>24</v>
      </c>
      <c r="J24" t="str">
        <f>"证券买入(海康威视)"</f>
        <v>证券买入(海康威视)</v>
      </c>
      <c r="K24" t="str">
        <f t="shared" si="8"/>
        <v>5.00</v>
      </c>
      <c r="L24" t="str">
        <f>"0.00"</f>
        <v>0.00</v>
      </c>
      <c r="M24" t="str">
        <f>"0.00"</f>
        <v>0.00</v>
      </c>
      <c r="N24" t="str">
        <f t="shared" si="9"/>
        <v>0.00</v>
      </c>
      <c r="O24" t="str">
        <f>"002415"</f>
        <v>002415</v>
      </c>
      <c r="P24" t="str">
        <f>"0153613480"</f>
        <v>0153613480</v>
      </c>
    </row>
    <row r="25" spans="1:16" x14ac:dyDescent="0.25">
      <c r="A25" t="str">
        <f t="shared" si="0"/>
        <v>人民币</v>
      </c>
      <c r="B25" t="str">
        <f>" "</f>
        <v xml:space="preserve"> </v>
      </c>
      <c r="C25" t="str">
        <f>"20180206"</f>
        <v>20180206</v>
      </c>
      <c r="D25" t="str">
        <f>"---"</f>
        <v>---</v>
      </c>
      <c r="E25" t="str">
        <f>"---"</f>
        <v>---</v>
      </c>
      <c r="F25" t="str">
        <f>"-8500.00"</f>
        <v>-8500.00</v>
      </c>
      <c r="G25" t="str">
        <f>"4268.59"</f>
        <v>4268.59</v>
      </c>
      <c r="H25" t="str">
        <f>"---"</f>
        <v>---</v>
      </c>
      <c r="I25" t="str">
        <f>"---"</f>
        <v>---</v>
      </c>
      <c r="J25" t="str">
        <f>"银行转取"</f>
        <v>银行转取</v>
      </c>
      <c r="K25" t="str">
        <f t="shared" ref="K25:P25" si="10">"---"</f>
        <v>---</v>
      </c>
      <c r="L25" t="str">
        <f t="shared" si="10"/>
        <v>---</v>
      </c>
      <c r="M25" t="str">
        <f t="shared" si="10"/>
        <v>---</v>
      </c>
      <c r="N25" t="str">
        <f t="shared" si="10"/>
        <v>---</v>
      </c>
      <c r="O25" t="str">
        <f t="shared" si="10"/>
        <v>---</v>
      </c>
      <c r="P25" t="str">
        <f t="shared" si="10"/>
        <v>---</v>
      </c>
    </row>
    <row r="26" spans="1:16" x14ac:dyDescent="0.25">
      <c r="A26" t="str">
        <f t="shared" si="0"/>
        <v>人民币</v>
      </c>
      <c r="B26" t="str">
        <f>"海康威视"</f>
        <v>海康威视</v>
      </c>
      <c r="C26" t="str">
        <f>"20180206"</f>
        <v>20180206</v>
      </c>
      <c r="D26" t="str">
        <f>"37.780"</f>
        <v>37.780</v>
      </c>
      <c r="E26" t="str">
        <f>"100.00"</f>
        <v>100.00</v>
      </c>
      <c r="F26" t="str">
        <f>"-3783.00"</f>
        <v>-3783.00</v>
      </c>
      <c r="G26" t="str">
        <f>"485.59"</f>
        <v>485.59</v>
      </c>
      <c r="H26" t="str">
        <f>"900.00"</f>
        <v>900.00</v>
      </c>
      <c r="I26" t="str">
        <f>"29"</f>
        <v>29</v>
      </c>
      <c r="J26" t="str">
        <f>"证券买入(海康威视)"</f>
        <v>证券买入(海康威视)</v>
      </c>
      <c r="K26" t="str">
        <f>"5.00"</f>
        <v>5.00</v>
      </c>
      <c r="L26" t="str">
        <f>"0.00"</f>
        <v>0.00</v>
      </c>
      <c r="M26" t="str">
        <f>"0.00"</f>
        <v>0.00</v>
      </c>
      <c r="N26" t="str">
        <f>"0.00"</f>
        <v>0.00</v>
      </c>
      <c r="O26" t="str">
        <f>"002415"</f>
        <v>002415</v>
      </c>
      <c r="P26" t="str">
        <f>"0153613480"</f>
        <v>0153613480</v>
      </c>
    </row>
    <row r="27" spans="1:16" x14ac:dyDescent="0.25">
      <c r="A27" t="str">
        <f t="shared" si="0"/>
        <v>人民币</v>
      </c>
      <c r="B27" t="str">
        <f>"海康威视"</f>
        <v>海康威视</v>
      </c>
      <c r="C27" t="str">
        <f>"20180213"</f>
        <v>20180213</v>
      </c>
      <c r="D27" t="str">
        <f>"39.320"</f>
        <v>39.320</v>
      </c>
      <c r="E27" t="str">
        <f>"-100.00"</f>
        <v>-100.00</v>
      </c>
      <c r="F27" t="str">
        <f>"3923.07"</f>
        <v>3923.07</v>
      </c>
      <c r="G27" t="str">
        <f>"4408.66"</f>
        <v>4408.66</v>
      </c>
      <c r="H27" t="str">
        <f>"800.00"</f>
        <v>800.00</v>
      </c>
      <c r="I27" t="str">
        <f>"42"</f>
        <v>42</v>
      </c>
      <c r="J27" t="str">
        <f>"证券卖出(海康威视)"</f>
        <v>证券卖出(海康威视)</v>
      </c>
      <c r="K27" t="str">
        <f>"5.00"</f>
        <v>5.00</v>
      </c>
      <c r="L27" t="str">
        <f>"3.93"</f>
        <v>3.93</v>
      </c>
      <c r="M27" t="str">
        <f t="shared" ref="M27:N29" si="11">"0.00"</f>
        <v>0.00</v>
      </c>
      <c r="N27" t="str">
        <f t="shared" si="11"/>
        <v>0.00</v>
      </c>
      <c r="O27" t="str">
        <f>"002415"</f>
        <v>002415</v>
      </c>
      <c r="P27" t="str">
        <f>"0153613480"</f>
        <v>0153613480</v>
      </c>
    </row>
    <row r="28" spans="1:16" x14ac:dyDescent="0.25">
      <c r="A28" t="str">
        <f t="shared" si="0"/>
        <v>人民币</v>
      </c>
      <c r="B28" t="str">
        <f>"华宝股份"</f>
        <v>华宝股份</v>
      </c>
      <c r="C28" t="str">
        <f>"20180213"</f>
        <v>20180213</v>
      </c>
      <c r="D28" t="str">
        <f>"0.000"</f>
        <v>0.000</v>
      </c>
      <c r="E28" t="str">
        <f>"5.00"</f>
        <v>5.00</v>
      </c>
      <c r="F28" t="str">
        <f>"0.00"</f>
        <v>0.00</v>
      </c>
      <c r="G28" t="str">
        <f>"4408.66"</f>
        <v>4408.66</v>
      </c>
      <c r="H28" t="str">
        <f>"0.00"</f>
        <v>0.00</v>
      </c>
      <c r="I28" t="str">
        <f>"36"</f>
        <v>36</v>
      </c>
      <c r="J28" t="str">
        <f>"申购配号(华宝股份)"</f>
        <v>申购配号(华宝股份)</v>
      </c>
      <c r="K28" t="str">
        <f>"0.00"</f>
        <v>0.00</v>
      </c>
      <c r="L28" t="str">
        <f>"0.00"</f>
        <v>0.00</v>
      </c>
      <c r="M28" t="str">
        <f t="shared" si="11"/>
        <v>0.00</v>
      </c>
      <c r="N28" t="str">
        <f t="shared" si="11"/>
        <v>0.00</v>
      </c>
      <c r="O28" t="str">
        <f>"300741"</f>
        <v>300741</v>
      </c>
      <c r="P28" t="str">
        <f>"0153613480"</f>
        <v>0153613480</v>
      </c>
    </row>
    <row r="29" spans="1:16" x14ac:dyDescent="0.25">
      <c r="A29" t="str">
        <f t="shared" si="0"/>
        <v>人民币</v>
      </c>
      <c r="B29" t="str">
        <f>"润建通信"</f>
        <v>润建通信</v>
      </c>
      <c r="C29" t="str">
        <f>"20180213"</f>
        <v>20180213</v>
      </c>
      <c r="D29" t="str">
        <f>"0.000"</f>
        <v>0.000</v>
      </c>
      <c r="E29" t="str">
        <f>"5.00"</f>
        <v>5.00</v>
      </c>
      <c r="F29" t="str">
        <f>"0.00"</f>
        <v>0.00</v>
      </c>
      <c r="G29" t="str">
        <f>"4408.66"</f>
        <v>4408.66</v>
      </c>
      <c r="H29" t="str">
        <f>"0.00"</f>
        <v>0.00</v>
      </c>
      <c r="I29" t="str">
        <f>"34"</f>
        <v>34</v>
      </c>
      <c r="J29" t="str">
        <f>"申购配号(润建通信)"</f>
        <v>申购配号(润建通信)</v>
      </c>
      <c r="K29" t="str">
        <f>"0.00"</f>
        <v>0.00</v>
      </c>
      <c r="L29" t="str">
        <f>"0.00"</f>
        <v>0.00</v>
      </c>
      <c r="M29" t="str">
        <f t="shared" si="11"/>
        <v>0.00</v>
      </c>
      <c r="N29" t="str">
        <f t="shared" si="11"/>
        <v>0.00</v>
      </c>
      <c r="O29" t="str">
        <f>"002929"</f>
        <v>002929</v>
      </c>
      <c r="P29" t="str">
        <f>"0153613480"</f>
        <v>0153613480</v>
      </c>
    </row>
    <row r="30" spans="1:16" x14ac:dyDescent="0.25">
      <c r="A30" t="str">
        <f t="shared" si="0"/>
        <v>人民币</v>
      </c>
      <c r="B30" t="str">
        <f>" "</f>
        <v xml:space="preserve"> </v>
      </c>
      <c r="C30" t="str">
        <f>"20180214"</f>
        <v>20180214</v>
      </c>
      <c r="D30" t="str">
        <f>"---"</f>
        <v>---</v>
      </c>
      <c r="E30" t="str">
        <f>"---"</f>
        <v>---</v>
      </c>
      <c r="F30" t="str">
        <f>"-4400.00"</f>
        <v>-4400.00</v>
      </c>
      <c r="G30" t="str">
        <f>"8.66"</f>
        <v>8.66</v>
      </c>
      <c r="H30" t="str">
        <f>"---"</f>
        <v>---</v>
      </c>
      <c r="I30" t="str">
        <f>"---"</f>
        <v>---</v>
      </c>
      <c r="J30" t="str">
        <f>"银行转取"</f>
        <v>银行转取</v>
      </c>
      <c r="K30" t="str">
        <f t="shared" ref="K30:P30" si="12">"---"</f>
        <v>---</v>
      </c>
      <c r="L30" t="str">
        <f t="shared" si="12"/>
        <v>---</v>
      </c>
      <c r="M30" t="str">
        <f t="shared" si="12"/>
        <v>---</v>
      </c>
      <c r="N30" t="str">
        <f t="shared" si="12"/>
        <v>---</v>
      </c>
      <c r="O30" t="str">
        <f t="shared" si="12"/>
        <v>---</v>
      </c>
      <c r="P30" t="str">
        <f t="shared" si="12"/>
        <v>---</v>
      </c>
    </row>
    <row r="31" spans="1:16" x14ac:dyDescent="0.25">
      <c r="A31" t="str">
        <f t="shared" si="0"/>
        <v>人民币</v>
      </c>
      <c r="B31" t="str">
        <f>"海康威视"</f>
        <v>海康威视</v>
      </c>
      <c r="C31" t="str">
        <f>"20180226"</f>
        <v>20180226</v>
      </c>
      <c r="D31" t="str">
        <f>"42.290"</f>
        <v>42.290</v>
      </c>
      <c r="E31" t="str">
        <f>"-300.00"</f>
        <v>-300.00</v>
      </c>
      <c r="F31" t="str">
        <f>"12669.31"</f>
        <v>12669.31</v>
      </c>
      <c r="G31" t="str">
        <f>"12677.97"</f>
        <v>12677.97</v>
      </c>
      <c r="H31" t="str">
        <f>"500.00"</f>
        <v>500.00</v>
      </c>
      <c r="I31" t="str">
        <f>"49"</f>
        <v>49</v>
      </c>
      <c r="J31" t="str">
        <f>"证券卖出(海康威视)"</f>
        <v>证券卖出(海康威视)</v>
      </c>
      <c r="K31" t="str">
        <f>"5.00"</f>
        <v>5.00</v>
      </c>
      <c r="L31" t="str">
        <f>"12.69"</f>
        <v>12.69</v>
      </c>
      <c r="M31" t="str">
        <f t="shared" ref="M31:N34" si="13">"0.00"</f>
        <v>0.00</v>
      </c>
      <c r="N31" t="str">
        <f t="shared" si="13"/>
        <v>0.00</v>
      </c>
      <c r="O31" t="str">
        <f>"002415"</f>
        <v>002415</v>
      </c>
      <c r="P31" t="str">
        <f>"0153613480"</f>
        <v>0153613480</v>
      </c>
    </row>
    <row r="32" spans="1:16" x14ac:dyDescent="0.25">
      <c r="A32" t="str">
        <f t="shared" si="0"/>
        <v>人民币</v>
      </c>
      <c r="B32" t="str">
        <f>"海康威视"</f>
        <v>海康威视</v>
      </c>
      <c r="C32" t="str">
        <f>"20180226"</f>
        <v>20180226</v>
      </c>
      <c r="D32" t="str">
        <f>"42.500"</f>
        <v>42.500</v>
      </c>
      <c r="E32" t="str">
        <f>"-300.00"</f>
        <v>-300.00</v>
      </c>
      <c r="F32" t="str">
        <f>"12732.25"</f>
        <v>12732.25</v>
      </c>
      <c r="G32" t="str">
        <f>"25410.22"</f>
        <v>25410.22</v>
      </c>
      <c r="H32" t="str">
        <f>"200.00"</f>
        <v>200.00</v>
      </c>
      <c r="I32" t="str">
        <f>"52"</f>
        <v>52</v>
      </c>
      <c r="J32" t="str">
        <f>"证券卖出(海康威视)"</f>
        <v>证券卖出(海康威视)</v>
      </c>
      <c r="K32" t="str">
        <f>"5.00"</f>
        <v>5.00</v>
      </c>
      <c r="L32" t="str">
        <f>"12.75"</f>
        <v>12.75</v>
      </c>
      <c r="M32" t="str">
        <f t="shared" si="13"/>
        <v>0.00</v>
      </c>
      <c r="N32" t="str">
        <f t="shared" si="13"/>
        <v>0.00</v>
      </c>
      <c r="O32" t="str">
        <f>"002415"</f>
        <v>002415</v>
      </c>
      <c r="P32" t="str">
        <f>"0153613480"</f>
        <v>0153613480</v>
      </c>
    </row>
    <row r="33" spans="1:16" x14ac:dyDescent="0.25">
      <c r="A33" t="str">
        <f t="shared" si="0"/>
        <v>人民币</v>
      </c>
      <c r="B33" t="str">
        <f>"海康威视"</f>
        <v>海康威视</v>
      </c>
      <c r="C33" t="str">
        <f>"20180226"</f>
        <v>20180226</v>
      </c>
      <c r="D33" t="str">
        <f>"42.500"</f>
        <v>42.500</v>
      </c>
      <c r="E33" t="str">
        <f>"-200.00"</f>
        <v>-200.00</v>
      </c>
      <c r="F33" t="str">
        <f>"8486.50"</f>
        <v>8486.50</v>
      </c>
      <c r="G33" t="str">
        <f>"33896.72"</f>
        <v>33896.72</v>
      </c>
      <c r="H33" t="str">
        <f>"0.00"</f>
        <v>0.00</v>
      </c>
      <c r="I33" t="str">
        <f>"55"</f>
        <v>55</v>
      </c>
      <c r="J33" t="str">
        <f>"证券卖出(海康威视)"</f>
        <v>证券卖出(海康威视)</v>
      </c>
      <c r="K33" t="str">
        <f>"5.00"</f>
        <v>5.00</v>
      </c>
      <c r="L33" t="str">
        <f>"8.50"</f>
        <v>8.50</v>
      </c>
      <c r="M33" t="str">
        <f t="shared" si="13"/>
        <v>0.00</v>
      </c>
      <c r="N33" t="str">
        <f t="shared" si="13"/>
        <v>0.00</v>
      </c>
      <c r="O33" t="str">
        <f>"002415"</f>
        <v>002415</v>
      </c>
      <c r="P33" t="str">
        <f>"0153613480"</f>
        <v>0153613480</v>
      </c>
    </row>
    <row r="34" spans="1:16" x14ac:dyDescent="0.25">
      <c r="A34" t="str">
        <f t="shared" si="0"/>
        <v>人民币</v>
      </c>
      <c r="B34" t="str">
        <f>"招商蛇口"</f>
        <v>招商蛇口</v>
      </c>
      <c r="C34" t="str">
        <f>"20180226"</f>
        <v>20180226</v>
      </c>
      <c r="D34" t="str">
        <f>"22.720"</f>
        <v>22.720</v>
      </c>
      <c r="E34" t="str">
        <f>"400.00"</f>
        <v>400.00</v>
      </c>
      <c r="F34" t="str">
        <f>"-9093.00"</f>
        <v>-9093.00</v>
      </c>
      <c r="G34" t="str">
        <f>"24803.72"</f>
        <v>24803.72</v>
      </c>
      <c r="H34" t="str">
        <f>"400.00"</f>
        <v>400.00</v>
      </c>
      <c r="I34" t="str">
        <f>"58"</f>
        <v>58</v>
      </c>
      <c r="J34" t="str">
        <f>"证券买入(招商蛇口)"</f>
        <v>证券买入(招商蛇口)</v>
      </c>
      <c r="K34" t="str">
        <f>"5.00"</f>
        <v>5.00</v>
      </c>
      <c r="L34" t="str">
        <f>"0.00"</f>
        <v>0.00</v>
      </c>
      <c r="M34" t="str">
        <f t="shared" si="13"/>
        <v>0.00</v>
      </c>
      <c r="N34" t="str">
        <f t="shared" si="13"/>
        <v>0.00</v>
      </c>
      <c r="O34" t="str">
        <f>"001979"</f>
        <v>001979</v>
      </c>
      <c r="P34" t="str">
        <f>"0153613480"</f>
        <v>0153613480</v>
      </c>
    </row>
    <row r="35" spans="1:16" x14ac:dyDescent="0.25">
      <c r="A35" t="str">
        <f t="shared" si="0"/>
        <v>人民币</v>
      </c>
      <c r="B35" t="str">
        <f>" "</f>
        <v xml:space="preserve"> </v>
      </c>
      <c r="C35" t="str">
        <f t="shared" ref="C35:C40" si="14">"20180227"</f>
        <v>20180227</v>
      </c>
      <c r="D35" t="str">
        <f t="shared" ref="D35:E37" si="15">"---"</f>
        <v>---</v>
      </c>
      <c r="E35" t="str">
        <f t="shared" si="15"/>
        <v>---</v>
      </c>
      <c r="F35" t="str">
        <f>"-10000.00"</f>
        <v>-10000.00</v>
      </c>
      <c r="G35" t="str">
        <f>"14803.72"</f>
        <v>14803.72</v>
      </c>
      <c r="H35" t="str">
        <f t="shared" ref="H35:I37" si="16">"---"</f>
        <v>---</v>
      </c>
      <c r="I35" t="str">
        <f t="shared" si="16"/>
        <v>---</v>
      </c>
      <c r="J35" t="str">
        <f>"银行转取"</f>
        <v>银行转取</v>
      </c>
      <c r="K35" t="str">
        <f t="shared" ref="K35:P37" si="17">"---"</f>
        <v>---</v>
      </c>
      <c r="L35" t="str">
        <f t="shared" si="17"/>
        <v>---</v>
      </c>
      <c r="M35" t="str">
        <f t="shared" si="17"/>
        <v>---</v>
      </c>
      <c r="N35" t="str">
        <f t="shared" si="17"/>
        <v>---</v>
      </c>
      <c r="O35" t="str">
        <f t="shared" si="17"/>
        <v>---</v>
      </c>
      <c r="P35" t="str">
        <f t="shared" si="17"/>
        <v>---</v>
      </c>
    </row>
    <row r="36" spans="1:16" x14ac:dyDescent="0.25">
      <c r="A36" t="str">
        <f t="shared" si="0"/>
        <v>人民币</v>
      </c>
      <c r="B36" t="str">
        <f>" "</f>
        <v xml:space="preserve"> </v>
      </c>
      <c r="C36" t="str">
        <f t="shared" si="14"/>
        <v>20180227</v>
      </c>
      <c r="D36" t="str">
        <f t="shared" si="15"/>
        <v>---</v>
      </c>
      <c r="E36" t="str">
        <f t="shared" si="15"/>
        <v>---</v>
      </c>
      <c r="F36" t="str">
        <f>"7900.00"</f>
        <v>7900.00</v>
      </c>
      <c r="G36" t="str">
        <f>"22703.72"</f>
        <v>22703.72</v>
      </c>
      <c r="H36" t="str">
        <f t="shared" si="16"/>
        <v>---</v>
      </c>
      <c r="I36" t="str">
        <f t="shared" si="16"/>
        <v>---</v>
      </c>
      <c r="J36" t="str">
        <f>"银行转存"</f>
        <v>银行转存</v>
      </c>
      <c r="K36" t="str">
        <f t="shared" si="17"/>
        <v>---</v>
      </c>
      <c r="L36" t="str">
        <f t="shared" si="17"/>
        <v>---</v>
      </c>
      <c r="M36" t="str">
        <f t="shared" si="17"/>
        <v>---</v>
      </c>
      <c r="N36" t="str">
        <f t="shared" si="17"/>
        <v>---</v>
      </c>
      <c r="O36" t="str">
        <f t="shared" si="17"/>
        <v>---</v>
      </c>
      <c r="P36" t="str">
        <f t="shared" si="17"/>
        <v>---</v>
      </c>
    </row>
    <row r="37" spans="1:16" x14ac:dyDescent="0.25">
      <c r="A37" t="str">
        <f t="shared" si="0"/>
        <v>人民币</v>
      </c>
      <c r="B37" t="str">
        <f>" "</f>
        <v xml:space="preserve"> </v>
      </c>
      <c r="C37" t="str">
        <f t="shared" si="14"/>
        <v>20180227</v>
      </c>
      <c r="D37" t="str">
        <f t="shared" si="15"/>
        <v>---</v>
      </c>
      <c r="E37" t="str">
        <f t="shared" si="15"/>
        <v>---</v>
      </c>
      <c r="F37" t="str">
        <f>"-5000.00"</f>
        <v>-5000.00</v>
      </c>
      <c r="G37" t="str">
        <f>"17703.72"</f>
        <v>17703.72</v>
      </c>
      <c r="H37" t="str">
        <f t="shared" si="16"/>
        <v>---</v>
      </c>
      <c r="I37" t="str">
        <f t="shared" si="16"/>
        <v>---</v>
      </c>
      <c r="J37" t="str">
        <f>"银行转取"</f>
        <v>银行转取</v>
      </c>
      <c r="K37" t="str">
        <f t="shared" si="17"/>
        <v>---</v>
      </c>
      <c r="L37" t="str">
        <f t="shared" si="17"/>
        <v>---</v>
      </c>
      <c r="M37" t="str">
        <f t="shared" si="17"/>
        <v>---</v>
      </c>
      <c r="N37" t="str">
        <f t="shared" si="17"/>
        <v>---</v>
      </c>
      <c r="O37" t="str">
        <f t="shared" si="17"/>
        <v>---</v>
      </c>
      <c r="P37" t="str">
        <f t="shared" si="17"/>
        <v>---</v>
      </c>
    </row>
    <row r="38" spans="1:16" x14ac:dyDescent="0.25">
      <c r="A38" t="str">
        <f t="shared" si="0"/>
        <v>人民币</v>
      </c>
      <c r="B38" t="str">
        <f>"光迅科技"</f>
        <v>光迅科技</v>
      </c>
      <c r="C38" t="str">
        <f t="shared" si="14"/>
        <v>20180227</v>
      </c>
      <c r="D38" t="str">
        <f>"26.220"</f>
        <v>26.220</v>
      </c>
      <c r="E38" t="str">
        <f>"300.00"</f>
        <v>300.00</v>
      </c>
      <c r="F38" t="str">
        <f>"-7871.00"</f>
        <v>-7871.00</v>
      </c>
      <c r="G38" t="str">
        <f>"9832.72"</f>
        <v>9832.72</v>
      </c>
      <c r="H38" t="str">
        <f>"300.00"</f>
        <v>300.00</v>
      </c>
      <c r="I38" t="str">
        <f>"65"</f>
        <v>65</v>
      </c>
      <c r="J38" t="str">
        <f>"证券买入(光迅科技)"</f>
        <v>证券买入(光迅科技)</v>
      </c>
      <c r="K38" t="str">
        <f>"5.00"</f>
        <v>5.00</v>
      </c>
      <c r="L38" t="str">
        <f t="shared" ref="L38:N40" si="18">"0.00"</f>
        <v>0.00</v>
      </c>
      <c r="M38" t="str">
        <f t="shared" si="18"/>
        <v>0.00</v>
      </c>
      <c r="N38" t="str">
        <f t="shared" si="18"/>
        <v>0.00</v>
      </c>
      <c r="O38" t="str">
        <f>"002281"</f>
        <v>002281</v>
      </c>
      <c r="P38" t="str">
        <f>"0153613480"</f>
        <v>0153613480</v>
      </c>
    </row>
    <row r="39" spans="1:16" x14ac:dyDescent="0.25">
      <c r="A39" t="str">
        <f t="shared" si="0"/>
        <v>人民币</v>
      </c>
      <c r="B39" t="str">
        <f>"招商蛇口"</f>
        <v>招商蛇口</v>
      </c>
      <c r="C39" t="str">
        <f t="shared" si="14"/>
        <v>20180227</v>
      </c>
      <c r="D39" t="str">
        <f>"22.200"</f>
        <v>22.200</v>
      </c>
      <c r="E39" t="str">
        <f>"300.00"</f>
        <v>300.00</v>
      </c>
      <c r="F39" t="str">
        <f>"-6665.00"</f>
        <v>-6665.00</v>
      </c>
      <c r="G39" t="str">
        <f>"3167.72"</f>
        <v>3167.72</v>
      </c>
      <c r="H39" t="str">
        <f>"700.00"</f>
        <v>700.00</v>
      </c>
      <c r="I39" t="str">
        <f>"68"</f>
        <v>68</v>
      </c>
      <c r="J39" t="str">
        <f>"证券买入(招商蛇口)"</f>
        <v>证券买入(招商蛇口)</v>
      </c>
      <c r="K39" t="str">
        <f>"5.00"</f>
        <v>5.00</v>
      </c>
      <c r="L39" t="str">
        <f t="shared" si="18"/>
        <v>0.00</v>
      </c>
      <c r="M39" t="str">
        <f t="shared" si="18"/>
        <v>0.00</v>
      </c>
      <c r="N39" t="str">
        <f t="shared" si="18"/>
        <v>0.00</v>
      </c>
      <c r="O39" t="str">
        <f>"001979"</f>
        <v>001979</v>
      </c>
      <c r="P39" t="str">
        <f>"0153613480"</f>
        <v>0153613480</v>
      </c>
    </row>
    <row r="40" spans="1:16" x14ac:dyDescent="0.25">
      <c r="A40" t="str">
        <f t="shared" si="0"/>
        <v>人民币</v>
      </c>
      <c r="B40" t="str">
        <f>"招商蛇口"</f>
        <v>招商蛇口</v>
      </c>
      <c r="C40" t="str">
        <f t="shared" si="14"/>
        <v>20180227</v>
      </c>
      <c r="D40" t="str">
        <f>"21.860"</f>
        <v>21.860</v>
      </c>
      <c r="E40" t="str">
        <f>"100.00"</f>
        <v>100.00</v>
      </c>
      <c r="F40" t="str">
        <f>"-2191.00"</f>
        <v>-2191.00</v>
      </c>
      <c r="G40" t="str">
        <f>"976.72"</f>
        <v>976.72</v>
      </c>
      <c r="H40" t="str">
        <f>"800.00"</f>
        <v>800.00</v>
      </c>
      <c r="I40" t="str">
        <f>"74"</f>
        <v>74</v>
      </c>
      <c r="J40" t="str">
        <f>"证券买入(招商蛇口)"</f>
        <v>证券买入(招商蛇口)</v>
      </c>
      <c r="K40" t="str">
        <f>"5.00"</f>
        <v>5.00</v>
      </c>
      <c r="L40" t="str">
        <f t="shared" si="18"/>
        <v>0.00</v>
      </c>
      <c r="M40" t="str">
        <f t="shared" si="18"/>
        <v>0.00</v>
      </c>
      <c r="N40" t="str">
        <f t="shared" si="18"/>
        <v>0.00</v>
      </c>
      <c r="O40" t="str">
        <f>"001979"</f>
        <v>001979</v>
      </c>
      <c r="P40" t="str">
        <f>"0153613480"</f>
        <v>0153613480</v>
      </c>
    </row>
    <row r="41" spans="1:16" x14ac:dyDescent="0.25">
      <c r="A41" t="str">
        <f t="shared" si="0"/>
        <v>人民币</v>
      </c>
      <c r="B41" t="str">
        <f>" "</f>
        <v xml:space="preserve"> </v>
      </c>
      <c r="C41" t="str">
        <f>"20180301"</f>
        <v>20180301</v>
      </c>
      <c r="D41" t="str">
        <f>"---"</f>
        <v>---</v>
      </c>
      <c r="E41" t="str">
        <f>"---"</f>
        <v>---</v>
      </c>
      <c r="F41" t="str">
        <f>"-900.00"</f>
        <v>-900.00</v>
      </c>
      <c r="G41" t="str">
        <f>"76.72"</f>
        <v>76.72</v>
      </c>
      <c r="H41" t="str">
        <f>"---"</f>
        <v>---</v>
      </c>
      <c r="I41" t="str">
        <f>"---"</f>
        <v>---</v>
      </c>
      <c r="J41" t="str">
        <f>"银行转取"</f>
        <v>银行转取</v>
      </c>
      <c r="K41" t="str">
        <f t="shared" ref="K41:P41" si="19">"---"</f>
        <v>---</v>
      </c>
      <c r="L41" t="str">
        <f t="shared" si="19"/>
        <v>---</v>
      </c>
      <c r="M41" t="str">
        <f t="shared" si="19"/>
        <v>---</v>
      </c>
      <c r="N41" t="str">
        <f t="shared" si="19"/>
        <v>---</v>
      </c>
      <c r="O41" t="str">
        <f t="shared" si="19"/>
        <v>---</v>
      </c>
      <c r="P41" t="str">
        <f t="shared" si="19"/>
        <v>---</v>
      </c>
    </row>
    <row r="42" spans="1:16" x14ac:dyDescent="0.25">
      <c r="A42" t="str">
        <f t="shared" si="0"/>
        <v>人民币</v>
      </c>
      <c r="B42" t="str">
        <f>"光迅科技"</f>
        <v>光迅科技</v>
      </c>
      <c r="C42" t="str">
        <f>"20180306"</f>
        <v>20180306</v>
      </c>
      <c r="D42" t="str">
        <f>"27.210"</f>
        <v>27.210</v>
      </c>
      <c r="E42" t="str">
        <f>"-100.00"</f>
        <v>-100.00</v>
      </c>
      <c r="F42" t="str">
        <f>"2713.28"</f>
        <v>2713.28</v>
      </c>
      <c r="G42" t="str">
        <f>"2790.00"</f>
        <v>2790.00</v>
      </c>
      <c r="H42" t="str">
        <f>"200.00"</f>
        <v>200.00</v>
      </c>
      <c r="I42" t="str">
        <f>"82"</f>
        <v>82</v>
      </c>
      <c r="J42" t="str">
        <f>"证券卖出(光迅科技)"</f>
        <v>证券卖出(光迅科技)</v>
      </c>
      <c r="K42" t="str">
        <f t="shared" ref="K42:K53" si="20">"5.00"</f>
        <v>5.00</v>
      </c>
      <c r="L42" t="str">
        <f>"2.72"</f>
        <v>2.72</v>
      </c>
      <c r="M42" t="str">
        <f t="shared" ref="M42:N52" si="21">"0.00"</f>
        <v>0.00</v>
      </c>
      <c r="N42" t="str">
        <f t="shared" si="21"/>
        <v>0.00</v>
      </c>
      <c r="O42" t="str">
        <f>"002281"</f>
        <v>002281</v>
      </c>
      <c r="P42" t="str">
        <f t="shared" ref="P42:P52" si="22">"0153613480"</f>
        <v>0153613480</v>
      </c>
    </row>
    <row r="43" spans="1:16" x14ac:dyDescent="0.25">
      <c r="A43" t="str">
        <f t="shared" si="0"/>
        <v>人民币</v>
      </c>
      <c r="B43" t="str">
        <f>"光迅科技"</f>
        <v>光迅科技</v>
      </c>
      <c r="C43" t="str">
        <f>"20180306"</f>
        <v>20180306</v>
      </c>
      <c r="D43" t="str">
        <f>"27.420"</f>
        <v>27.420</v>
      </c>
      <c r="E43" t="str">
        <f>"-100.00"</f>
        <v>-100.00</v>
      </c>
      <c r="F43" t="str">
        <f>"2734.26"</f>
        <v>2734.26</v>
      </c>
      <c r="G43" t="str">
        <f>"5524.26"</f>
        <v>5524.26</v>
      </c>
      <c r="H43" t="str">
        <f>"100.00"</f>
        <v>100.00</v>
      </c>
      <c r="I43" t="str">
        <f>"85"</f>
        <v>85</v>
      </c>
      <c r="J43" t="str">
        <f>"证券卖出(光迅科技)"</f>
        <v>证券卖出(光迅科技)</v>
      </c>
      <c r="K43" t="str">
        <f t="shared" si="20"/>
        <v>5.00</v>
      </c>
      <c r="L43" t="str">
        <f>"2.74"</f>
        <v>2.74</v>
      </c>
      <c r="M43" t="str">
        <f t="shared" si="21"/>
        <v>0.00</v>
      </c>
      <c r="N43" t="str">
        <f t="shared" si="21"/>
        <v>0.00</v>
      </c>
      <c r="O43" t="str">
        <f>"002281"</f>
        <v>002281</v>
      </c>
      <c r="P43" t="str">
        <f t="shared" si="22"/>
        <v>0153613480</v>
      </c>
    </row>
    <row r="44" spans="1:16" x14ac:dyDescent="0.25">
      <c r="A44" t="str">
        <f t="shared" si="0"/>
        <v>人民币</v>
      </c>
      <c r="B44" t="str">
        <f>"光迅科技"</f>
        <v>光迅科技</v>
      </c>
      <c r="C44" t="str">
        <f>"20180306"</f>
        <v>20180306</v>
      </c>
      <c r="D44" t="str">
        <f>"27.460"</f>
        <v>27.460</v>
      </c>
      <c r="E44" t="str">
        <f>"-100.00"</f>
        <v>-100.00</v>
      </c>
      <c r="F44" t="str">
        <f>"2738.25"</f>
        <v>2738.25</v>
      </c>
      <c r="G44" t="str">
        <f>"8262.51"</f>
        <v>8262.51</v>
      </c>
      <c r="H44" t="str">
        <f>"0.00"</f>
        <v>0.00</v>
      </c>
      <c r="I44" t="str">
        <f>"88"</f>
        <v>88</v>
      </c>
      <c r="J44" t="str">
        <f>"证券卖出(光迅科技)"</f>
        <v>证券卖出(光迅科技)</v>
      </c>
      <c r="K44" t="str">
        <f t="shared" si="20"/>
        <v>5.00</v>
      </c>
      <c r="L44" t="str">
        <f>"2.75"</f>
        <v>2.75</v>
      </c>
      <c r="M44" t="str">
        <f t="shared" si="21"/>
        <v>0.00</v>
      </c>
      <c r="N44" t="str">
        <f t="shared" si="21"/>
        <v>0.00</v>
      </c>
      <c r="O44" t="str">
        <f>"002281"</f>
        <v>002281</v>
      </c>
      <c r="P44" t="str">
        <f t="shared" si="22"/>
        <v>0153613480</v>
      </c>
    </row>
    <row r="45" spans="1:16" x14ac:dyDescent="0.25">
      <c r="A45" t="str">
        <f t="shared" si="0"/>
        <v>人民币</v>
      </c>
      <c r="B45" t="str">
        <f>"科创信息"</f>
        <v>科创信息</v>
      </c>
      <c r="C45" t="str">
        <f>"20180307"</f>
        <v>20180307</v>
      </c>
      <c r="D45" t="str">
        <f>"33.490"</f>
        <v>33.490</v>
      </c>
      <c r="E45" t="str">
        <f>"100.00"</f>
        <v>100.00</v>
      </c>
      <c r="F45" t="str">
        <f>"-3354.00"</f>
        <v>-3354.00</v>
      </c>
      <c r="G45" t="str">
        <f>"4908.51"</f>
        <v>4908.51</v>
      </c>
      <c r="H45" t="str">
        <f>"100.00"</f>
        <v>100.00</v>
      </c>
      <c r="I45" t="str">
        <f>"97"</f>
        <v>97</v>
      </c>
      <c r="J45" t="str">
        <f>"证券买入(科创信息)"</f>
        <v>证券买入(科创信息)</v>
      </c>
      <c r="K45" t="str">
        <f t="shared" si="20"/>
        <v>5.00</v>
      </c>
      <c r="L45" t="str">
        <f>"0.00"</f>
        <v>0.00</v>
      </c>
      <c r="M45" t="str">
        <f t="shared" si="21"/>
        <v>0.00</v>
      </c>
      <c r="N45" t="str">
        <f t="shared" si="21"/>
        <v>0.00</v>
      </c>
      <c r="O45" t="str">
        <f>"300730"</f>
        <v>300730</v>
      </c>
      <c r="P45" t="str">
        <f t="shared" si="22"/>
        <v>0153613480</v>
      </c>
    </row>
    <row r="46" spans="1:16" x14ac:dyDescent="0.25">
      <c r="A46" t="str">
        <f t="shared" si="0"/>
        <v>人民币</v>
      </c>
      <c r="B46" t="str">
        <f>"科创信息"</f>
        <v>科创信息</v>
      </c>
      <c r="C46" t="str">
        <f>"20180308"</f>
        <v>20180308</v>
      </c>
      <c r="D46" t="str">
        <f>"37.160"</f>
        <v>37.160</v>
      </c>
      <c r="E46" t="str">
        <f>"-100.00"</f>
        <v>-100.00</v>
      </c>
      <c r="F46" t="str">
        <f>"3707.28"</f>
        <v>3707.28</v>
      </c>
      <c r="G46" t="str">
        <f>"8615.79"</f>
        <v>8615.79</v>
      </c>
      <c r="H46" t="str">
        <f>"0.00"</f>
        <v>0.00</v>
      </c>
      <c r="I46" t="str">
        <f>"102"</f>
        <v>102</v>
      </c>
      <c r="J46" t="str">
        <f>"证券卖出(科创信息)"</f>
        <v>证券卖出(科创信息)</v>
      </c>
      <c r="K46" t="str">
        <f t="shared" si="20"/>
        <v>5.00</v>
      </c>
      <c r="L46" t="str">
        <f>"3.72"</f>
        <v>3.72</v>
      </c>
      <c r="M46" t="str">
        <f t="shared" si="21"/>
        <v>0.00</v>
      </c>
      <c r="N46" t="str">
        <f t="shared" si="21"/>
        <v>0.00</v>
      </c>
      <c r="O46" t="str">
        <f>"300730"</f>
        <v>300730</v>
      </c>
      <c r="P46" t="str">
        <f t="shared" si="22"/>
        <v>0153613480</v>
      </c>
    </row>
    <row r="47" spans="1:16" x14ac:dyDescent="0.25">
      <c r="A47" t="str">
        <f t="shared" si="0"/>
        <v>人民币</v>
      </c>
      <c r="B47" t="str">
        <f>"北京君正"</f>
        <v>北京君正</v>
      </c>
      <c r="C47" t="str">
        <f>"20180308"</f>
        <v>20180308</v>
      </c>
      <c r="D47" t="str">
        <f>"28.110"</f>
        <v>28.110</v>
      </c>
      <c r="E47" t="str">
        <f>"200.00"</f>
        <v>200.00</v>
      </c>
      <c r="F47" t="str">
        <f>"-5627.00"</f>
        <v>-5627.00</v>
      </c>
      <c r="G47" t="str">
        <f>"2988.79"</f>
        <v>2988.79</v>
      </c>
      <c r="H47" t="str">
        <f>"200.00"</f>
        <v>200.00</v>
      </c>
      <c r="I47" t="str">
        <f>"105"</f>
        <v>105</v>
      </c>
      <c r="J47" t="str">
        <f>"证券买入(北京君正)"</f>
        <v>证券买入(北京君正)</v>
      </c>
      <c r="K47" t="str">
        <f t="shared" si="20"/>
        <v>5.00</v>
      </c>
      <c r="L47" t="str">
        <f>"0.00"</f>
        <v>0.00</v>
      </c>
      <c r="M47" t="str">
        <f t="shared" si="21"/>
        <v>0.00</v>
      </c>
      <c r="N47" t="str">
        <f t="shared" si="21"/>
        <v>0.00</v>
      </c>
      <c r="O47" t="str">
        <f>"300223"</f>
        <v>300223</v>
      </c>
      <c r="P47" t="str">
        <f t="shared" si="22"/>
        <v>0153613480</v>
      </c>
    </row>
    <row r="48" spans="1:16" x14ac:dyDescent="0.25">
      <c r="A48" t="str">
        <f t="shared" si="0"/>
        <v>人民币</v>
      </c>
      <c r="B48" t="str">
        <f>"北京君正"</f>
        <v>北京君正</v>
      </c>
      <c r="C48" t="str">
        <f>"20180309"</f>
        <v>20180309</v>
      </c>
      <c r="D48" t="str">
        <f>"28.580"</f>
        <v>28.580</v>
      </c>
      <c r="E48" t="str">
        <f>"-100.00"</f>
        <v>-100.00</v>
      </c>
      <c r="F48" t="str">
        <f>"2850.14"</f>
        <v>2850.14</v>
      </c>
      <c r="G48" t="str">
        <f>"5838.93"</f>
        <v>5838.93</v>
      </c>
      <c r="H48" t="str">
        <f>"100.00"</f>
        <v>100.00</v>
      </c>
      <c r="I48" t="str">
        <f>"110"</f>
        <v>110</v>
      </c>
      <c r="J48" t="str">
        <f>"证券卖出(北京君正)"</f>
        <v>证券卖出(北京君正)</v>
      </c>
      <c r="K48" t="str">
        <f t="shared" si="20"/>
        <v>5.00</v>
      </c>
      <c r="L48" t="str">
        <f>"2.86"</f>
        <v>2.86</v>
      </c>
      <c r="M48" t="str">
        <f t="shared" si="21"/>
        <v>0.00</v>
      </c>
      <c r="N48" t="str">
        <f t="shared" si="21"/>
        <v>0.00</v>
      </c>
      <c r="O48" t="str">
        <f>"300223"</f>
        <v>300223</v>
      </c>
      <c r="P48" t="str">
        <f t="shared" si="22"/>
        <v>0153613480</v>
      </c>
    </row>
    <row r="49" spans="1:16" x14ac:dyDescent="0.25">
      <c r="A49" t="str">
        <f t="shared" si="0"/>
        <v>人民币</v>
      </c>
      <c r="B49" t="str">
        <f>"北京君正"</f>
        <v>北京君正</v>
      </c>
      <c r="C49" t="str">
        <f>"20180309"</f>
        <v>20180309</v>
      </c>
      <c r="D49" t="str">
        <f>"28.600"</f>
        <v>28.600</v>
      </c>
      <c r="E49" t="str">
        <f>"-100.00"</f>
        <v>-100.00</v>
      </c>
      <c r="F49" t="str">
        <f>"2852.14"</f>
        <v>2852.14</v>
      </c>
      <c r="G49" t="str">
        <f>"8691.07"</f>
        <v>8691.07</v>
      </c>
      <c r="H49" t="str">
        <f>"0.00"</f>
        <v>0.00</v>
      </c>
      <c r="I49" t="str">
        <f>"113"</f>
        <v>113</v>
      </c>
      <c r="J49" t="str">
        <f>"证券卖出(北京君正)"</f>
        <v>证券卖出(北京君正)</v>
      </c>
      <c r="K49" t="str">
        <f t="shared" si="20"/>
        <v>5.00</v>
      </c>
      <c r="L49" t="str">
        <f>"2.86"</f>
        <v>2.86</v>
      </c>
      <c r="M49" t="str">
        <f t="shared" si="21"/>
        <v>0.00</v>
      </c>
      <c r="N49" t="str">
        <f t="shared" si="21"/>
        <v>0.00</v>
      </c>
      <c r="O49" t="str">
        <f>"300223"</f>
        <v>300223</v>
      </c>
      <c r="P49" t="str">
        <f t="shared" si="22"/>
        <v>0153613480</v>
      </c>
    </row>
    <row r="50" spans="1:16" x14ac:dyDescent="0.25">
      <c r="A50" t="str">
        <f t="shared" si="0"/>
        <v>人民币</v>
      </c>
      <c r="B50" t="str">
        <f>"招商蛇口"</f>
        <v>招商蛇口</v>
      </c>
      <c r="C50" t="str">
        <f>"20180309"</f>
        <v>20180309</v>
      </c>
      <c r="D50" t="str">
        <f>"23.080"</f>
        <v>23.080</v>
      </c>
      <c r="E50" t="str">
        <f>"-300.00"</f>
        <v>-300.00</v>
      </c>
      <c r="F50" t="str">
        <f>"6912.08"</f>
        <v>6912.08</v>
      </c>
      <c r="G50" t="str">
        <f>"15603.15"</f>
        <v>15603.15</v>
      </c>
      <c r="H50" t="str">
        <f>"500.00"</f>
        <v>500.00</v>
      </c>
      <c r="I50" t="str">
        <f>"116"</f>
        <v>116</v>
      </c>
      <c r="J50" t="str">
        <f>"证券卖出(招商蛇口)"</f>
        <v>证券卖出(招商蛇口)</v>
      </c>
      <c r="K50" t="str">
        <f t="shared" si="20"/>
        <v>5.00</v>
      </c>
      <c r="L50" t="str">
        <f>"6.92"</f>
        <v>6.92</v>
      </c>
      <c r="M50" t="str">
        <f t="shared" si="21"/>
        <v>0.00</v>
      </c>
      <c r="N50" t="str">
        <f t="shared" si="21"/>
        <v>0.00</v>
      </c>
      <c r="O50" t="str">
        <f>"001979"</f>
        <v>001979</v>
      </c>
      <c r="P50" t="str">
        <f t="shared" si="22"/>
        <v>0153613480</v>
      </c>
    </row>
    <row r="51" spans="1:16" x14ac:dyDescent="0.25">
      <c r="A51" t="str">
        <f t="shared" si="0"/>
        <v>人民币</v>
      </c>
      <c r="B51" t="str">
        <f>"招商蛇口"</f>
        <v>招商蛇口</v>
      </c>
      <c r="C51" t="str">
        <f>"20180309"</f>
        <v>20180309</v>
      </c>
      <c r="D51" t="str">
        <f>"23.090"</f>
        <v>23.090</v>
      </c>
      <c r="E51" t="str">
        <f>"-300.00"</f>
        <v>-300.00</v>
      </c>
      <c r="F51" t="str">
        <f>"6915.07"</f>
        <v>6915.07</v>
      </c>
      <c r="G51" t="str">
        <f>"22518.22"</f>
        <v>22518.22</v>
      </c>
      <c r="H51" t="str">
        <f>"200.00"</f>
        <v>200.00</v>
      </c>
      <c r="I51" t="str">
        <f>"119"</f>
        <v>119</v>
      </c>
      <c r="J51" t="str">
        <f>"证券卖出(招商蛇口)"</f>
        <v>证券卖出(招商蛇口)</v>
      </c>
      <c r="K51" t="str">
        <f t="shared" si="20"/>
        <v>5.00</v>
      </c>
      <c r="L51" t="str">
        <f>"6.93"</f>
        <v>6.93</v>
      </c>
      <c r="M51" t="str">
        <f t="shared" si="21"/>
        <v>0.00</v>
      </c>
      <c r="N51" t="str">
        <f t="shared" si="21"/>
        <v>0.00</v>
      </c>
      <c r="O51" t="str">
        <f>"001979"</f>
        <v>001979</v>
      </c>
      <c r="P51" t="str">
        <f t="shared" si="22"/>
        <v>0153613480</v>
      </c>
    </row>
    <row r="52" spans="1:16" x14ac:dyDescent="0.25">
      <c r="A52" t="str">
        <f t="shared" si="0"/>
        <v>人民币</v>
      </c>
      <c r="B52" t="str">
        <f>"招商蛇口"</f>
        <v>招商蛇口</v>
      </c>
      <c r="C52" t="str">
        <f>"20180309"</f>
        <v>20180309</v>
      </c>
      <c r="D52" t="str">
        <f>"23.100"</f>
        <v>23.100</v>
      </c>
      <c r="E52" t="str">
        <f>"-200.00"</f>
        <v>-200.00</v>
      </c>
      <c r="F52" t="str">
        <f>"4610.38"</f>
        <v>4610.38</v>
      </c>
      <c r="G52" t="str">
        <f>"27128.60"</f>
        <v>27128.60</v>
      </c>
      <c r="H52" t="str">
        <f>"0.00"</f>
        <v>0.00</v>
      </c>
      <c r="I52" t="str">
        <f>"122"</f>
        <v>122</v>
      </c>
      <c r="J52" t="str">
        <f>"证券卖出(招商蛇口)"</f>
        <v>证券卖出(招商蛇口)</v>
      </c>
      <c r="K52" t="str">
        <f t="shared" si="20"/>
        <v>5.00</v>
      </c>
      <c r="L52" t="str">
        <f>"4.62"</f>
        <v>4.62</v>
      </c>
      <c r="M52" t="str">
        <f t="shared" si="21"/>
        <v>0.00</v>
      </c>
      <c r="N52" t="str">
        <f t="shared" si="21"/>
        <v>0.00</v>
      </c>
      <c r="O52" t="str">
        <f>"001979"</f>
        <v>001979</v>
      </c>
      <c r="P52" t="str">
        <f t="shared" si="22"/>
        <v>0153613480</v>
      </c>
    </row>
    <row r="53" spans="1:16" x14ac:dyDescent="0.25">
      <c r="A53" t="str">
        <f t="shared" si="0"/>
        <v>人民币</v>
      </c>
      <c r="B53" t="str">
        <f>"复星医药"</f>
        <v>复星医药</v>
      </c>
      <c r="C53" t="str">
        <f>"20180313"</f>
        <v>20180313</v>
      </c>
      <c r="D53" t="str">
        <f>"42.900"</f>
        <v>42.900</v>
      </c>
      <c r="E53" t="str">
        <f>"100.00"</f>
        <v>100.00</v>
      </c>
      <c r="F53" t="str">
        <f>"-4295.09"</f>
        <v>-4295.09</v>
      </c>
      <c r="G53" t="str">
        <f>"22833.51"</f>
        <v>22833.51</v>
      </c>
      <c r="H53" t="str">
        <f>"100.00"</f>
        <v>100.00</v>
      </c>
      <c r="I53" t="str">
        <f>"130"</f>
        <v>130</v>
      </c>
      <c r="J53" t="str">
        <f>"证券买入(复星医药)"</f>
        <v>证券买入(复星医药)</v>
      </c>
      <c r="K53" t="str">
        <f t="shared" si="20"/>
        <v>5.00</v>
      </c>
      <c r="L53" t="str">
        <f>"0.00"</f>
        <v>0.00</v>
      </c>
      <c r="M53" t="str">
        <f>"0.09"</f>
        <v>0.09</v>
      </c>
      <c r="N53" t="str">
        <f>"0.00"</f>
        <v>0.00</v>
      </c>
      <c r="O53" t="str">
        <f>"600196"</f>
        <v>600196</v>
      </c>
      <c r="P53" t="str">
        <f>"A400948245"</f>
        <v>A400948245</v>
      </c>
    </row>
    <row r="54" spans="1:16" x14ac:dyDescent="0.25">
      <c r="A54" t="str">
        <f t="shared" si="0"/>
        <v>人民币</v>
      </c>
      <c r="B54" t="str">
        <f>" "</f>
        <v xml:space="preserve"> </v>
      </c>
      <c r="C54" t="str">
        <f>"20180314"</f>
        <v>20180314</v>
      </c>
      <c r="D54" t="str">
        <f>"---"</f>
        <v>---</v>
      </c>
      <c r="E54" t="str">
        <f>"---"</f>
        <v>---</v>
      </c>
      <c r="F54" t="str">
        <f>"-5100.00"</f>
        <v>-5100.00</v>
      </c>
      <c r="G54" t="str">
        <f>"17733.51"</f>
        <v>17733.51</v>
      </c>
      <c r="H54" t="str">
        <f>"---"</f>
        <v>---</v>
      </c>
      <c r="I54" t="str">
        <f>"---"</f>
        <v>---</v>
      </c>
      <c r="J54" t="str">
        <f>"银行转取"</f>
        <v>银行转取</v>
      </c>
      <c r="K54" t="str">
        <f t="shared" ref="K54:P54" si="23">"---"</f>
        <v>---</v>
      </c>
      <c r="L54" t="str">
        <f t="shared" si="23"/>
        <v>---</v>
      </c>
      <c r="M54" t="str">
        <f t="shared" si="23"/>
        <v>---</v>
      </c>
      <c r="N54" t="str">
        <f t="shared" si="23"/>
        <v>---</v>
      </c>
      <c r="O54" t="str">
        <f t="shared" si="23"/>
        <v>---</v>
      </c>
      <c r="P54" t="str">
        <f t="shared" si="23"/>
        <v>---</v>
      </c>
    </row>
    <row r="55" spans="1:16" x14ac:dyDescent="0.25">
      <c r="A55" t="str">
        <f t="shared" si="0"/>
        <v>人民币</v>
      </c>
      <c r="B55" t="str">
        <f>"科蓝软件"</f>
        <v>科蓝软件</v>
      </c>
      <c r="C55" t="str">
        <f>"20180314"</f>
        <v>20180314</v>
      </c>
      <c r="D55" t="str">
        <f>"29.990"</f>
        <v>29.990</v>
      </c>
      <c r="E55" t="str">
        <f>"200.00"</f>
        <v>200.00</v>
      </c>
      <c r="F55" t="str">
        <f>"-6003.00"</f>
        <v>-6003.00</v>
      </c>
      <c r="G55" t="str">
        <f>"11730.51"</f>
        <v>11730.51</v>
      </c>
      <c r="H55" t="str">
        <f>"200.00"</f>
        <v>200.00</v>
      </c>
      <c r="I55" t="str">
        <f>"5"</f>
        <v>5</v>
      </c>
      <c r="J55" t="str">
        <f>"证券买入(科蓝软件)"</f>
        <v>证券买入(科蓝软件)</v>
      </c>
      <c r="K55" t="str">
        <f>"5.00"</f>
        <v>5.00</v>
      </c>
      <c r="L55" t="str">
        <f t="shared" ref="L55:N58" si="24">"0.00"</f>
        <v>0.00</v>
      </c>
      <c r="M55" t="str">
        <f t="shared" si="24"/>
        <v>0.00</v>
      </c>
      <c r="N55" t="str">
        <f t="shared" si="24"/>
        <v>0.00</v>
      </c>
      <c r="O55" t="str">
        <f>"300663"</f>
        <v>300663</v>
      </c>
      <c r="P55" t="str">
        <f>"0153613480"</f>
        <v>0153613480</v>
      </c>
    </row>
    <row r="56" spans="1:16" x14ac:dyDescent="0.25">
      <c r="A56" t="str">
        <f t="shared" si="0"/>
        <v>人民币</v>
      </c>
      <c r="B56" t="str">
        <f>"科蓝软件"</f>
        <v>科蓝软件</v>
      </c>
      <c r="C56" t="str">
        <f>"20180314"</f>
        <v>20180314</v>
      </c>
      <c r="D56" t="str">
        <f>"29.900"</f>
        <v>29.900</v>
      </c>
      <c r="E56" t="str">
        <f>"100.00"</f>
        <v>100.00</v>
      </c>
      <c r="F56" t="str">
        <f>"-2995.00"</f>
        <v>-2995.00</v>
      </c>
      <c r="G56" t="str">
        <f>"8735.51"</f>
        <v>8735.51</v>
      </c>
      <c r="H56" t="str">
        <f>"300.00"</f>
        <v>300.00</v>
      </c>
      <c r="I56" t="str">
        <f>"9"</f>
        <v>9</v>
      </c>
      <c r="J56" t="str">
        <f>"证券买入(科蓝软件)"</f>
        <v>证券买入(科蓝软件)</v>
      </c>
      <c r="K56" t="str">
        <f>"5.00"</f>
        <v>5.00</v>
      </c>
      <c r="L56" t="str">
        <f t="shared" si="24"/>
        <v>0.00</v>
      </c>
      <c r="M56" t="str">
        <f t="shared" si="24"/>
        <v>0.00</v>
      </c>
      <c r="N56" t="str">
        <f t="shared" si="24"/>
        <v>0.00</v>
      </c>
      <c r="O56" t="str">
        <f>"300663"</f>
        <v>300663</v>
      </c>
      <c r="P56" t="str">
        <f>"0153613480"</f>
        <v>0153613480</v>
      </c>
    </row>
    <row r="57" spans="1:16" x14ac:dyDescent="0.25">
      <c r="A57" t="str">
        <f t="shared" si="0"/>
        <v>人民币</v>
      </c>
      <c r="B57" t="str">
        <f>"彩讯股份"</f>
        <v>彩讯股份</v>
      </c>
      <c r="C57" t="str">
        <f>"20180314"</f>
        <v>20180314</v>
      </c>
      <c r="D57" t="str">
        <f>"0.000"</f>
        <v>0.000</v>
      </c>
      <c r="E57" t="str">
        <f>"4.00"</f>
        <v>4.00</v>
      </c>
      <c r="F57" t="str">
        <f>"0.00"</f>
        <v>0.00</v>
      </c>
      <c r="G57" t="str">
        <f>"8735.51"</f>
        <v>8735.51</v>
      </c>
      <c r="H57" t="str">
        <f>"0.00"</f>
        <v>0.00</v>
      </c>
      <c r="I57" t="str">
        <f>"3"</f>
        <v>3</v>
      </c>
      <c r="J57" t="str">
        <f>"申购配号(彩讯股份)"</f>
        <v>申购配号(彩讯股份)</v>
      </c>
      <c r="K57" t="str">
        <f>"0.00"</f>
        <v>0.00</v>
      </c>
      <c r="L57" t="str">
        <f t="shared" si="24"/>
        <v>0.00</v>
      </c>
      <c r="M57" t="str">
        <f t="shared" si="24"/>
        <v>0.00</v>
      </c>
      <c r="N57" t="str">
        <f t="shared" si="24"/>
        <v>0.00</v>
      </c>
      <c r="O57" t="str">
        <f>"300634"</f>
        <v>300634</v>
      </c>
      <c r="P57" t="str">
        <f>"0153613480"</f>
        <v>0153613480</v>
      </c>
    </row>
    <row r="58" spans="1:16" x14ac:dyDescent="0.25">
      <c r="A58" t="str">
        <f t="shared" si="0"/>
        <v>人民币</v>
      </c>
      <c r="B58" t="str">
        <f>"宏川智慧"</f>
        <v>宏川智慧</v>
      </c>
      <c r="C58" t="str">
        <f>"20180314"</f>
        <v>20180314</v>
      </c>
      <c r="D58" t="str">
        <f>"0.000"</f>
        <v>0.000</v>
      </c>
      <c r="E58" t="str">
        <f>"4.00"</f>
        <v>4.00</v>
      </c>
      <c r="F58" t="str">
        <f>"0.00"</f>
        <v>0.00</v>
      </c>
      <c r="G58" t="str">
        <f>"8735.51"</f>
        <v>8735.51</v>
      </c>
      <c r="H58" t="str">
        <f>"0.00"</f>
        <v>0.00</v>
      </c>
      <c r="I58" t="str">
        <f>"1"</f>
        <v>1</v>
      </c>
      <c r="J58" t="str">
        <f>"申购配号(宏川智慧)"</f>
        <v>申购配号(宏川智慧)</v>
      </c>
      <c r="K58" t="str">
        <f>"0.00"</f>
        <v>0.00</v>
      </c>
      <c r="L58" t="str">
        <f t="shared" si="24"/>
        <v>0.00</v>
      </c>
      <c r="M58" t="str">
        <f t="shared" si="24"/>
        <v>0.00</v>
      </c>
      <c r="N58" t="str">
        <f t="shared" si="24"/>
        <v>0.00</v>
      </c>
      <c r="O58" t="str">
        <f>"002930"</f>
        <v>002930</v>
      </c>
      <c r="P58" t="str">
        <f>"0153613480"</f>
        <v>0153613480</v>
      </c>
    </row>
    <row r="59" spans="1:16" x14ac:dyDescent="0.25">
      <c r="A59" t="str">
        <f t="shared" si="0"/>
        <v>人民币</v>
      </c>
      <c r="B59" t="str">
        <f>"复星医药"</f>
        <v>复星医药</v>
      </c>
      <c r="C59" t="str">
        <f>"20180315"</f>
        <v>20180315</v>
      </c>
      <c r="D59" t="str">
        <f>"43.400"</f>
        <v>43.400</v>
      </c>
      <c r="E59" t="str">
        <f>"-100.00"</f>
        <v>-100.00</v>
      </c>
      <c r="F59" t="str">
        <f>"4330.57"</f>
        <v>4330.57</v>
      </c>
      <c r="G59" t="str">
        <f>"13066.08"</f>
        <v>13066.08</v>
      </c>
      <c r="H59" t="str">
        <f>"0.00"</f>
        <v>0.00</v>
      </c>
      <c r="I59" t="str">
        <f>"16"</f>
        <v>16</v>
      </c>
      <c r="J59" t="str">
        <f>"证券卖出(复星医药)"</f>
        <v>证券卖出(复星医药)</v>
      </c>
      <c r="K59" t="str">
        <f>"5.00"</f>
        <v>5.00</v>
      </c>
      <c r="L59" t="str">
        <f>"4.34"</f>
        <v>4.34</v>
      </c>
      <c r="M59" t="str">
        <f>"0.09"</f>
        <v>0.09</v>
      </c>
      <c r="N59" t="str">
        <f>"0.00"</f>
        <v>0.00</v>
      </c>
      <c r="O59" t="str">
        <f>"600196"</f>
        <v>600196</v>
      </c>
      <c r="P59" t="str">
        <f>"A400948245"</f>
        <v>A400948245</v>
      </c>
    </row>
    <row r="60" spans="1:16" x14ac:dyDescent="0.25">
      <c r="A60" t="str">
        <f t="shared" si="0"/>
        <v>人民币</v>
      </c>
      <c r="B60" t="str">
        <f>"科蓝软件"</f>
        <v>科蓝软件</v>
      </c>
      <c r="C60" t="str">
        <f>"20180315"</f>
        <v>20180315</v>
      </c>
      <c r="D60" t="str">
        <f>"28.060"</f>
        <v>28.060</v>
      </c>
      <c r="E60" t="str">
        <f>"100.00"</f>
        <v>100.00</v>
      </c>
      <c r="F60" t="str">
        <f>"-2811.00"</f>
        <v>-2811.00</v>
      </c>
      <c r="G60" t="str">
        <f>"10255.08"</f>
        <v>10255.08</v>
      </c>
      <c r="H60" t="str">
        <f>"400.00"</f>
        <v>400.00</v>
      </c>
      <c r="I60" t="str">
        <f>"19"</f>
        <v>19</v>
      </c>
      <c r="J60" t="str">
        <f>"证券买入(科蓝软件)"</f>
        <v>证券买入(科蓝软件)</v>
      </c>
      <c r="K60" t="str">
        <f>"5.00"</f>
        <v>5.00</v>
      </c>
      <c r="L60" t="str">
        <f t="shared" ref="L60:M62" si="25">"0.00"</f>
        <v>0.00</v>
      </c>
      <c r="M60" t="str">
        <f t="shared" si="25"/>
        <v>0.00</v>
      </c>
      <c r="N60" t="str">
        <f>"0.00"</f>
        <v>0.00</v>
      </c>
      <c r="O60" t="str">
        <f>"300663"</f>
        <v>300663</v>
      </c>
      <c r="P60" t="str">
        <f>"0153613480"</f>
        <v>0153613480</v>
      </c>
    </row>
    <row r="61" spans="1:16" x14ac:dyDescent="0.25">
      <c r="A61" t="str">
        <f t="shared" si="0"/>
        <v>人民币</v>
      </c>
      <c r="B61" t="str">
        <f>"科蓝软件"</f>
        <v>科蓝软件</v>
      </c>
      <c r="C61" t="str">
        <f>"20180315"</f>
        <v>20180315</v>
      </c>
      <c r="D61" t="str">
        <f>"27.980"</f>
        <v>27.980</v>
      </c>
      <c r="E61" t="str">
        <f>"100.00"</f>
        <v>100.00</v>
      </c>
      <c r="F61" t="str">
        <f>"-2803.00"</f>
        <v>-2803.00</v>
      </c>
      <c r="G61" t="str">
        <f>"7452.08"</f>
        <v>7452.08</v>
      </c>
      <c r="H61" t="str">
        <f>"500.00"</f>
        <v>500.00</v>
      </c>
      <c r="I61" t="str">
        <f>"25"</f>
        <v>25</v>
      </c>
      <c r="J61" t="str">
        <f>"证券买入(科蓝软件)"</f>
        <v>证券买入(科蓝软件)</v>
      </c>
      <c r="K61" t="str">
        <f>"5.00"</f>
        <v>5.00</v>
      </c>
      <c r="L61" t="str">
        <f t="shared" si="25"/>
        <v>0.00</v>
      </c>
      <c r="M61" t="str">
        <f t="shared" si="25"/>
        <v>0.00</v>
      </c>
      <c r="N61" t="str">
        <f>"0.00"</f>
        <v>0.00</v>
      </c>
      <c r="O61" t="str">
        <f>"300663"</f>
        <v>300663</v>
      </c>
      <c r="P61" t="str">
        <f>"0153613480"</f>
        <v>0153613480</v>
      </c>
    </row>
    <row r="62" spans="1:16" x14ac:dyDescent="0.25">
      <c r="A62" t="str">
        <f t="shared" si="0"/>
        <v>人民币</v>
      </c>
      <c r="B62" t="str">
        <f>"科蓝软件"</f>
        <v>科蓝软件</v>
      </c>
      <c r="C62" t="str">
        <f>"20180316"</f>
        <v>20180316</v>
      </c>
      <c r="D62" t="str">
        <f>"28.300"</f>
        <v>28.300</v>
      </c>
      <c r="E62" t="str">
        <f>"100.00"</f>
        <v>100.00</v>
      </c>
      <c r="F62" t="str">
        <f>"-2835.00"</f>
        <v>-2835.00</v>
      </c>
      <c r="G62" t="str">
        <f>"4617.08"</f>
        <v>4617.08</v>
      </c>
      <c r="H62" t="str">
        <f>"600.00"</f>
        <v>600.00</v>
      </c>
      <c r="I62" t="str">
        <f>"35"</f>
        <v>35</v>
      </c>
      <c r="J62" t="str">
        <f>"证券买入(科蓝软件)"</f>
        <v>证券买入(科蓝软件)</v>
      </c>
      <c r="K62" t="str">
        <f>"5.00"</f>
        <v>5.00</v>
      </c>
      <c r="L62" t="str">
        <f t="shared" si="25"/>
        <v>0.00</v>
      </c>
      <c r="M62" t="str">
        <f t="shared" si="25"/>
        <v>0.00</v>
      </c>
      <c r="N62" t="str">
        <f>"0.00"</f>
        <v>0.00</v>
      </c>
      <c r="O62" t="str">
        <f>"300663"</f>
        <v>300663</v>
      </c>
      <c r="P62" t="str">
        <f>"0153613480"</f>
        <v>0153613480</v>
      </c>
    </row>
    <row r="63" spans="1:16" x14ac:dyDescent="0.25">
      <c r="A63" t="str">
        <f t="shared" si="0"/>
        <v>人民币</v>
      </c>
      <c r="B63" t="str">
        <f>" "</f>
        <v xml:space="preserve"> </v>
      </c>
      <c r="C63" t="str">
        <f>"20180320"</f>
        <v>20180320</v>
      </c>
      <c r="D63" t="str">
        <f>"---"</f>
        <v>---</v>
      </c>
      <c r="E63" t="str">
        <f>"---"</f>
        <v>---</v>
      </c>
      <c r="F63" t="str">
        <f>"3.09"</f>
        <v>3.09</v>
      </c>
      <c r="G63" t="str">
        <f>"4620.17"</f>
        <v>4620.17</v>
      </c>
      <c r="H63" t="str">
        <f>"---"</f>
        <v>---</v>
      </c>
      <c r="I63" t="str">
        <f>"---"</f>
        <v>---</v>
      </c>
      <c r="J63" t="str">
        <f>"批量利息归本"</f>
        <v>批量利息归本</v>
      </c>
      <c r="K63" t="str">
        <f t="shared" ref="K63:P63" si="26">"---"</f>
        <v>---</v>
      </c>
      <c r="L63" t="str">
        <f t="shared" si="26"/>
        <v>---</v>
      </c>
      <c r="M63" t="str">
        <f t="shared" si="26"/>
        <v>---</v>
      </c>
      <c r="N63" t="str">
        <f t="shared" si="26"/>
        <v>---</v>
      </c>
      <c r="O63" t="str">
        <f t="shared" si="26"/>
        <v>---</v>
      </c>
      <c r="P63" t="str">
        <f t="shared" si="26"/>
        <v>---</v>
      </c>
    </row>
    <row r="64" spans="1:16" x14ac:dyDescent="0.25">
      <c r="A64" t="str">
        <f t="shared" si="0"/>
        <v>人民币</v>
      </c>
      <c r="B64" t="str">
        <f>"科蓝软件"</f>
        <v>科蓝软件</v>
      </c>
      <c r="C64" t="str">
        <f>"20180320"</f>
        <v>20180320</v>
      </c>
      <c r="D64" t="str">
        <f>"27.510"</f>
        <v>27.510</v>
      </c>
      <c r="E64" t="str">
        <f>"100.00"</f>
        <v>100.00</v>
      </c>
      <c r="F64" t="str">
        <f>"-2756.00"</f>
        <v>-2756.00</v>
      </c>
      <c r="G64" t="str">
        <f>"1864.17"</f>
        <v>1864.17</v>
      </c>
      <c r="H64" t="str">
        <f>"700.00"</f>
        <v>700.00</v>
      </c>
      <c r="I64" t="str">
        <f>"39"</f>
        <v>39</v>
      </c>
      <c r="J64" t="str">
        <f>"证券买入(科蓝软件)"</f>
        <v>证券买入(科蓝软件)</v>
      </c>
      <c r="K64" t="str">
        <f>"5.00"</f>
        <v>5.00</v>
      </c>
      <c r="L64" t="str">
        <f>"0.00"</f>
        <v>0.00</v>
      </c>
      <c r="M64" t="str">
        <f>"0.00"</f>
        <v>0.00</v>
      </c>
      <c r="N64" t="str">
        <f>"0.00"</f>
        <v>0.00</v>
      </c>
      <c r="O64" t="str">
        <f>"300663"</f>
        <v>300663</v>
      </c>
      <c r="P64" t="str">
        <f t="shared" ref="P64:P79" si="27">"0153613480"</f>
        <v>0153613480</v>
      </c>
    </row>
    <row r="65" spans="1:16" x14ac:dyDescent="0.25">
      <c r="A65" t="str">
        <f t="shared" si="0"/>
        <v>人民币</v>
      </c>
      <c r="B65" t="str">
        <f>"科蓝软件"</f>
        <v>科蓝软件</v>
      </c>
      <c r="C65" t="str">
        <f>"20180321"</f>
        <v>20180321</v>
      </c>
      <c r="D65" t="str">
        <f>"30.150"</f>
        <v>30.150</v>
      </c>
      <c r="E65" t="str">
        <f>"-300.00"</f>
        <v>-300.00</v>
      </c>
      <c r="F65" t="str">
        <f>"9030.95"</f>
        <v>9030.95</v>
      </c>
      <c r="G65" t="str">
        <f>"10895.12"</f>
        <v>10895.12</v>
      </c>
      <c r="H65" t="str">
        <f>"400.00"</f>
        <v>400.00</v>
      </c>
      <c r="I65" t="str">
        <f>"44"</f>
        <v>44</v>
      </c>
      <c r="J65" t="str">
        <f>"证券卖出(科蓝软件)"</f>
        <v>证券卖出(科蓝软件)</v>
      </c>
      <c r="K65" t="str">
        <f>"5.00"</f>
        <v>5.00</v>
      </c>
      <c r="L65" t="str">
        <f>"9.05"</f>
        <v>9.05</v>
      </c>
      <c r="M65" t="str">
        <f t="shared" ref="M65:N80" si="28">"0.00"</f>
        <v>0.00</v>
      </c>
      <c r="N65" t="str">
        <f t="shared" si="28"/>
        <v>0.00</v>
      </c>
      <c r="O65" t="str">
        <f>"300663"</f>
        <v>300663</v>
      </c>
      <c r="P65" t="str">
        <f t="shared" si="27"/>
        <v>0153613480</v>
      </c>
    </row>
    <row r="66" spans="1:16" x14ac:dyDescent="0.25">
      <c r="A66" t="str">
        <f t="shared" ref="A66:A129" si="29">"人民币"</f>
        <v>人民币</v>
      </c>
      <c r="B66" t="str">
        <f>"天邑股份"</f>
        <v>天邑股份</v>
      </c>
      <c r="C66" t="str">
        <f>"20180321"</f>
        <v>20180321</v>
      </c>
      <c r="D66" t="str">
        <f>"0.000"</f>
        <v>0.000</v>
      </c>
      <c r="E66" t="str">
        <f>"3.00"</f>
        <v>3.00</v>
      </c>
      <c r="F66" t="str">
        <f>"0.00"</f>
        <v>0.00</v>
      </c>
      <c r="G66" t="str">
        <f>"10895.12"</f>
        <v>10895.12</v>
      </c>
      <c r="H66" t="str">
        <f>"0.00"</f>
        <v>0.00</v>
      </c>
      <c r="I66" t="str">
        <f>"48"</f>
        <v>48</v>
      </c>
      <c r="J66" t="str">
        <f>"申购配号(天邑股份)"</f>
        <v>申购配号(天邑股份)</v>
      </c>
      <c r="K66" t="str">
        <f>"0.00"</f>
        <v>0.00</v>
      </c>
      <c r="L66" t="str">
        <f>"0.00"</f>
        <v>0.00</v>
      </c>
      <c r="M66" t="str">
        <f t="shared" si="28"/>
        <v>0.00</v>
      </c>
      <c r="N66" t="str">
        <f t="shared" si="28"/>
        <v>0.00</v>
      </c>
      <c r="O66" t="str">
        <f>"300504"</f>
        <v>300504</v>
      </c>
      <c r="P66" t="str">
        <f t="shared" si="27"/>
        <v>0153613480</v>
      </c>
    </row>
    <row r="67" spans="1:16" x14ac:dyDescent="0.25">
      <c r="A67" t="str">
        <f t="shared" si="29"/>
        <v>人民币</v>
      </c>
      <c r="B67" t="str">
        <f>"科蓝软件"</f>
        <v>科蓝软件</v>
      </c>
      <c r="C67" t="str">
        <f>"20180322"</f>
        <v>20180322</v>
      </c>
      <c r="D67" t="str">
        <f>"30.180"</f>
        <v>30.180</v>
      </c>
      <c r="E67" t="str">
        <f>"-200.00"</f>
        <v>-200.00</v>
      </c>
      <c r="F67" t="str">
        <f>"6024.96"</f>
        <v>6024.96</v>
      </c>
      <c r="G67" t="str">
        <f>"16920.08"</f>
        <v>16920.08</v>
      </c>
      <c r="H67" t="str">
        <f>"200.00"</f>
        <v>200.00</v>
      </c>
      <c r="I67" t="str">
        <f>"60"</f>
        <v>60</v>
      </c>
      <c r="J67" t="str">
        <f>"证券卖出(科蓝软件)"</f>
        <v>证券卖出(科蓝软件)</v>
      </c>
      <c r="K67" t="str">
        <f>"5.00"</f>
        <v>5.00</v>
      </c>
      <c r="L67" t="str">
        <f>"6.04"</f>
        <v>6.04</v>
      </c>
      <c r="M67" t="str">
        <f t="shared" si="28"/>
        <v>0.00</v>
      </c>
      <c r="N67" t="str">
        <f t="shared" si="28"/>
        <v>0.00</v>
      </c>
      <c r="O67" t="str">
        <f>"300663"</f>
        <v>300663</v>
      </c>
      <c r="P67" t="str">
        <f t="shared" si="27"/>
        <v>0153613480</v>
      </c>
    </row>
    <row r="68" spans="1:16" x14ac:dyDescent="0.25">
      <c r="A68" t="str">
        <f t="shared" si="29"/>
        <v>人民币</v>
      </c>
      <c r="B68" t="str">
        <f>"科蓝软件"</f>
        <v>科蓝软件</v>
      </c>
      <c r="C68" t="str">
        <f>"20180322"</f>
        <v>20180322</v>
      </c>
      <c r="D68" t="str">
        <f>"29.980"</f>
        <v>29.980</v>
      </c>
      <c r="E68" t="str">
        <f>"-200.00"</f>
        <v>-200.00</v>
      </c>
      <c r="F68" t="str">
        <f>"5985.00"</f>
        <v>5985.00</v>
      </c>
      <c r="G68" t="str">
        <f>"22905.08"</f>
        <v>22905.08</v>
      </c>
      <c r="H68" t="str">
        <f>"0.00"</f>
        <v>0.00</v>
      </c>
      <c r="I68" t="str">
        <f>"63"</f>
        <v>63</v>
      </c>
      <c r="J68" t="str">
        <f>"证券卖出(科蓝软件)"</f>
        <v>证券卖出(科蓝软件)</v>
      </c>
      <c r="K68" t="str">
        <f>"5.00"</f>
        <v>5.00</v>
      </c>
      <c r="L68" t="str">
        <f>"6.00"</f>
        <v>6.00</v>
      </c>
      <c r="M68" t="str">
        <f t="shared" si="28"/>
        <v>0.00</v>
      </c>
      <c r="N68" t="str">
        <f t="shared" si="28"/>
        <v>0.00</v>
      </c>
      <c r="O68" t="str">
        <f>"300663"</f>
        <v>300663</v>
      </c>
      <c r="P68" t="str">
        <f t="shared" si="27"/>
        <v>0153613480</v>
      </c>
    </row>
    <row r="69" spans="1:16" x14ac:dyDescent="0.25">
      <c r="A69" t="str">
        <f t="shared" si="29"/>
        <v>人民币</v>
      </c>
      <c r="B69" t="str">
        <f>"锋龙股份"</f>
        <v>锋龙股份</v>
      </c>
      <c r="C69" t="str">
        <f>"20180322"</f>
        <v>20180322</v>
      </c>
      <c r="D69" t="str">
        <f>"0.000"</f>
        <v>0.000</v>
      </c>
      <c r="E69" t="str">
        <f>"3.00"</f>
        <v>3.00</v>
      </c>
      <c r="F69" t="str">
        <f>"0.00"</f>
        <v>0.00</v>
      </c>
      <c r="G69" t="str">
        <f>"22905.08"</f>
        <v>22905.08</v>
      </c>
      <c r="H69" t="str">
        <f>"0.00"</f>
        <v>0.00</v>
      </c>
      <c r="I69" t="str">
        <f>"52"</f>
        <v>52</v>
      </c>
      <c r="J69" t="str">
        <f>"申购配号(锋龙股份)"</f>
        <v>申购配号(锋龙股份)</v>
      </c>
      <c r="K69" t="str">
        <f>"0.00"</f>
        <v>0.00</v>
      </c>
      <c r="L69" t="str">
        <f>"0.00"</f>
        <v>0.00</v>
      </c>
      <c r="M69" t="str">
        <f t="shared" si="28"/>
        <v>0.00</v>
      </c>
      <c r="N69" t="str">
        <f t="shared" si="28"/>
        <v>0.00</v>
      </c>
      <c r="O69" t="str">
        <f>"002931"</f>
        <v>002931</v>
      </c>
      <c r="P69" t="str">
        <f t="shared" si="27"/>
        <v>0153613480</v>
      </c>
    </row>
    <row r="70" spans="1:16" x14ac:dyDescent="0.25">
      <c r="A70" t="str">
        <f t="shared" si="29"/>
        <v>人民币</v>
      </c>
      <c r="B70" t="str">
        <f>"中电鑫龙"</f>
        <v>中电鑫龙</v>
      </c>
      <c r="C70" t="str">
        <f t="shared" ref="C70:C76" si="30">"20180323"</f>
        <v>20180323</v>
      </c>
      <c r="D70" t="str">
        <f>"8.260"</f>
        <v>8.260</v>
      </c>
      <c r="E70" t="str">
        <f>"400.00"</f>
        <v>400.00</v>
      </c>
      <c r="F70" t="str">
        <f>"-3309.00"</f>
        <v>-3309.00</v>
      </c>
      <c r="G70" t="str">
        <f>"19596.08"</f>
        <v>19596.08</v>
      </c>
      <c r="H70" t="str">
        <f>"400.00"</f>
        <v>400.00</v>
      </c>
      <c r="I70" t="str">
        <f>"69"</f>
        <v>69</v>
      </c>
      <c r="J70" t="str">
        <f>"证券买入(中电鑫龙)"</f>
        <v>证券买入(中电鑫龙)</v>
      </c>
      <c r="K70" t="str">
        <f t="shared" ref="K70:K89" si="31">"5.00"</f>
        <v>5.00</v>
      </c>
      <c r="L70" t="str">
        <f t="shared" ref="L70:L76" si="32">"0.00"</f>
        <v>0.00</v>
      </c>
      <c r="M70" t="str">
        <f t="shared" si="28"/>
        <v>0.00</v>
      </c>
      <c r="N70" t="str">
        <f t="shared" si="28"/>
        <v>0.00</v>
      </c>
      <c r="O70" t="str">
        <f>"002298"</f>
        <v>002298</v>
      </c>
      <c r="P70" t="str">
        <f t="shared" si="27"/>
        <v>0153613480</v>
      </c>
    </row>
    <row r="71" spans="1:16" x14ac:dyDescent="0.25">
      <c r="A71" t="str">
        <f t="shared" si="29"/>
        <v>人民币</v>
      </c>
      <c r="B71" t="str">
        <f>"中电鑫龙"</f>
        <v>中电鑫龙</v>
      </c>
      <c r="C71" t="str">
        <f t="shared" si="30"/>
        <v>20180323</v>
      </c>
      <c r="D71" t="str">
        <f>"8.040"</f>
        <v>8.040</v>
      </c>
      <c r="E71" t="str">
        <f>"200.00"</f>
        <v>200.00</v>
      </c>
      <c r="F71" t="str">
        <f>"-1613.00"</f>
        <v>-1613.00</v>
      </c>
      <c r="G71" t="str">
        <f>"17983.08"</f>
        <v>17983.08</v>
      </c>
      <c r="H71" t="str">
        <f>"600.00"</f>
        <v>600.00</v>
      </c>
      <c r="I71" t="str">
        <f>"102"</f>
        <v>102</v>
      </c>
      <c r="J71" t="str">
        <f>"证券买入(中电鑫龙)"</f>
        <v>证券买入(中电鑫龙)</v>
      </c>
      <c r="K71" t="str">
        <f t="shared" si="31"/>
        <v>5.00</v>
      </c>
      <c r="L71" t="str">
        <f t="shared" si="32"/>
        <v>0.00</v>
      </c>
      <c r="M71" t="str">
        <f t="shared" si="28"/>
        <v>0.00</v>
      </c>
      <c r="N71" t="str">
        <f t="shared" si="28"/>
        <v>0.00</v>
      </c>
      <c r="O71" t="str">
        <f>"002298"</f>
        <v>002298</v>
      </c>
      <c r="P71" t="str">
        <f t="shared" si="27"/>
        <v>0153613480</v>
      </c>
    </row>
    <row r="72" spans="1:16" x14ac:dyDescent="0.25">
      <c r="A72" t="str">
        <f t="shared" si="29"/>
        <v>人民币</v>
      </c>
      <c r="B72" t="str">
        <f>"安达维尔"</f>
        <v>安达维尔</v>
      </c>
      <c r="C72" t="str">
        <f t="shared" si="30"/>
        <v>20180323</v>
      </c>
      <c r="D72" t="str">
        <f>"25.010"</f>
        <v>25.010</v>
      </c>
      <c r="E72" t="str">
        <f>"100.00"</f>
        <v>100.00</v>
      </c>
      <c r="F72" t="str">
        <f>"-2506.00"</f>
        <v>-2506.00</v>
      </c>
      <c r="G72" t="str">
        <f>"15477.08"</f>
        <v>15477.08</v>
      </c>
      <c r="H72" t="str">
        <f>"100.00"</f>
        <v>100.00</v>
      </c>
      <c r="I72" t="str">
        <f>"79"</f>
        <v>79</v>
      </c>
      <c r="J72" t="str">
        <f>"证券买入(安达维尔)"</f>
        <v>证券买入(安达维尔)</v>
      </c>
      <c r="K72" t="str">
        <f t="shared" si="31"/>
        <v>5.00</v>
      </c>
      <c r="L72" t="str">
        <f t="shared" si="32"/>
        <v>0.00</v>
      </c>
      <c r="M72" t="str">
        <f t="shared" si="28"/>
        <v>0.00</v>
      </c>
      <c r="N72" t="str">
        <f t="shared" si="28"/>
        <v>0.00</v>
      </c>
      <c r="O72" t="str">
        <f>"300719"</f>
        <v>300719</v>
      </c>
      <c r="P72" t="str">
        <f t="shared" si="27"/>
        <v>0153613480</v>
      </c>
    </row>
    <row r="73" spans="1:16" x14ac:dyDescent="0.25">
      <c r="A73" t="str">
        <f t="shared" si="29"/>
        <v>人民币</v>
      </c>
      <c r="B73" t="str">
        <f>"安达维尔"</f>
        <v>安达维尔</v>
      </c>
      <c r="C73" t="str">
        <f t="shared" si="30"/>
        <v>20180323</v>
      </c>
      <c r="D73" t="str">
        <f>"24.960"</f>
        <v>24.960</v>
      </c>
      <c r="E73" t="str">
        <f>"100.00"</f>
        <v>100.00</v>
      </c>
      <c r="F73" t="str">
        <f>"-2501.00"</f>
        <v>-2501.00</v>
      </c>
      <c r="G73" t="str">
        <f>"12976.08"</f>
        <v>12976.08</v>
      </c>
      <c r="H73" t="str">
        <f>"200.00"</f>
        <v>200.00</v>
      </c>
      <c r="I73" t="str">
        <f>"84"</f>
        <v>84</v>
      </c>
      <c r="J73" t="str">
        <f>"证券买入(安达维尔)"</f>
        <v>证券买入(安达维尔)</v>
      </c>
      <c r="K73" t="str">
        <f t="shared" si="31"/>
        <v>5.00</v>
      </c>
      <c r="L73" t="str">
        <f t="shared" si="32"/>
        <v>0.00</v>
      </c>
      <c r="M73" t="str">
        <f t="shared" si="28"/>
        <v>0.00</v>
      </c>
      <c r="N73" t="str">
        <f t="shared" si="28"/>
        <v>0.00</v>
      </c>
      <c r="O73" t="str">
        <f>"300719"</f>
        <v>300719</v>
      </c>
      <c r="P73" t="str">
        <f t="shared" si="27"/>
        <v>0153613480</v>
      </c>
    </row>
    <row r="74" spans="1:16" x14ac:dyDescent="0.25">
      <c r="A74" t="str">
        <f t="shared" si="29"/>
        <v>人民币</v>
      </c>
      <c r="B74" t="str">
        <f>"安达维尔"</f>
        <v>安达维尔</v>
      </c>
      <c r="C74" t="str">
        <f t="shared" si="30"/>
        <v>20180323</v>
      </c>
      <c r="D74" t="str">
        <f>"24.860"</f>
        <v>24.860</v>
      </c>
      <c r="E74" t="str">
        <f>"100.00"</f>
        <v>100.00</v>
      </c>
      <c r="F74" t="str">
        <f>"-2491.00"</f>
        <v>-2491.00</v>
      </c>
      <c r="G74" t="str">
        <f>"10485.08"</f>
        <v>10485.08</v>
      </c>
      <c r="H74" t="str">
        <f>"300.00"</f>
        <v>300.00</v>
      </c>
      <c r="I74" t="str">
        <f>"87"</f>
        <v>87</v>
      </c>
      <c r="J74" t="str">
        <f>"证券买入(安达维尔)"</f>
        <v>证券买入(安达维尔)</v>
      </c>
      <c r="K74" t="str">
        <f t="shared" si="31"/>
        <v>5.00</v>
      </c>
      <c r="L74" t="str">
        <f t="shared" si="32"/>
        <v>0.00</v>
      </c>
      <c r="M74" t="str">
        <f t="shared" si="28"/>
        <v>0.00</v>
      </c>
      <c r="N74" t="str">
        <f t="shared" si="28"/>
        <v>0.00</v>
      </c>
      <c r="O74" t="str">
        <f>"300719"</f>
        <v>300719</v>
      </c>
      <c r="P74" t="str">
        <f t="shared" si="27"/>
        <v>0153613480</v>
      </c>
    </row>
    <row r="75" spans="1:16" x14ac:dyDescent="0.25">
      <c r="A75" t="str">
        <f t="shared" si="29"/>
        <v>人民币</v>
      </c>
      <c r="B75" t="str">
        <f>"安达维尔"</f>
        <v>安达维尔</v>
      </c>
      <c r="C75" t="str">
        <f t="shared" si="30"/>
        <v>20180323</v>
      </c>
      <c r="D75" t="str">
        <f>"24.600"</f>
        <v>24.600</v>
      </c>
      <c r="E75" t="str">
        <f>"100.00"</f>
        <v>100.00</v>
      </c>
      <c r="F75" t="str">
        <f>"-2465.00"</f>
        <v>-2465.00</v>
      </c>
      <c r="G75" t="str">
        <f>"8020.08"</f>
        <v>8020.08</v>
      </c>
      <c r="H75" t="str">
        <f>"400.00"</f>
        <v>400.00</v>
      </c>
      <c r="I75" t="str">
        <f>"95"</f>
        <v>95</v>
      </c>
      <c r="J75" t="str">
        <f>"证券买入(安达维尔)"</f>
        <v>证券买入(安达维尔)</v>
      </c>
      <c r="K75" t="str">
        <f t="shared" si="31"/>
        <v>5.00</v>
      </c>
      <c r="L75" t="str">
        <f t="shared" si="32"/>
        <v>0.00</v>
      </c>
      <c r="M75" t="str">
        <f t="shared" si="28"/>
        <v>0.00</v>
      </c>
      <c r="N75" t="str">
        <f t="shared" si="28"/>
        <v>0.00</v>
      </c>
      <c r="O75" t="str">
        <f>"300719"</f>
        <v>300719</v>
      </c>
      <c r="P75" t="str">
        <f t="shared" si="27"/>
        <v>0153613480</v>
      </c>
    </row>
    <row r="76" spans="1:16" x14ac:dyDescent="0.25">
      <c r="A76" t="str">
        <f t="shared" si="29"/>
        <v>人民币</v>
      </c>
      <c r="B76" t="str">
        <f>"新晨科技"</f>
        <v>新晨科技</v>
      </c>
      <c r="C76" t="str">
        <f t="shared" si="30"/>
        <v>20180323</v>
      </c>
      <c r="D76" t="str">
        <f>"35.490"</f>
        <v>35.490</v>
      </c>
      <c r="E76" t="str">
        <f>"100.00"</f>
        <v>100.00</v>
      </c>
      <c r="F76" t="str">
        <f>"-3554.00"</f>
        <v>-3554.00</v>
      </c>
      <c r="G76" t="str">
        <f>"4466.08"</f>
        <v>4466.08</v>
      </c>
      <c r="H76" t="str">
        <f>"100.00"</f>
        <v>100.00</v>
      </c>
      <c r="I76" t="str">
        <f>"99"</f>
        <v>99</v>
      </c>
      <c r="J76" t="str">
        <f>"证券买入(新晨科技)"</f>
        <v>证券买入(新晨科技)</v>
      </c>
      <c r="K76" t="str">
        <f t="shared" si="31"/>
        <v>5.00</v>
      </c>
      <c r="L76" t="str">
        <f t="shared" si="32"/>
        <v>0.00</v>
      </c>
      <c r="M76" t="str">
        <f t="shared" si="28"/>
        <v>0.00</v>
      </c>
      <c r="N76" t="str">
        <f t="shared" si="28"/>
        <v>0.00</v>
      </c>
      <c r="O76" t="str">
        <f>"300542"</f>
        <v>300542</v>
      </c>
      <c r="P76" t="str">
        <f t="shared" si="27"/>
        <v>0153613480</v>
      </c>
    </row>
    <row r="77" spans="1:16" x14ac:dyDescent="0.25">
      <c r="A77" t="str">
        <f t="shared" si="29"/>
        <v>人民币</v>
      </c>
      <c r="B77" t="str">
        <f>"安达维尔"</f>
        <v>安达维尔</v>
      </c>
      <c r="C77" t="str">
        <f>"20180326"</f>
        <v>20180326</v>
      </c>
      <c r="D77" t="str">
        <f>"28.000"</f>
        <v>28.000</v>
      </c>
      <c r="E77" t="str">
        <f>"-300.00"</f>
        <v>-300.00</v>
      </c>
      <c r="F77" t="str">
        <f>"8386.60"</f>
        <v>8386.60</v>
      </c>
      <c r="G77" t="str">
        <f>"12852.68"</f>
        <v>12852.68</v>
      </c>
      <c r="H77" t="str">
        <f>"100.00"</f>
        <v>100.00</v>
      </c>
      <c r="I77" t="str">
        <f>"112"</f>
        <v>112</v>
      </c>
      <c r="J77" t="str">
        <f>"证券卖出(安达维尔)"</f>
        <v>证券卖出(安达维尔)</v>
      </c>
      <c r="K77" t="str">
        <f t="shared" si="31"/>
        <v>5.00</v>
      </c>
      <c r="L77" t="str">
        <f>"8.40"</f>
        <v>8.40</v>
      </c>
      <c r="M77" t="str">
        <f t="shared" si="28"/>
        <v>0.00</v>
      </c>
      <c r="N77" t="str">
        <f t="shared" si="28"/>
        <v>0.00</v>
      </c>
      <c r="O77" t="str">
        <f>"300719"</f>
        <v>300719</v>
      </c>
      <c r="P77" t="str">
        <f t="shared" si="27"/>
        <v>0153613480</v>
      </c>
    </row>
    <row r="78" spans="1:16" x14ac:dyDescent="0.25">
      <c r="A78" t="str">
        <f t="shared" si="29"/>
        <v>人民币</v>
      </c>
      <c r="B78" t="str">
        <f>"安达维尔"</f>
        <v>安达维尔</v>
      </c>
      <c r="C78" t="str">
        <f>"20180326"</f>
        <v>20180326</v>
      </c>
      <c r="D78" t="str">
        <f>"28.450"</f>
        <v>28.450</v>
      </c>
      <c r="E78" t="str">
        <f>"-100.00"</f>
        <v>-100.00</v>
      </c>
      <c r="F78" t="str">
        <f>"2837.15"</f>
        <v>2837.15</v>
      </c>
      <c r="G78" t="str">
        <f>"15689.83"</f>
        <v>15689.83</v>
      </c>
      <c r="H78" t="str">
        <f>"0.00"</f>
        <v>0.00</v>
      </c>
      <c r="I78" t="str">
        <f>"115"</f>
        <v>115</v>
      </c>
      <c r="J78" t="str">
        <f>"证券卖出(安达维尔)"</f>
        <v>证券卖出(安达维尔)</v>
      </c>
      <c r="K78" t="str">
        <f t="shared" si="31"/>
        <v>5.00</v>
      </c>
      <c r="L78" t="str">
        <f>"2.85"</f>
        <v>2.85</v>
      </c>
      <c r="M78" t="str">
        <f t="shared" si="28"/>
        <v>0.00</v>
      </c>
      <c r="N78" t="str">
        <f t="shared" si="28"/>
        <v>0.00</v>
      </c>
      <c r="O78" t="str">
        <f>"300719"</f>
        <v>300719</v>
      </c>
      <c r="P78" t="str">
        <f t="shared" si="27"/>
        <v>0153613480</v>
      </c>
    </row>
    <row r="79" spans="1:16" x14ac:dyDescent="0.25">
      <c r="A79" t="str">
        <f t="shared" si="29"/>
        <v>人民币</v>
      </c>
      <c r="B79" t="str">
        <f>"新晨科技"</f>
        <v>新晨科技</v>
      </c>
      <c r="C79" t="str">
        <f>"20180326"</f>
        <v>20180326</v>
      </c>
      <c r="D79" t="str">
        <f>"36.580"</f>
        <v>36.580</v>
      </c>
      <c r="E79" t="str">
        <f>"-100.00"</f>
        <v>-100.00</v>
      </c>
      <c r="F79" t="str">
        <f>"3649.34"</f>
        <v>3649.34</v>
      </c>
      <c r="G79" t="str">
        <f>"19339.17"</f>
        <v>19339.17</v>
      </c>
      <c r="H79" t="str">
        <f>"0.00"</f>
        <v>0.00</v>
      </c>
      <c r="I79" t="str">
        <f>"118"</f>
        <v>118</v>
      </c>
      <c r="J79" t="str">
        <f>"证券卖出(新晨科技)"</f>
        <v>证券卖出(新晨科技)</v>
      </c>
      <c r="K79" t="str">
        <f t="shared" si="31"/>
        <v>5.00</v>
      </c>
      <c r="L79" t="str">
        <f>"3.66"</f>
        <v>3.66</v>
      </c>
      <c r="M79" t="str">
        <f t="shared" si="28"/>
        <v>0.00</v>
      </c>
      <c r="N79" t="str">
        <f t="shared" si="28"/>
        <v>0.00</v>
      </c>
      <c r="O79" t="str">
        <f>"300542"</f>
        <v>300542</v>
      </c>
      <c r="P79" t="str">
        <f t="shared" si="27"/>
        <v>0153613480</v>
      </c>
    </row>
    <row r="80" spans="1:16" x14ac:dyDescent="0.25">
      <c r="A80" t="str">
        <f t="shared" si="29"/>
        <v>人民币</v>
      </c>
      <c r="B80" t="str">
        <f>"华夏幸福"</f>
        <v>华夏幸福</v>
      </c>
      <c r="C80" t="str">
        <f>"20180327"</f>
        <v>20180327</v>
      </c>
      <c r="D80" t="str">
        <f>"31.900"</f>
        <v>31.900</v>
      </c>
      <c r="E80" t="str">
        <f>"200.00"</f>
        <v>200.00</v>
      </c>
      <c r="F80" t="str">
        <f>"-6385.13"</f>
        <v>-6385.13</v>
      </c>
      <c r="G80" t="str">
        <f>"12954.04"</f>
        <v>12954.04</v>
      </c>
      <c r="H80" t="str">
        <f>"200.00"</f>
        <v>200.00</v>
      </c>
      <c r="I80" t="str">
        <f>"130"</f>
        <v>130</v>
      </c>
      <c r="J80" t="str">
        <f>"证券买入(华夏幸福)"</f>
        <v>证券买入(华夏幸福)</v>
      </c>
      <c r="K80" t="str">
        <f t="shared" si="31"/>
        <v>5.00</v>
      </c>
      <c r="L80" t="str">
        <f>"0.00"</f>
        <v>0.00</v>
      </c>
      <c r="M80" t="str">
        <f>"0.13"</f>
        <v>0.13</v>
      </c>
      <c r="N80" t="str">
        <f t="shared" si="28"/>
        <v>0.00</v>
      </c>
      <c r="O80" t="str">
        <f>"600340"</f>
        <v>600340</v>
      </c>
      <c r="P80" t="str">
        <f>"A400948245"</f>
        <v>A400948245</v>
      </c>
    </row>
    <row r="81" spans="1:16" x14ac:dyDescent="0.25">
      <c r="A81" t="str">
        <f t="shared" si="29"/>
        <v>人民币</v>
      </c>
      <c r="B81" t="str">
        <f>"华夏幸福"</f>
        <v>华夏幸福</v>
      </c>
      <c r="C81" t="str">
        <f>"20180327"</f>
        <v>20180327</v>
      </c>
      <c r="D81" t="str">
        <f>"31.910"</f>
        <v>31.910</v>
      </c>
      <c r="E81" t="str">
        <f>"100.00"</f>
        <v>100.00</v>
      </c>
      <c r="F81" t="str">
        <f>"-3196.06"</f>
        <v>-3196.06</v>
      </c>
      <c r="G81" t="str">
        <f>"9757.98"</f>
        <v>9757.98</v>
      </c>
      <c r="H81" t="str">
        <f>"300.00"</f>
        <v>300.00</v>
      </c>
      <c r="I81" t="str">
        <f>"135"</f>
        <v>135</v>
      </c>
      <c r="J81" t="str">
        <f>"证券买入(华夏幸福)"</f>
        <v>证券买入(华夏幸福)</v>
      </c>
      <c r="K81" t="str">
        <f t="shared" si="31"/>
        <v>5.00</v>
      </c>
      <c r="L81" t="str">
        <f>"0.00"</f>
        <v>0.00</v>
      </c>
      <c r="M81" t="str">
        <f>"0.06"</f>
        <v>0.06</v>
      </c>
      <c r="N81" t="str">
        <f t="shared" ref="N81:N89" si="33">"0.00"</f>
        <v>0.00</v>
      </c>
      <c r="O81" t="str">
        <f>"600340"</f>
        <v>600340</v>
      </c>
      <c r="P81" t="str">
        <f>"A400948245"</f>
        <v>A400948245</v>
      </c>
    </row>
    <row r="82" spans="1:16" x14ac:dyDescent="0.25">
      <c r="A82" t="str">
        <f t="shared" si="29"/>
        <v>人民币</v>
      </c>
      <c r="B82" t="str">
        <f>"华夏幸福"</f>
        <v>华夏幸福</v>
      </c>
      <c r="C82" t="str">
        <f>"20180327"</f>
        <v>20180327</v>
      </c>
      <c r="D82" t="str">
        <f>"31.710"</f>
        <v>31.710</v>
      </c>
      <c r="E82" t="str">
        <f>"100.00"</f>
        <v>100.00</v>
      </c>
      <c r="F82" t="str">
        <f>"-3176.06"</f>
        <v>-3176.06</v>
      </c>
      <c r="G82" t="str">
        <f>"6581.92"</f>
        <v>6581.92</v>
      </c>
      <c r="H82" t="str">
        <f>"400.00"</f>
        <v>400.00</v>
      </c>
      <c r="I82" t="str">
        <f>"140"</f>
        <v>140</v>
      </c>
      <c r="J82" t="str">
        <f>"证券买入(华夏幸福)"</f>
        <v>证券买入(华夏幸福)</v>
      </c>
      <c r="K82" t="str">
        <f t="shared" si="31"/>
        <v>5.00</v>
      </c>
      <c r="L82" t="str">
        <f>"0.00"</f>
        <v>0.00</v>
      </c>
      <c r="M82" t="str">
        <f>"0.06"</f>
        <v>0.06</v>
      </c>
      <c r="N82" t="str">
        <f t="shared" si="33"/>
        <v>0.00</v>
      </c>
      <c r="O82" t="str">
        <f>"600340"</f>
        <v>600340</v>
      </c>
      <c r="P82" t="str">
        <f>"A400948245"</f>
        <v>A400948245</v>
      </c>
    </row>
    <row r="83" spans="1:16" x14ac:dyDescent="0.25">
      <c r="A83" t="str">
        <f t="shared" si="29"/>
        <v>人民币</v>
      </c>
      <c r="B83" t="str">
        <f>"中电鑫龙"</f>
        <v>中电鑫龙</v>
      </c>
      <c r="C83" t="str">
        <f>"20180327"</f>
        <v>20180327</v>
      </c>
      <c r="D83" t="str">
        <f>"8.310"</f>
        <v>8.310</v>
      </c>
      <c r="E83" t="str">
        <f>"-600.00"</f>
        <v>-600.00</v>
      </c>
      <c r="F83" t="str">
        <f>"4976.02"</f>
        <v>4976.02</v>
      </c>
      <c r="G83" t="str">
        <f>"11557.94"</f>
        <v>11557.94</v>
      </c>
      <c r="H83" t="str">
        <f>"0.00"</f>
        <v>0.00</v>
      </c>
      <c r="I83" t="str">
        <f>"124"</f>
        <v>124</v>
      </c>
      <c r="J83" t="str">
        <f>"证券卖出(中电鑫龙)"</f>
        <v>证券卖出(中电鑫龙)</v>
      </c>
      <c r="K83" t="str">
        <f t="shared" si="31"/>
        <v>5.00</v>
      </c>
      <c r="L83" t="str">
        <f>"4.98"</f>
        <v>4.98</v>
      </c>
      <c r="M83" t="str">
        <f>"0.00"</f>
        <v>0.00</v>
      </c>
      <c r="N83" t="str">
        <f t="shared" si="33"/>
        <v>0.00</v>
      </c>
      <c r="O83" t="str">
        <f>"002298"</f>
        <v>002298</v>
      </c>
      <c r="P83" t="str">
        <f>"0153613480"</f>
        <v>0153613480</v>
      </c>
    </row>
    <row r="84" spans="1:16" x14ac:dyDescent="0.25">
      <c r="A84" t="str">
        <f t="shared" si="29"/>
        <v>人民币</v>
      </c>
      <c r="B84" t="str">
        <f>"华夏幸福"</f>
        <v>华夏幸福</v>
      </c>
      <c r="C84" t="str">
        <f t="shared" ref="C84:C89" si="34">"20180328"</f>
        <v>20180328</v>
      </c>
      <c r="D84" t="str">
        <f>"31.970"</f>
        <v>31.970</v>
      </c>
      <c r="E84" t="str">
        <f>"-200.00"</f>
        <v>-200.00</v>
      </c>
      <c r="F84" t="str">
        <f>"6382.48"</f>
        <v>6382.48</v>
      </c>
      <c r="G84" t="str">
        <f>"17940.42"</f>
        <v>17940.42</v>
      </c>
      <c r="H84" t="str">
        <f>"200.00"</f>
        <v>200.00</v>
      </c>
      <c r="I84" t="str">
        <f>"151"</f>
        <v>151</v>
      </c>
      <c r="J84" t="str">
        <f>"证券卖出(华夏幸福)"</f>
        <v>证券卖出(华夏幸福)</v>
      </c>
      <c r="K84" t="str">
        <f t="shared" si="31"/>
        <v>5.00</v>
      </c>
      <c r="L84" t="str">
        <f>"6.39"</f>
        <v>6.39</v>
      </c>
      <c r="M84" t="str">
        <f>"0.13"</f>
        <v>0.13</v>
      </c>
      <c r="N84" t="str">
        <f t="shared" si="33"/>
        <v>0.00</v>
      </c>
      <c r="O84" t="str">
        <f>"600340"</f>
        <v>600340</v>
      </c>
      <c r="P84" t="str">
        <f>"A400948245"</f>
        <v>A400948245</v>
      </c>
    </row>
    <row r="85" spans="1:16" x14ac:dyDescent="0.25">
      <c r="A85" t="str">
        <f t="shared" si="29"/>
        <v>人民币</v>
      </c>
      <c r="B85" t="str">
        <f>"华夏幸福"</f>
        <v>华夏幸福</v>
      </c>
      <c r="C85" t="str">
        <f t="shared" si="34"/>
        <v>20180328</v>
      </c>
      <c r="D85" t="str">
        <f>"31.900"</f>
        <v>31.900</v>
      </c>
      <c r="E85" t="str">
        <f>"-200.00"</f>
        <v>-200.00</v>
      </c>
      <c r="F85" t="str">
        <f>"6368.49"</f>
        <v>6368.49</v>
      </c>
      <c r="G85" t="str">
        <f>"24308.91"</f>
        <v>24308.91</v>
      </c>
      <c r="H85" t="str">
        <f>"0.00"</f>
        <v>0.00</v>
      </c>
      <c r="I85" t="str">
        <f>"158"</f>
        <v>158</v>
      </c>
      <c r="J85" t="str">
        <f>"证券卖出(华夏幸福)"</f>
        <v>证券卖出(华夏幸福)</v>
      </c>
      <c r="K85" t="str">
        <f t="shared" si="31"/>
        <v>5.00</v>
      </c>
      <c r="L85" t="str">
        <f>"6.38"</f>
        <v>6.38</v>
      </c>
      <c r="M85" t="str">
        <f>"0.13"</f>
        <v>0.13</v>
      </c>
      <c r="N85" t="str">
        <f t="shared" si="33"/>
        <v>0.00</v>
      </c>
      <c r="O85" t="str">
        <f>"600340"</f>
        <v>600340</v>
      </c>
      <c r="P85" t="str">
        <f>"A400948245"</f>
        <v>A400948245</v>
      </c>
    </row>
    <row r="86" spans="1:16" x14ac:dyDescent="0.25">
      <c r="A86" t="str">
        <f t="shared" si="29"/>
        <v>人民币</v>
      </c>
      <c r="B86" t="str">
        <f>"华森制药"</f>
        <v>华森制药</v>
      </c>
      <c r="C86" t="str">
        <f t="shared" si="34"/>
        <v>20180328</v>
      </c>
      <c r="D86" t="str">
        <f>"38.970"</f>
        <v>38.970</v>
      </c>
      <c r="E86" t="str">
        <f>"200.00"</f>
        <v>200.00</v>
      </c>
      <c r="F86" t="str">
        <f>"-7799.00"</f>
        <v>-7799.00</v>
      </c>
      <c r="G86" t="str">
        <f>"16509.91"</f>
        <v>16509.91</v>
      </c>
      <c r="H86" t="str">
        <f>"200.00"</f>
        <v>200.00</v>
      </c>
      <c r="I86" t="str">
        <f>"147"</f>
        <v>147</v>
      </c>
      <c r="J86" t="str">
        <f>"证券买入(华森制药)"</f>
        <v>证券买入(华森制药)</v>
      </c>
      <c r="K86" t="str">
        <f t="shared" si="31"/>
        <v>5.00</v>
      </c>
      <c r="L86" t="str">
        <f t="shared" ref="L86:M89" si="35">"0.00"</f>
        <v>0.00</v>
      </c>
      <c r="M86" t="str">
        <f t="shared" si="35"/>
        <v>0.00</v>
      </c>
      <c r="N86" t="str">
        <f t="shared" si="33"/>
        <v>0.00</v>
      </c>
      <c r="O86" t="str">
        <f>"002907"</f>
        <v>002907</v>
      </c>
      <c r="P86" t="str">
        <f>"0153613480"</f>
        <v>0153613480</v>
      </c>
    </row>
    <row r="87" spans="1:16" x14ac:dyDescent="0.25">
      <c r="A87" t="str">
        <f t="shared" si="29"/>
        <v>人民币</v>
      </c>
      <c r="B87" t="str">
        <f>"科蓝软件"</f>
        <v>科蓝软件</v>
      </c>
      <c r="C87" t="str">
        <f t="shared" si="34"/>
        <v>20180328</v>
      </c>
      <c r="D87" t="str">
        <f>"29.380"</f>
        <v>29.380</v>
      </c>
      <c r="E87" t="str">
        <f>"200.00"</f>
        <v>200.00</v>
      </c>
      <c r="F87" t="str">
        <f>"-5881.00"</f>
        <v>-5881.00</v>
      </c>
      <c r="G87" t="str">
        <f>"10628.91"</f>
        <v>10628.91</v>
      </c>
      <c r="H87" t="str">
        <f>"200.00"</f>
        <v>200.00</v>
      </c>
      <c r="I87" t="str">
        <f>"154"</f>
        <v>154</v>
      </c>
      <c r="J87" t="str">
        <f>"证券买入(科蓝软件)"</f>
        <v>证券买入(科蓝软件)</v>
      </c>
      <c r="K87" t="str">
        <f t="shared" si="31"/>
        <v>5.00</v>
      </c>
      <c r="L87" t="str">
        <f t="shared" si="35"/>
        <v>0.00</v>
      </c>
      <c r="M87" t="str">
        <f t="shared" si="35"/>
        <v>0.00</v>
      </c>
      <c r="N87" t="str">
        <f t="shared" si="33"/>
        <v>0.00</v>
      </c>
      <c r="O87" t="str">
        <f>"300663"</f>
        <v>300663</v>
      </c>
      <c r="P87" t="str">
        <f>"0153613480"</f>
        <v>0153613480</v>
      </c>
    </row>
    <row r="88" spans="1:16" x14ac:dyDescent="0.25">
      <c r="A88" t="str">
        <f t="shared" si="29"/>
        <v>人民币</v>
      </c>
      <c r="B88" t="str">
        <f>"科蓝软件"</f>
        <v>科蓝软件</v>
      </c>
      <c r="C88" t="str">
        <f t="shared" si="34"/>
        <v>20180328</v>
      </c>
      <c r="D88" t="str">
        <f>"29.580"</f>
        <v>29.580</v>
      </c>
      <c r="E88" t="str">
        <f>"100.00"</f>
        <v>100.00</v>
      </c>
      <c r="F88" t="str">
        <f>"-2963.00"</f>
        <v>-2963.00</v>
      </c>
      <c r="G88" t="str">
        <f>"7665.91"</f>
        <v>7665.91</v>
      </c>
      <c r="H88" t="str">
        <f>"300.00"</f>
        <v>300.00</v>
      </c>
      <c r="I88" t="str">
        <f>"161"</f>
        <v>161</v>
      </c>
      <c r="J88" t="str">
        <f>"证券买入(科蓝软件)"</f>
        <v>证券买入(科蓝软件)</v>
      </c>
      <c r="K88" t="str">
        <f t="shared" si="31"/>
        <v>5.00</v>
      </c>
      <c r="L88" t="str">
        <f t="shared" si="35"/>
        <v>0.00</v>
      </c>
      <c r="M88" t="str">
        <f t="shared" si="35"/>
        <v>0.00</v>
      </c>
      <c r="N88" t="str">
        <f t="shared" si="33"/>
        <v>0.00</v>
      </c>
      <c r="O88" t="str">
        <f>"300663"</f>
        <v>300663</v>
      </c>
      <c r="P88" t="str">
        <f>"0153613480"</f>
        <v>0153613480</v>
      </c>
    </row>
    <row r="89" spans="1:16" x14ac:dyDescent="0.25">
      <c r="A89" t="str">
        <f t="shared" si="29"/>
        <v>人民币</v>
      </c>
      <c r="B89" t="str">
        <f>"华森制药"</f>
        <v>华森制药</v>
      </c>
      <c r="C89" t="str">
        <f t="shared" si="34"/>
        <v>20180328</v>
      </c>
      <c r="D89" t="str">
        <f>"38.960"</f>
        <v>38.960</v>
      </c>
      <c r="E89" t="str">
        <f>"100.00"</f>
        <v>100.00</v>
      </c>
      <c r="F89" t="str">
        <f>"-3901.00"</f>
        <v>-3901.00</v>
      </c>
      <c r="G89" t="str">
        <f>"3764.91"</f>
        <v>3764.91</v>
      </c>
      <c r="H89" t="str">
        <f>"300.00"</f>
        <v>300.00</v>
      </c>
      <c r="I89" t="str">
        <f>"164"</f>
        <v>164</v>
      </c>
      <c r="J89" t="str">
        <f>"证券买入(华森制药)"</f>
        <v>证券买入(华森制药)</v>
      </c>
      <c r="K89" t="str">
        <f t="shared" si="31"/>
        <v>5.00</v>
      </c>
      <c r="L89" t="str">
        <f t="shared" si="35"/>
        <v>0.00</v>
      </c>
      <c r="M89" t="str">
        <f t="shared" si="35"/>
        <v>0.00</v>
      </c>
      <c r="N89" t="str">
        <f t="shared" si="33"/>
        <v>0.00</v>
      </c>
      <c r="O89" t="str">
        <f>"002907"</f>
        <v>002907</v>
      </c>
      <c r="P89" t="str">
        <f>"0153613480"</f>
        <v>0153613480</v>
      </c>
    </row>
    <row r="90" spans="1:16" x14ac:dyDescent="0.25">
      <c r="A90" t="str">
        <f t="shared" si="29"/>
        <v>人民币</v>
      </c>
      <c r="B90" t="str">
        <f>" "</f>
        <v xml:space="preserve"> </v>
      </c>
      <c r="C90" t="str">
        <f>"20180329"</f>
        <v>20180329</v>
      </c>
      <c r="D90" t="str">
        <f>"---"</f>
        <v>---</v>
      </c>
      <c r="E90" t="str">
        <f>"---"</f>
        <v>---</v>
      </c>
      <c r="F90" t="str">
        <f>"1000.00"</f>
        <v>1000.00</v>
      </c>
      <c r="G90" t="str">
        <f>"4764.91"</f>
        <v>4764.91</v>
      </c>
      <c r="H90" t="str">
        <f>"---"</f>
        <v>---</v>
      </c>
      <c r="I90" t="str">
        <f>"---"</f>
        <v>---</v>
      </c>
      <c r="J90" t="str">
        <f>"银行转存"</f>
        <v>银行转存</v>
      </c>
      <c r="K90" t="str">
        <f t="shared" ref="K90:P90" si="36">"---"</f>
        <v>---</v>
      </c>
      <c r="L90" t="str">
        <f t="shared" si="36"/>
        <v>---</v>
      </c>
      <c r="M90" t="str">
        <f t="shared" si="36"/>
        <v>---</v>
      </c>
      <c r="N90" t="str">
        <f t="shared" si="36"/>
        <v>---</v>
      </c>
      <c r="O90" t="str">
        <f t="shared" si="36"/>
        <v>---</v>
      </c>
      <c r="P90" t="str">
        <f t="shared" si="36"/>
        <v>---</v>
      </c>
    </row>
    <row r="91" spans="1:16" x14ac:dyDescent="0.25">
      <c r="A91" t="str">
        <f t="shared" si="29"/>
        <v>人民币</v>
      </c>
      <c r="B91" t="str">
        <f>"华森制药"</f>
        <v>华森制药</v>
      </c>
      <c r="C91" t="str">
        <f>"20180329"</f>
        <v>20180329</v>
      </c>
      <c r="D91" t="str">
        <f>"37.630"</f>
        <v>37.630</v>
      </c>
      <c r="E91" t="str">
        <f>"100.00"</f>
        <v>100.00</v>
      </c>
      <c r="F91" t="str">
        <f>"-3768.00"</f>
        <v>-3768.00</v>
      </c>
      <c r="G91" t="str">
        <f>"996.91"</f>
        <v>996.91</v>
      </c>
      <c r="H91" t="str">
        <f>"400.00"</f>
        <v>400.00</v>
      </c>
      <c r="I91" t="str">
        <f>"174"</f>
        <v>174</v>
      </c>
      <c r="J91" t="str">
        <f>"证券买入(华森制药)"</f>
        <v>证券买入(华森制药)</v>
      </c>
      <c r="K91" t="str">
        <f>"5.00"</f>
        <v>5.00</v>
      </c>
      <c r="L91" t="str">
        <f>"0.00"</f>
        <v>0.00</v>
      </c>
      <c r="M91" t="str">
        <f>"0.00"</f>
        <v>0.00</v>
      </c>
      <c r="N91" t="str">
        <f>"0.00"</f>
        <v>0.00</v>
      </c>
      <c r="O91" t="str">
        <f>"002907"</f>
        <v>002907</v>
      </c>
      <c r="P91" t="str">
        <f>"0153613480"</f>
        <v>0153613480</v>
      </c>
    </row>
    <row r="92" spans="1:16" x14ac:dyDescent="0.25">
      <c r="A92" t="str">
        <f t="shared" si="29"/>
        <v>人民币</v>
      </c>
      <c r="B92" t="str">
        <f>"科蓝软件"</f>
        <v>科蓝软件</v>
      </c>
      <c r="C92" t="str">
        <f>"20180330"</f>
        <v>20180330</v>
      </c>
      <c r="D92" t="str">
        <f>"30.880"</f>
        <v>30.880</v>
      </c>
      <c r="E92" t="str">
        <f>"-200.00"</f>
        <v>-200.00</v>
      </c>
      <c r="F92" t="str">
        <f>"6164.82"</f>
        <v>6164.82</v>
      </c>
      <c r="G92" t="str">
        <f>"7161.73"</f>
        <v>7161.73</v>
      </c>
      <c r="H92" t="str">
        <f>"100.00"</f>
        <v>100.00</v>
      </c>
      <c r="I92" t="str">
        <f>"178"</f>
        <v>178</v>
      </c>
      <c r="J92" t="str">
        <f>"证券卖出(科蓝软件)"</f>
        <v>证券卖出(科蓝软件)</v>
      </c>
      <c r="K92" t="str">
        <f>"5.00"</f>
        <v>5.00</v>
      </c>
      <c r="L92" t="str">
        <f>"6.18"</f>
        <v>6.18</v>
      </c>
      <c r="M92" t="str">
        <f>"0.00"</f>
        <v>0.00</v>
      </c>
      <c r="N92" t="str">
        <f>"0.00"</f>
        <v>0.00</v>
      </c>
      <c r="O92" t="str">
        <f>"300663"</f>
        <v>300663</v>
      </c>
      <c r="P92" t="str">
        <f>"0153613480"</f>
        <v>0153613480</v>
      </c>
    </row>
    <row r="93" spans="1:16" x14ac:dyDescent="0.25">
      <c r="A93" t="str">
        <f t="shared" si="29"/>
        <v>人民币</v>
      </c>
      <c r="B93" t="str">
        <f>"科蓝软件"</f>
        <v>科蓝软件</v>
      </c>
      <c r="C93" t="str">
        <f>"20180330"</f>
        <v>20180330</v>
      </c>
      <c r="D93" t="str">
        <f>"30.950"</f>
        <v>30.950</v>
      </c>
      <c r="E93" t="str">
        <f>"-100.00"</f>
        <v>-100.00</v>
      </c>
      <c r="F93" t="str">
        <f>"3086.90"</f>
        <v>3086.90</v>
      </c>
      <c r="G93" t="str">
        <f>"10248.63"</f>
        <v>10248.63</v>
      </c>
      <c r="H93" t="str">
        <f>"0.00"</f>
        <v>0.00</v>
      </c>
      <c r="I93" t="str">
        <f>"181"</f>
        <v>181</v>
      </c>
      <c r="J93" t="str">
        <f>"证券卖出(科蓝软件)"</f>
        <v>证券卖出(科蓝软件)</v>
      </c>
      <c r="K93" t="str">
        <f>"5.00"</f>
        <v>5.00</v>
      </c>
      <c r="L93" t="str">
        <f>"3.10"</f>
        <v>3.10</v>
      </c>
      <c r="M93" t="str">
        <f>"0.00"</f>
        <v>0.00</v>
      </c>
      <c r="N93" t="str">
        <f>"0.00"</f>
        <v>0.00</v>
      </c>
      <c r="O93" t="str">
        <f>"300663"</f>
        <v>300663</v>
      </c>
      <c r="P93" t="str">
        <f>"0153613480"</f>
        <v>0153613480</v>
      </c>
    </row>
    <row r="94" spans="1:16" x14ac:dyDescent="0.25">
      <c r="A94" t="str">
        <f t="shared" si="29"/>
        <v>人民币</v>
      </c>
      <c r="B94" t="str">
        <f>" "</f>
        <v xml:space="preserve"> </v>
      </c>
      <c r="C94" t="str">
        <f>"20180402"</f>
        <v>20180402</v>
      </c>
      <c r="D94" t="str">
        <f>"---"</f>
        <v>---</v>
      </c>
      <c r="E94" t="str">
        <f>"---"</f>
        <v>---</v>
      </c>
      <c r="F94" t="str">
        <f>"20000.00"</f>
        <v>20000.00</v>
      </c>
      <c r="G94" t="str">
        <f>"30248.63"</f>
        <v>30248.63</v>
      </c>
      <c r="H94" t="str">
        <f>"---"</f>
        <v>---</v>
      </c>
      <c r="I94" t="str">
        <f>"---"</f>
        <v>---</v>
      </c>
      <c r="J94" t="str">
        <f>"银行转存"</f>
        <v>银行转存</v>
      </c>
      <c r="K94" t="str">
        <f t="shared" ref="K94:P94" si="37">"---"</f>
        <v>---</v>
      </c>
      <c r="L94" t="str">
        <f t="shared" si="37"/>
        <v>---</v>
      </c>
      <c r="M94" t="str">
        <f t="shared" si="37"/>
        <v>---</v>
      </c>
      <c r="N94" t="str">
        <f t="shared" si="37"/>
        <v>---</v>
      </c>
      <c r="O94" t="str">
        <f t="shared" si="37"/>
        <v>---</v>
      </c>
      <c r="P94" t="str">
        <f t="shared" si="37"/>
        <v>---</v>
      </c>
    </row>
    <row r="95" spans="1:16" x14ac:dyDescent="0.25">
      <c r="A95" t="str">
        <f t="shared" si="29"/>
        <v>人民币</v>
      </c>
      <c r="B95" t="str">
        <f>"安达维尔"</f>
        <v>安达维尔</v>
      </c>
      <c r="C95" t="str">
        <f>"20180402"</f>
        <v>20180402</v>
      </c>
      <c r="D95" t="str">
        <f>"28.750"</f>
        <v>28.750</v>
      </c>
      <c r="E95" t="str">
        <f>"200.00"</f>
        <v>200.00</v>
      </c>
      <c r="F95" t="str">
        <f>"-5755.00"</f>
        <v>-5755.00</v>
      </c>
      <c r="G95" t="str">
        <f>"24493.63"</f>
        <v>24493.63</v>
      </c>
      <c r="H95" t="str">
        <f>"200.00"</f>
        <v>200.00</v>
      </c>
      <c r="I95" t="str">
        <f>"187"</f>
        <v>187</v>
      </c>
      <c r="J95" t="str">
        <f>"证券买入(安达维尔)"</f>
        <v>证券买入(安达维尔)</v>
      </c>
      <c r="K95" t="str">
        <f t="shared" ref="K95:K111" si="38">"5.00"</f>
        <v>5.00</v>
      </c>
      <c r="L95" t="str">
        <f t="shared" ref="L95:N110" si="39">"0.00"</f>
        <v>0.00</v>
      </c>
      <c r="M95" t="str">
        <f t="shared" si="39"/>
        <v>0.00</v>
      </c>
      <c r="N95" t="str">
        <f t="shared" si="39"/>
        <v>0.00</v>
      </c>
      <c r="O95" t="str">
        <f>"300719"</f>
        <v>300719</v>
      </c>
      <c r="P95" t="str">
        <f>"0153613480"</f>
        <v>0153613480</v>
      </c>
    </row>
    <row r="96" spans="1:16" x14ac:dyDescent="0.25">
      <c r="A96" t="str">
        <f t="shared" si="29"/>
        <v>人民币</v>
      </c>
      <c r="B96" t="str">
        <f>"华森制药"</f>
        <v>华森制药</v>
      </c>
      <c r="C96" t="str">
        <f>"20180402"</f>
        <v>20180402</v>
      </c>
      <c r="D96" t="str">
        <f>"37.950"</f>
        <v>37.950</v>
      </c>
      <c r="E96" t="str">
        <f>"100.00"</f>
        <v>100.00</v>
      </c>
      <c r="F96" t="str">
        <f>"-3800.00"</f>
        <v>-3800.00</v>
      </c>
      <c r="G96" t="str">
        <f>"20693.63"</f>
        <v>20693.63</v>
      </c>
      <c r="H96" t="str">
        <f>"500.00"</f>
        <v>500.00</v>
      </c>
      <c r="I96" t="str">
        <f>"196"</f>
        <v>196</v>
      </c>
      <c r="J96" t="str">
        <f>"证券买入(华森制药)"</f>
        <v>证券买入(华森制药)</v>
      </c>
      <c r="K96" t="str">
        <f t="shared" si="38"/>
        <v>5.00</v>
      </c>
      <c r="L96" t="str">
        <f t="shared" si="39"/>
        <v>0.00</v>
      </c>
      <c r="M96" t="str">
        <f t="shared" si="39"/>
        <v>0.00</v>
      </c>
      <c r="N96" t="str">
        <f t="shared" si="39"/>
        <v>0.00</v>
      </c>
      <c r="O96" t="str">
        <f>"002907"</f>
        <v>002907</v>
      </c>
      <c r="P96" t="str">
        <f>"0153613480"</f>
        <v>0153613480</v>
      </c>
    </row>
    <row r="97" spans="1:16" x14ac:dyDescent="0.25">
      <c r="A97" t="str">
        <f t="shared" si="29"/>
        <v>人民币</v>
      </c>
      <c r="B97" t="str">
        <f>"安达维尔"</f>
        <v>安达维尔</v>
      </c>
      <c r="C97" t="str">
        <f>"20180402"</f>
        <v>20180402</v>
      </c>
      <c r="D97" t="str">
        <f>"28.870"</f>
        <v>28.870</v>
      </c>
      <c r="E97" t="str">
        <f>"100.00"</f>
        <v>100.00</v>
      </c>
      <c r="F97" t="str">
        <f>"-2892.00"</f>
        <v>-2892.00</v>
      </c>
      <c r="G97" t="str">
        <f>"17801.63"</f>
        <v>17801.63</v>
      </c>
      <c r="H97" t="str">
        <f>"300.00"</f>
        <v>300.00</v>
      </c>
      <c r="I97" t="str">
        <f>"199"</f>
        <v>199</v>
      </c>
      <c r="J97" t="str">
        <f>"证券买入(安达维尔)"</f>
        <v>证券买入(安达维尔)</v>
      </c>
      <c r="K97" t="str">
        <f t="shared" si="38"/>
        <v>5.00</v>
      </c>
      <c r="L97" t="str">
        <f t="shared" si="39"/>
        <v>0.00</v>
      </c>
      <c r="M97" t="str">
        <f t="shared" si="39"/>
        <v>0.00</v>
      </c>
      <c r="N97" t="str">
        <f t="shared" si="39"/>
        <v>0.00</v>
      </c>
      <c r="O97" t="str">
        <f>"300719"</f>
        <v>300719</v>
      </c>
      <c r="P97" t="str">
        <f>"0153613480"</f>
        <v>0153613480</v>
      </c>
    </row>
    <row r="98" spans="1:16" x14ac:dyDescent="0.25">
      <c r="A98" t="str">
        <f t="shared" si="29"/>
        <v>人民币</v>
      </c>
      <c r="B98" t="str">
        <f>"中通国脉"</f>
        <v>中通国脉</v>
      </c>
      <c r="C98" t="str">
        <f t="shared" ref="C98:C105" si="40">"20180403"</f>
        <v>20180403</v>
      </c>
      <c r="D98" t="str">
        <f>"35.900"</f>
        <v>35.900</v>
      </c>
      <c r="E98" t="str">
        <f>"100.00"</f>
        <v>100.00</v>
      </c>
      <c r="F98" t="str">
        <f>"-3595.07"</f>
        <v>-3595.07</v>
      </c>
      <c r="G98" t="str">
        <f>"14206.56"</f>
        <v>14206.56</v>
      </c>
      <c r="H98" t="str">
        <f>"100.00"</f>
        <v>100.00</v>
      </c>
      <c r="I98" t="str">
        <f>"236"</f>
        <v>236</v>
      </c>
      <c r="J98" t="str">
        <f>"证券买入(中通国脉)"</f>
        <v>证券买入(中通国脉)</v>
      </c>
      <c r="K98" t="str">
        <f t="shared" si="38"/>
        <v>5.00</v>
      </c>
      <c r="L98" t="str">
        <f>"0.00"</f>
        <v>0.00</v>
      </c>
      <c r="M98" t="str">
        <f>"0.07"</f>
        <v>0.07</v>
      </c>
      <c r="N98" t="str">
        <f t="shared" si="39"/>
        <v>0.00</v>
      </c>
      <c r="O98" t="str">
        <f>"603559"</f>
        <v>603559</v>
      </c>
      <c r="P98" t="str">
        <f>"A400948245"</f>
        <v>A400948245</v>
      </c>
    </row>
    <row r="99" spans="1:16" x14ac:dyDescent="0.25">
      <c r="A99" t="str">
        <f t="shared" si="29"/>
        <v>人民币</v>
      </c>
      <c r="B99" t="str">
        <f>"中通国脉"</f>
        <v>中通国脉</v>
      </c>
      <c r="C99" t="str">
        <f t="shared" si="40"/>
        <v>20180403</v>
      </c>
      <c r="D99" t="str">
        <f>"35.810"</f>
        <v>35.810</v>
      </c>
      <c r="E99" t="str">
        <f>"100.00"</f>
        <v>100.00</v>
      </c>
      <c r="F99" t="str">
        <f>"-3586.07"</f>
        <v>-3586.07</v>
      </c>
      <c r="G99" t="str">
        <f>"10620.49"</f>
        <v>10620.49</v>
      </c>
      <c r="H99" t="str">
        <f>"200.00"</f>
        <v>200.00</v>
      </c>
      <c r="I99" t="str">
        <f>"239"</f>
        <v>239</v>
      </c>
      <c r="J99" t="str">
        <f>"证券买入(中通国脉)"</f>
        <v>证券买入(中通国脉)</v>
      </c>
      <c r="K99" t="str">
        <f t="shared" si="38"/>
        <v>5.00</v>
      </c>
      <c r="L99" t="str">
        <f>"0.00"</f>
        <v>0.00</v>
      </c>
      <c r="M99" t="str">
        <f>"0.07"</f>
        <v>0.07</v>
      </c>
      <c r="N99" t="str">
        <f t="shared" si="39"/>
        <v>0.00</v>
      </c>
      <c r="O99" t="str">
        <f>"603559"</f>
        <v>603559</v>
      </c>
      <c r="P99" t="str">
        <f>"A400948245"</f>
        <v>A400948245</v>
      </c>
    </row>
    <row r="100" spans="1:16" x14ac:dyDescent="0.25">
      <c r="A100" t="str">
        <f t="shared" si="29"/>
        <v>人民币</v>
      </c>
      <c r="B100" t="str">
        <f>"安达维尔"</f>
        <v>安达维尔</v>
      </c>
      <c r="C100" t="str">
        <f t="shared" si="40"/>
        <v>20180403</v>
      </c>
      <c r="D100" t="str">
        <f>"28.060"</f>
        <v>28.060</v>
      </c>
      <c r="E100" t="str">
        <f>"100.00"</f>
        <v>100.00</v>
      </c>
      <c r="F100" t="str">
        <f>"-2811.00"</f>
        <v>-2811.00</v>
      </c>
      <c r="G100" t="str">
        <f>"7809.49"</f>
        <v>7809.49</v>
      </c>
      <c r="H100" t="str">
        <f>"400.00"</f>
        <v>400.00</v>
      </c>
      <c r="I100" t="str">
        <f>"209"</f>
        <v>209</v>
      </c>
      <c r="J100" t="str">
        <f>"证券买入(安达维尔)"</f>
        <v>证券买入(安达维尔)</v>
      </c>
      <c r="K100" t="str">
        <f t="shared" si="38"/>
        <v>5.00</v>
      </c>
      <c r="L100" t="str">
        <f>"0.00"</f>
        <v>0.00</v>
      </c>
      <c r="M100" t="str">
        <f t="shared" ref="M100:M105" si="41">"0.00"</f>
        <v>0.00</v>
      </c>
      <c r="N100" t="str">
        <f t="shared" si="39"/>
        <v>0.00</v>
      </c>
      <c r="O100" t="str">
        <f>"300719"</f>
        <v>300719</v>
      </c>
      <c r="P100" t="str">
        <f t="shared" ref="P100:P105" si="42">"0153613480"</f>
        <v>0153613480</v>
      </c>
    </row>
    <row r="101" spans="1:16" x14ac:dyDescent="0.25">
      <c r="A101" t="str">
        <f t="shared" si="29"/>
        <v>人民币</v>
      </c>
      <c r="B101" t="str">
        <f>"科蓝软件"</f>
        <v>科蓝软件</v>
      </c>
      <c r="C101" t="str">
        <f t="shared" si="40"/>
        <v>20180403</v>
      </c>
      <c r="D101" t="str">
        <f>"29.500"</f>
        <v>29.500</v>
      </c>
      <c r="E101" t="str">
        <f>"200.00"</f>
        <v>200.00</v>
      </c>
      <c r="F101" t="str">
        <f>"-5905.00"</f>
        <v>-5905.00</v>
      </c>
      <c r="G101" t="str">
        <f>"1904.49"</f>
        <v>1904.49</v>
      </c>
      <c r="H101" t="str">
        <f>"200.00"</f>
        <v>200.00</v>
      </c>
      <c r="I101" t="str">
        <f>"229"</f>
        <v>229</v>
      </c>
      <c r="J101" t="str">
        <f>"证券买入(科蓝软件)"</f>
        <v>证券买入(科蓝软件)</v>
      </c>
      <c r="K101" t="str">
        <f t="shared" si="38"/>
        <v>5.00</v>
      </c>
      <c r="L101" t="str">
        <f>"0.00"</f>
        <v>0.00</v>
      </c>
      <c r="M101" t="str">
        <f t="shared" si="41"/>
        <v>0.00</v>
      </c>
      <c r="N101" t="str">
        <f t="shared" si="39"/>
        <v>0.00</v>
      </c>
      <c r="O101" t="str">
        <f>"300663"</f>
        <v>300663</v>
      </c>
      <c r="P101" t="str">
        <f t="shared" si="42"/>
        <v>0153613480</v>
      </c>
    </row>
    <row r="102" spans="1:16" x14ac:dyDescent="0.25">
      <c r="A102" t="str">
        <f t="shared" si="29"/>
        <v>人民币</v>
      </c>
      <c r="B102" t="str">
        <f>"华森制药"</f>
        <v>华森制药</v>
      </c>
      <c r="C102" t="str">
        <f t="shared" si="40"/>
        <v>20180403</v>
      </c>
      <c r="D102" t="str">
        <f>"36.480"</f>
        <v>36.480</v>
      </c>
      <c r="E102" t="str">
        <f>"100.00"</f>
        <v>100.00</v>
      </c>
      <c r="F102" t="str">
        <f>"-3653.00"</f>
        <v>-3653.00</v>
      </c>
      <c r="G102" t="str">
        <f>"-1748.51"</f>
        <v>-1748.51</v>
      </c>
      <c r="H102" t="str">
        <f>"600.00"</f>
        <v>600.00</v>
      </c>
      <c r="I102" t="str">
        <f>"205"</f>
        <v>205</v>
      </c>
      <c r="J102" t="str">
        <f>"证券买入(华森制药)"</f>
        <v>证券买入(华森制药)</v>
      </c>
      <c r="K102" t="str">
        <f t="shared" si="38"/>
        <v>5.00</v>
      </c>
      <c r="L102" t="str">
        <f>"0.00"</f>
        <v>0.00</v>
      </c>
      <c r="M102" t="str">
        <f t="shared" si="41"/>
        <v>0.00</v>
      </c>
      <c r="N102" t="str">
        <f t="shared" si="39"/>
        <v>0.00</v>
      </c>
      <c r="O102" t="str">
        <f>"002907"</f>
        <v>002907</v>
      </c>
      <c r="P102" t="str">
        <f t="shared" si="42"/>
        <v>0153613480</v>
      </c>
    </row>
    <row r="103" spans="1:16" x14ac:dyDescent="0.25">
      <c r="A103" t="str">
        <f t="shared" si="29"/>
        <v>人民币</v>
      </c>
      <c r="B103" t="str">
        <f>"华森制药"</f>
        <v>华森制药</v>
      </c>
      <c r="C103" t="str">
        <f t="shared" si="40"/>
        <v>20180403</v>
      </c>
      <c r="D103" t="str">
        <f>"38.980"</f>
        <v>38.980</v>
      </c>
      <c r="E103" t="str">
        <f>"-300.00"</f>
        <v>-300.00</v>
      </c>
      <c r="F103" t="str">
        <f>"11677.31"</f>
        <v>11677.31</v>
      </c>
      <c r="G103" t="str">
        <f>"9928.80"</f>
        <v>9928.80</v>
      </c>
      <c r="H103" t="str">
        <f>"300.00"</f>
        <v>300.00</v>
      </c>
      <c r="I103" t="str">
        <f>"212"</f>
        <v>212</v>
      </c>
      <c r="J103" t="str">
        <f>"证券卖出(华森制药)"</f>
        <v>证券卖出(华森制药)</v>
      </c>
      <c r="K103" t="str">
        <f t="shared" si="38"/>
        <v>5.00</v>
      </c>
      <c r="L103" t="str">
        <f>"11.69"</f>
        <v>11.69</v>
      </c>
      <c r="M103" t="str">
        <f t="shared" si="41"/>
        <v>0.00</v>
      </c>
      <c r="N103" t="str">
        <f t="shared" si="39"/>
        <v>0.00</v>
      </c>
      <c r="O103" t="str">
        <f>"002907"</f>
        <v>002907</v>
      </c>
      <c r="P103" t="str">
        <f t="shared" si="42"/>
        <v>0153613480</v>
      </c>
    </row>
    <row r="104" spans="1:16" x14ac:dyDescent="0.25">
      <c r="A104" t="str">
        <f t="shared" si="29"/>
        <v>人民币</v>
      </c>
      <c r="B104" t="str">
        <f>"华森制药"</f>
        <v>华森制药</v>
      </c>
      <c r="C104" t="str">
        <f t="shared" si="40"/>
        <v>20180403</v>
      </c>
      <c r="D104" t="str">
        <f>"40.130"</f>
        <v>40.130</v>
      </c>
      <c r="E104" t="str">
        <f>"-100.00"</f>
        <v>-100.00</v>
      </c>
      <c r="F104" t="str">
        <f>"4003.99"</f>
        <v>4003.99</v>
      </c>
      <c r="G104" t="str">
        <f>"13932.79"</f>
        <v>13932.79</v>
      </c>
      <c r="H104" t="str">
        <f>"200.00"</f>
        <v>200.00</v>
      </c>
      <c r="I104" t="str">
        <f>"221"</f>
        <v>221</v>
      </c>
      <c r="J104" t="str">
        <f>"证券卖出(华森制药)"</f>
        <v>证券卖出(华森制药)</v>
      </c>
      <c r="K104" t="str">
        <f t="shared" si="38"/>
        <v>5.00</v>
      </c>
      <c r="L104" t="str">
        <f>"4.01"</f>
        <v>4.01</v>
      </c>
      <c r="M104" t="str">
        <f t="shared" si="41"/>
        <v>0.00</v>
      </c>
      <c r="N104" t="str">
        <f t="shared" si="39"/>
        <v>0.00</v>
      </c>
      <c r="O104" t="str">
        <f>"002907"</f>
        <v>002907</v>
      </c>
      <c r="P104" t="str">
        <f t="shared" si="42"/>
        <v>0153613480</v>
      </c>
    </row>
    <row r="105" spans="1:16" x14ac:dyDescent="0.25">
      <c r="A105" t="str">
        <f t="shared" si="29"/>
        <v>人民币</v>
      </c>
      <c r="B105" t="str">
        <f>"华森制药"</f>
        <v>华森制药</v>
      </c>
      <c r="C105" t="str">
        <f t="shared" si="40"/>
        <v>20180403</v>
      </c>
      <c r="D105" t="str">
        <f>"40.120"</f>
        <v>40.120</v>
      </c>
      <c r="E105" t="str">
        <f>"-100.00"</f>
        <v>-100.00</v>
      </c>
      <c r="F105" t="str">
        <f>"4002.99"</f>
        <v>4002.99</v>
      </c>
      <c r="G105" t="str">
        <f>"17935.78"</f>
        <v>17935.78</v>
      </c>
      <c r="H105" t="str">
        <f>"100.00"</f>
        <v>100.00</v>
      </c>
      <c r="I105" t="str">
        <f>"224"</f>
        <v>224</v>
      </c>
      <c r="J105" t="str">
        <f>"证券卖出(华森制药)"</f>
        <v>证券卖出(华森制药)</v>
      </c>
      <c r="K105" t="str">
        <f t="shared" si="38"/>
        <v>5.00</v>
      </c>
      <c r="L105" t="str">
        <f>"4.01"</f>
        <v>4.01</v>
      </c>
      <c r="M105" t="str">
        <f t="shared" si="41"/>
        <v>0.00</v>
      </c>
      <c r="N105" t="str">
        <f t="shared" si="39"/>
        <v>0.00</v>
      </c>
      <c r="O105" t="str">
        <f>"002907"</f>
        <v>002907</v>
      </c>
      <c r="P105" t="str">
        <f t="shared" si="42"/>
        <v>0153613480</v>
      </c>
    </row>
    <row r="106" spans="1:16" x14ac:dyDescent="0.25">
      <c r="A106" t="str">
        <f t="shared" si="29"/>
        <v>人民币</v>
      </c>
      <c r="B106" t="str">
        <f>"中通国脉"</f>
        <v>中通国脉</v>
      </c>
      <c r="C106" t="str">
        <f t="shared" ref="C106:C112" si="43">"20180404"</f>
        <v>20180404</v>
      </c>
      <c r="D106" t="str">
        <f>"35.550"</f>
        <v>35.550</v>
      </c>
      <c r="E106" t="str">
        <f>"200.00"</f>
        <v>200.00</v>
      </c>
      <c r="F106" t="str">
        <f>"-7115.14"</f>
        <v>-7115.14</v>
      </c>
      <c r="G106" t="str">
        <f>"10820.64"</f>
        <v>10820.64</v>
      </c>
      <c r="H106" t="str">
        <f>"400.00"</f>
        <v>400.00</v>
      </c>
      <c r="I106" t="str">
        <f>"274"</f>
        <v>274</v>
      </c>
      <c r="J106" t="str">
        <f>"证券买入(中通国脉)"</f>
        <v>证券买入(中通国脉)</v>
      </c>
      <c r="K106" t="str">
        <f t="shared" si="38"/>
        <v>5.00</v>
      </c>
      <c r="L106" t="str">
        <f>"0.00"</f>
        <v>0.00</v>
      </c>
      <c r="M106" t="str">
        <f>"0.14"</f>
        <v>0.14</v>
      </c>
      <c r="N106" t="str">
        <f t="shared" si="39"/>
        <v>0.00</v>
      </c>
      <c r="O106" t="str">
        <f>"603559"</f>
        <v>603559</v>
      </c>
      <c r="P106" t="str">
        <f>"A400948245"</f>
        <v>A400948245</v>
      </c>
    </row>
    <row r="107" spans="1:16" x14ac:dyDescent="0.25">
      <c r="A107" t="str">
        <f t="shared" si="29"/>
        <v>人民币</v>
      </c>
      <c r="B107" t="str">
        <f>"中通国脉"</f>
        <v>中通国脉</v>
      </c>
      <c r="C107" t="str">
        <f t="shared" si="43"/>
        <v>20180404</v>
      </c>
      <c r="D107" t="str">
        <f>"35.050"</f>
        <v>35.050</v>
      </c>
      <c r="E107" t="str">
        <f>"100.00"</f>
        <v>100.00</v>
      </c>
      <c r="F107" t="str">
        <f>"-3510.07"</f>
        <v>-3510.07</v>
      </c>
      <c r="G107" t="str">
        <f>"7310.57"</f>
        <v>7310.57</v>
      </c>
      <c r="H107" t="str">
        <f>"500.00"</f>
        <v>500.00</v>
      </c>
      <c r="I107" t="str">
        <f>"282"</f>
        <v>282</v>
      </c>
      <c r="J107" t="str">
        <f>"证券买入(中通国脉)"</f>
        <v>证券买入(中通国脉)</v>
      </c>
      <c r="K107" t="str">
        <f t="shared" si="38"/>
        <v>5.00</v>
      </c>
      <c r="L107" t="str">
        <f>"0.00"</f>
        <v>0.00</v>
      </c>
      <c r="M107" t="str">
        <f>"0.07"</f>
        <v>0.07</v>
      </c>
      <c r="N107" t="str">
        <f t="shared" si="39"/>
        <v>0.00</v>
      </c>
      <c r="O107" t="str">
        <f>"603559"</f>
        <v>603559</v>
      </c>
      <c r="P107" t="str">
        <f>"A400948245"</f>
        <v>A400948245</v>
      </c>
    </row>
    <row r="108" spans="1:16" x14ac:dyDescent="0.25">
      <c r="A108" t="str">
        <f t="shared" si="29"/>
        <v>人民币</v>
      </c>
      <c r="B108" t="str">
        <f>"安达维尔"</f>
        <v>安达维尔</v>
      </c>
      <c r="C108" t="str">
        <f t="shared" si="43"/>
        <v>20180404</v>
      </c>
      <c r="D108" t="str">
        <f>"30.950"</f>
        <v>30.950</v>
      </c>
      <c r="E108" t="str">
        <f>"-200.00"</f>
        <v>-200.00</v>
      </c>
      <c r="F108" t="str">
        <f>"6178.81"</f>
        <v>6178.81</v>
      </c>
      <c r="G108" t="str">
        <f>"13489.38"</f>
        <v>13489.38</v>
      </c>
      <c r="H108" t="str">
        <f>"200.00"</f>
        <v>200.00</v>
      </c>
      <c r="I108" t="str">
        <f>"268"</f>
        <v>268</v>
      </c>
      <c r="J108" t="str">
        <f>"证券卖出(安达维尔)"</f>
        <v>证券卖出(安达维尔)</v>
      </c>
      <c r="K108" t="str">
        <f t="shared" si="38"/>
        <v>5.00</v>
      </c>
      <c r="L108" t="str">
        <f>"6.19"</f>
        <v>6.19</v>
      </c>
      <c r="M108" t="str">
        <f t="shared" ref="M108:N123" si="44">"0.00"</f>
        <v>0.00</v>
      </c>
      <c r="N108" t="str">
        <f t="shared" si="39"/>
        <v>0.00</v>
      </c>
      <c r="O108" t="str">
        <f>"300719"</f>
        <v>300719</v>
      </c>
      <c r="P108" t="str">
        <f t="shared" ref="P108:P113" si="45">"0153613480"</f>
        <v>0153613480</v>
      </c>
    </row>
    <row r="109" spans="1:16" x14ac:dyDescent="0.25">
      <c r="A109" t="str">
        <f t="shared" si="29"/>
        <v>人民币</v>
      </c>
      <c r="B109" t="str">
        <f>"安达维尔"</f>
        <v>安达维尔</v>
      </c>
      <c r="C109" t="str">
        <f t="shared" si="43"/>
        <v>20180404</v>
      </c>
      <c r="D109" t="str">
        <f>"31.250"</f>
        <v>31.250</v>
      </c>
      <c r="E109" t="str">
        <f>"-200.00"</f>
        <v>-200.00</v>
      </c>
      <c r="F109" t="str">
        <f>"6238.75"</f>
        <v>6238.75</v>
      </c>
      <c r="G109" t="str">
        <f>"19728.13"</f>
        <v>19728.13</v>
      </c>
      <c r="H109" t="str">
        <f>"0.00"</f>
        <v>0.00</v>
      </c>
      <c r="I109" t="str">
        <f>"271"</f>
        <v>271</v>
      </c>
      <c r="J109" t="str">
        <f>"证券卖出(安达维尔)"</f>
        <v>证券卖出(安达维尔)</v>
      </c>
      <c r="K109" t="str">
        <f t="shared" si="38"/>
        <v>5.00</v>
      </c>
      <c r="L109" t="str">
        <f>"6.25"</f>
        <v>6.25</v>
      </c>
      <c r="M109" t="str">
        <f t="shared" si="44"/>
        <v>0.00</v>
      </c>
      <c r="N109" t="str">
        <f t="shared" si="39"/>
        <v>0.00</v>
      </c>
      <c r="O109" t="str">
        <f>"300719"</f>
        <v>300719</v>
      </c>
      <c r="P109" t="str">
        <f t="shared" si="45"/>
        <v>0153613480</v>
      </c>
    </row>
    <row r="110" spans="1:16" x14ac:dyDescent="0.25">
      <c r="A110" t="str">
        <f t="shared" si="29"/>
        <v>人民币</v>
      </c>
      <c r="B110" t="str">
        <f>"科蓝软件"</f>
        <v>科蓝软件</v>
      </c>
      <c r="C110" t="str">
        <f t="shared" si="43"/>
        <v>20180404</v>
      </c>
      <c r="D110" t="str">
        <f>"30.480"</f>
        <v>30.480</v>
      </c>
      <c r="E110" t="str">
        <f>"-200.00"</f>
        <v>-200.00</v>
      </c>
      <c r="F110" t="str">
        <f>"6084.90"</f>
        <v>6084.90</v>
      </c>
      <c r="G110" t="str">
        <f>"25813.03"</f>
        <v>25813.03</v>
      </c>
      <c r="H110" t="str">
        <f>"0.00"</f>
        <v>0.00</v>
      </c>
      <c r="I110" t="str">
        <f>"265"</f>
        <v>265</v>
      </c>
      <c r="J110" t="str">
        <f>"证券卖出(科蓝软件)"</f>
        <v>证券卖出(科蓝软件)</v>
      </c>
      <c r="K110" t="str">
        <f t="shared" si="38"/>
        <v>5.00</v>
      </c>
      <c r="L110" t="str">
        <f>"6.10"</f>
        <v>6.10</v>
      </c>
      <c r="M110" t="str">
        <f t="shared" si="44"/>
        <v>0.00</v>
      </c>
      <c r="N110" t="str">
        <f t="shared" si="39"/>
        <v>0.00</v>
      </c>
      <c r="O110" t="str">
        <f>"300663"</f>
        <v>300663</v>
      </c>
      <c r="P110" t="str">
        <f t="shared" si="45"/>
        <v>0153613480</v>
      </c>
    </row>
    <row r="111" spans="1:16" x14ac:dyDescent="0.25">
      <c r="A111" t="str">
        <f t="shared" si="29"/>
        <v>人民币</v>
      </c>
      <c r="B111" t="str">
        <f>"华森制药"</f>
        <v>华森制药</v>
      </c>
      <c r="C111" t="str">
        <f t="shared" si="43"/>
        <v>20180404</v>
      </c>
      <c r="D111" t="str">
        <f>"42.610"</f>
        <v>42.610</v>
      </c>
      <c r="E111" t="str">
        <f>"-100.00"</f>
        <v>-100.00</v>
      </c>
      <c r="F111" t="str">
        <f>"4251.74"</f>
        <v>4251.74</v>
      </c>
      <c r="G111" t="str">
        <f>"30064.77"</f>
        <v>30064.77</v>
      </c>
      <c r="H111" t="str">
        <f>"0.00"</f>
        <v>0.00</v>
      </c>
      <c r="I111" t="str">
        <f>"256"</f>
        <v>256</v>
      </c>
      <c r="J111" t="str">
        <f>"证券卖出(华森制药)"</f>
        <v>证券卖出(华森制药)</v>
      </c>
      <c r="K111" t="str">
        <f t="shared" si="38"/>
        <v>5.00</v>
      </c>
      <c r="L111" t="str">
        <f>"4.26"</f>
        <v>4.26</v>
      </c>
      <c r="M111" t="str">
        <f t="shared" si="44"/>
        <v>0.00</v>
      </c>
      <c r="N111" t="str">
        <f t="shared" si="44"/>
        <v>0.00</v>
      </c>
      <c r="O111" t="str">
        <f>"002907"</f>
        <v>002907</v>
      </c>
      <c r="P111" t="str">
        <f t="shared" si="45"/>
        <v>0153613480</v>
      </c>
    </row>
    <row r="112" spans="1:16" x14ac:dyDescent="0.25">
      <c r="A112" t="str">
        <f t="shared" si="29"/>
        <v>人民币</v>
      </c>
      <c r="B112" t="str">
        <f>"天地数码"</f>
        <v>天地数码</v>
      </c>
      <c r="C112" t="str">
        <f t="shared" si="43"/>
        <v>20180404</v>
      </c>
      <c r="D112" t="str">
        <f>"0.000"</f>
        <v>0.000</v>
      </c>
      <c r="E112" t="str">
        <f>"2.00"</f>
        <v>2.00</v>
      </c>
      <c r="F112" t="str">
        <f>"0.00"</f>
        <v>0.00</v>
      </c>
      <c r="G112" t="str">
        <f>"30064.77"</f>
        <v>30064.77</v>
      </c>
      <c r="H112" t="str">
        <f>"0.00"</f>
        <v>0.00</v>
      </c>
      <c r="I112" t="str">
        <f>"277"</f>
        <v>277</v>
      </c>
      <c r="J112" t="str">
        <f>"申购配号(天地数码)"</f>
        <v>申购配号(天地数码)</v>
      </c>
      <c r="K112" t="str">
        <f>"0.00"</f>
        <v>0.00</v>
      </c>
      <c r="L112" t="str">
        <f>"0.00"</f>
        <v>0.00</v>
      </c>
      <c r="M112" t="str">
        <f t="shared" si="44"/>
        <v>0.00</v>
      </c>
      <c r="N112" t="str">
        <f t="shared" si="44"/>
        <v>0.00</v>
      </c>
      <c r="O112" t="str">
        <f>"300743"</f>
        <v>300743</v>
      </c>
      <c r="P112" t="str">
        <f t="shared" si="45"/>
        <v>0153613480</v>
      </c>
    </row>
    <row r="113" spans="1:16" x14ac:dyDescent="0.25">
      <c r="A113" t="str">
        <f t="shared" si="29"/>
        <v>人民币</v>
      </c>
      <c r="B113" t="str">
        <f>"安达维尔"</f>
        <v>安达维尔</v>
      </c>
      <c r="C113" t="str">
        <f>"20180409"</f>
        <v>20180409</v>
      </c>
      <c r="D113" t="str">
        <f>"31.330"</f>
        <v>31.330</v>
      </c>
      <c r="E113" t="str">
        <f>"100.00"</f>
        <v>100.00</v>
      </c>
      <c r="F113" t="str">
        <f>"-3138.00"</f>
        <v>-3138.00</v>
      </c>
      <c r="G113" t="str">
        <f>"26926.77"</f>
        <v>26926.77</v>
      </c>
      <c r="H113" t="str">
        <f>"100.00"</f>
        <v>100.00</v>
      </c>
      <c r="I113" t="str">
        <f>"292"</f>
        <v>292</v>
      </c>
      <c r="J113" t="str">
        <f>"证券买入(安达维尔)"</f>
        <v>证券买入(安达维尔)</v>
      </c>
      <c r="K113" t="str">
        <f t="shared" ref="K113:K127" si="46">"5.00"</f>
        <v>5.00</v>
      </c>
      <c r="L113" t="str">
        <f t="shared" ref="L113:L120" si="47">"0.00"</f>
        <v>0.00</v>
      </c>
      <c r="M113" t="str">
        <f t="shared" si="44"/>
        <v>0.00</v>
      </c>
      <c r="N113" t="str">
        <f t="shared" si="44"/>
        <v>0.00</v>
      </c>
      <c r="O113" t="str">
        <f>"300719"</f>
        <v>300719</v>
      </c>
      <c r="P113" t="str">
        <f t="shared" si="45"/>
        <v>0153613480</v>
      </c>
    </row>
    <row r="114" spans="1:16" x14ac:dyDescent="0.25">
      <c r="A114" t="str">
        <f t="shared" si="29"/>
        <v>人民币</v>
      </c>
      <c r="B114" t="str">
        <f>"中通国脉"</f>
        <v>中通国脉</v>
      </c>
      <c r="C114" t="str">
        <f>"20180410"</f>
        <v>20180410</v>
      </c>
      <c r="D114" t="str">
        <f>"32.410"</f>
        <v>32.410</v>
      </c>
      <c r="E114" t="str">
        <f>"200.00"</f>
        <v>200.00</v>
      </c>
      <c r="F114" t="str">
        <f>"-6487.13"</f>
        <v>-6487.13</v>
      </c>
      <c r="G114" t="str">
        <f>"20439.64"</f>
        <v>20439.64</v>
      </c>
      <c r="H114" t="str">
        <f>"700.00"</f>
        <v>700.00</v>
      </c>
      <c r="I114" t="str">
        <f>"310"</f>
        <v>310</v>
      </c>
      <c r="J114" t="str">
        <f>"证券买入(中通国脉)"</f>
        <v>证券买入(中通国脉)</v>
      </c>
      <c r="K114" t="str">
        <f t="shared" si="46"/>
        <v>5.00</v>
      </c>
      <c r="L114" t="str">
        <f t="shared" si="47"/>
        <v>0.00</v>
      </c>
      <c r="M114" t="str">
        <f>"0.13"</f>
        <v>0.13</v>
      </c>
      <c r="N114" t="str">
        <f t="shared" si="44"/>
        <v>0.00</v>
      </c>
      <c r="O114" t="str">
        <f>"603559"</f>
        <v>603559</v>
      </c>
      <c r="P114" t="str">
        <f>"A400948245"</f>
        <v>A400948245</v>
      </c>
    </row>
    <row r="115" spans="1:16" x14ac:dyDescent="0.25">
      <c r="A115" t="str">
        <f t="shared" si="29"/>
        <v>人民币</v>
      </c>
      <c r="B115" t="str">
        <f>"安达维尔"</f>
        <v>安达维尔</v>
      </c>
      <c r="C115" t="str">
        <f>"20180410"</f>
        <v>20180410</v>
      </c>
      <c r="D115" t="str">
        <f>"29.500"</f>
        <v>29.500</v>
      </c>
      <c r="E115" t="str">
        <f t="shared" ref="E115:E120" si="48">"100.00"</f>
        <v>100.00</v>
      </c>
      <c r="F115" t="str">
        <f>"-2955.00"</f>
        <v>-2955.00</v>
      </c>
      <c r="G115" t="str">
        <f>"17484.64"</f>
        <v>17484.64</v>
      </c>
      <c r="H115" t="str">
        <f>"200.00"</f>
        <v>200.00</v>
      </c>
      <c r="I115" t="str">
        <f>"300"</f>
        <v>300</v>
      </c>
      <c r="J115" t="str">
        <f>"证券买入(安达维尔)"</f>
        <v>证券买入(安达维尔)</v>
      </c>
      <c r="K115" t="str">
        <f t="shared" si="46"/>
        <v>5.00</v>
      </c>
      <c r="L115" t="str">
        <f t="shared" si="47"/>
        <v>0.00</v>
      </c>
      <c r="M115" t="str">
        <f>"0.00"</f>
        <v>0.00</v>
      </c>
      <c r="N115" t="str">
        <f t="shared" si="44"/>
        <v>0.00</v>
      </c>
      <c r="O115" t="str">
        <f>"300719"</f>
        <v>300719</v>
      </c>
      <c r="P115" t="str">
        <f>"0153613480"</f>
        <v>0153613480</v>
      </c>
    </row>
    <row r="116" spans="1:16" x14ac:dyDescent="0.25">
      <c r="A116" t="str">
        <f t="shared" si="29"/>
        <v>人民币</v>
      </c>
      <c r="B116" t="str">
        <f>"安达维尔"</f>
        <v>安达维尔</v>
      </c>
      <c r="C116" t="str">
        <f>"20180410"</f>
        <v>20180410</v>
      </c>
      <c r="D116" t="str">
        <f>"29.200"</f>
        <v>29.200</v>
      </c>
      <c r="E116" t="str">
        <f t="shared" si="48"/>
        <v>100.00</v>
      </c>
      <c r="F116" t="str">
        <f>"-2925.00"</f>
        <v>-2925.00</v>
      </c>
      <c r="G116" t="str">
        <f>"14559.64"</f>
        <v>14559.64</v>
      </c>
      <c r="H116" t="str">
        <f>"300.00"</f>
        <v>300.00</v>
      </c>
      <c r="I116" t="str">
        <f>"306"</f>
        <v>306</v>
      </c>
      <c r="J116" t="str">
        <f>"证券买入(安达维尔)"</f>
        <v>证券买入(安达维尔)</v>
      </c>
      <c r="K116" t="str">
        <f t="shared" si="46"/>
        <v>5.00</v>
      </c>
      <c r="L116" t="str">
        <f t="shared" si="47"/>
        <v>0.00</v>
      </c>
      <c r="M116" t="str">
        <f>"0.00"</f>
        <v>0.00</v>
      </c>
      <c r="N116" t="str">
        <f t="shared" si="44"/>
        <v>0.00</v>
      </c>
      <c r="O116" t="str">
        <f>"300719"</f>
        <v>300719</v>
      </c>
      <c r="P116" t="str">
        <f>"0153613480"</f>
        <v>0153613480</v>
      </c>
    </row>
    <row r="117" spans="1:16" x14ac:dyDescent="0.25">
      <c r="A117" t="str">
        <f t="shared" si="29"/>
        <v>人民币</v>
      </c>
      <c r="B117" t="str">
        <f>"安达维尔"</f>
        <v>安达维尔</v>
      </c>
      <c r="C117" t="str">
        <f>"20180410"</f>
        <v>20180410</v>
      </c>
      <c r="D117" t="str">
        <f>"28.650"</f>
        <v>28.650</v>
      </c>
      <c r="E117" t="str">
        <f t="shared" si="48"/>
        <v>100.00</v>
      </c>
      <c r="F117" t="str">
        <f>"-2870.00"</f>
        <v>-2870.00</v>
      </c>
      <c r="G117" t="str">
        <f>"11689.64"</f>
        <v>11689.64</v>
      </c>
      <c r="H117" t="str">
        <f>"400.00"</f>
        <v>400.00</v>
      </c>
      <c r="I117" t="str">
        <f>"304"</f>
        <v>304</v>
      </c>
      <c r="J117" t="str">
        <f>"证券买入(安达维尔)"</f>
        <v>证券买入(安达维尔)</v>
      </c>
      <c r="K117" t="str">
        <f t="shared" si="46"/>
        <v>5.00</v>
      </c>
      <c r="L117" t="str">
        <f t="shared" si="47"/>
        <v>0.00</v>
      </c>
      <c r="M117" t="str">
        <f>"0.00"</f>
        <v>0.00</v>
      </c>
      <c r="N117" t="str">
        <f t="shared" si="44"/>
        <v>0.00</v>
      </c>
      <c r="O117" t="str">
        <f>"300719"</f>
        <v>300719</v>
      </c>
      <c r="P117" t="str">
        <f>"0153613480"</f>
        <v>0153613480</v>
      </c>
    </row>
    <row r="118" spans="1:16" x14ac:dyDescent="0.25">
      <c r="A118" t="str">
        <f t="shared" si="29"/>
        <v>人民币</v>
      </c>
      <c r="B118" t="str">
        <f>"韦尔股份"</f>
        <v>韦尔股份</v>
      </c>
      <c r="C118" t="str">
        <f>"20180412"</f>
        <v>20180412</v>
      </c>
      <c r="D118" t="str">
        <f>"40.260"</f>
        <v>40.260</v>
      </c>
      <c r="E118" t="str">
        <f t="shared" si="48"/>
        <v>100.00</v>
      </c>
      <c r="F118" t="str">
        <f>"-4031.08"</f>
        <v>-4031.08</v>
      </c>
      <c r="G118" t="str">
        <f>"7658.56"</f>
        <v>7658.56</v>
      </c>
      <c r="H118" t="str">
        <f>"100.00"</f>
        <v>100.00</v>
      </c>
      <c r="I118" t="str">
        <f>"329"</f>
        <v>329</v>
      </c>
      <c r="J118" t="str">
        <f>"证券买入(韦尔股份)"</f>
        <v>证券买入(韦尔股份)</v>
      </c>
      <c r="K118" t="str">
        <f t="shared" si="46"/>
        <v>5.00</v>
      </c>
      <c r="L118" t="str">
        <f t="shared" si="47"/>
        <v>0.00</v>
      </c>
      <c r="M118" t="str">
        <f>"0.08"</f>
        <v>0.08</v>
      </c>
      <c r="N118" t="str">
        <f t="shared" si="44"/>
        <v>0.00</v>
      </c>
      <c r="O118" t="str">
        <f>"603501"</f>
        <v>603501</v>
      </c>
      <c r="P118" t="str">
        <f>"A400948245"</f>
        <v>A400948245</v>
      </c>
    </row>
    <row r="119" spans="1:16" x14ac:dyDescent="0.25">
      <c r="A119" t="str">
        <f t="shared" si="29"/>
        <v>人民币</v>
      </c>
      <c r="B119" t="str">
        <f>"韦尔股份"</f>
        <v>韦尔股份</v>
      </c>
      <c r="C119" t="str">
        <f>"20180412"</f>
        <v>20180412</v>
      </c>
      <c r="D119" t="str">
        <f>"39.990"</f>
        <v>39.990</v>
      </c>
      <c r="E119" t="str">
        <f t="shared" si="48"/>
        <v>100.00</v>
      </c>
      <c r="F119" t="str">
        <f>"-4004.08"</f>
        <v>-4004.08</v>
      </c>
      <c r="G119" t="str">
        <f>"3654.48"</f>
        <v>3654.48</v>
      </c>
      <c r="H119" t="str">
        <f>"200.00"</f>
        <v>200.00</v>
      </c>
      <c r="I119" t="str">
        <f>"333"</f>
        <v>333</v>
      </c>
      <c r="J119" t="str">
        <f>"证券买入(韦尔股份)"</f>
        <v>证券买入(韦尔股份)</v>
      </c>
      <c r="K119" t="str">
        <f t="shared" si="46"/>
        <v>5.00</v>
      </c>
      <c r="L119" t="str">
        <f t="shared" si="47"/>
        <v>0.00</v>
      </c>
      <c r="M119" t="str">
        <f>"0.08"</f>
        <v>0.08</v>
      </c>
      <c r="N119" t="str">
        <f t="shared" si="44"/>
        <v>0.00</v>
      </c>
      <c r="O119" t="str">
        <f>"603501"</f>
        <v>603501</v>
      </c>
      <c r="P119" t="str">
        <f>"A400948245"</f>
        <v>A400948245</v>
      </c>
    </row>
    <row r="120" spans="1:16" x14ac:dyDescent="0.25">
      <c r="A120" t="str">
        <f t="shared" si="29"/>
        <v>人民币</v>
      </c>
      <c r="B120" t="str">
        <f>"韦尔股份"</f>
        <v>韦尔股份</v>
      </c>
      <c r="C120" t="str">
        <f>"20180412"</f>
        <v>20180412</v>
      </c>
      <c r="D120" t="str">
        <f>"39.700"</f>
        <v>39.700</v>
      </c>
      <c r="E120" t="str">
        <f t="shared" si="48"/>
        <v>100.00</v>
      </c>
      <c r="F120" t="str">
        <f>"-3975.08"</f>
        <v>-3975.08</v>
      </c>
      <c r="G120" t="str">
        <f>"-320.60"</f>
        <v>-320.60</v>
      </c>
      <c r="H120" t="str">
        <f>"300.00"</f>
        <v>300.00</v>
      </c>
      <c r="I120" t="str">
        <f>"337"</f>
        <v>337</v>
      </c>
      <c r="J120" t="str">
        <f>"证券买入(韦尔股份)"</f>
        <v>证券买入(韦尔股份)</v>
      </c>
      <c r="K120" t="str">
        <f t="shared" si="46"/>
        <v>5.00</v>
      </c>
      <c r="L120" t="str">
        <f t="shared" si="47"/>
        <v>0.00</v>
      </c>
      <c r="M120" t="str">
        <f>"0.08"</f>
        <v>0.08</v>
      </c>
      <c r="N120" t="str">
        <f t="shared" si="44"/>
        <v>0.00</v>
      </c>
      <c r="O120" t="str">
        <f>"603501"</f>
        <v>603501</v>
      </c>
      <c r="P120" t="str">
        <f>"A400948245"</f>
        <v>A400948245</v>
      </c>
    </row>
    <row r="121" spans="1:16" x14ac:dyDescent="0.25">
      <c r="A121" t="str">
        <f t="shared" si="29"/>
        <v>人民币</v>
      </c>
      <c r="B121" t="str">
        <f>"安达维尔"</f>
        <v>安达维尔</v>
      </c>
      <c r="C121" t="str">
        <f>"20180412"</f>
        <v>20180412</v>
      </c>
      <c r="D121" t="str">
        <f>"32.250"</f>
        <v>32.250</v>
      </c>
      <c r="E121" t="str">
        <f>"-200.00"</f>
        <v>-200.00</v>
      </c>
      <c r="F121" t="str">
        <f>"6438.55"</f>
        <v>6438.55</v>
      </c>
      <c r="G121" t="str">
        <f>"6117.95"</f>
        <v>6117.95</v>
      </c>
      <c r="H121" t="str">
        <f>"200.00"</f>
        <v>200.00</v>
      </c>
      <c r="I121" t="str">
        <f>"321"</f>
        <v>321</v>
      </c>
      <c r="J121" t="str">
        <f>"证券卖出(安达维尔)"</f>
        <v>证券卖出(安达维尔)</v>
      </c>
      <c r="K121" t="str">
        <f t="shared" si="46"/>
        <v>5.00</v>
      </c>
      <c r="L121" t="str">
        <f>"6.45"</f>
        <v>6.45</v>
      </c>
      <c r="M121" t="str">
        <f>"0.00"</f>
        <v>0.00</v>
      </c>
      <c r="N121" t="str">
        <f t="shared" si="44"/>
        <v>0.00</v>
      </c>
      <c r="O121" t="str">
        <f>"300719"</f>
        <v>300719</v>
      </c>
      <c r="P121" t="str">
        <f>"0153613480"</f>
        <v>0153613480</v>
      </c>
    </row>
    <row r="122" spans="1:16" x14ac:dyDescent="0.25">
      <c r="A122" t="str">
        <f t="shared" si="29"/>
        <v>人民币</v>
      </c>
      <c r="B122" t="str">
        <f>"安达维尔"</f>
        <v>安达维尔</v>
      </c>
      <c r="C122" t="str">
        <f>"20180412"</f>
        <v>20180412</v>
      </c>
      <c r="D122" t="str">
        <f>"32.500"</f>
        <v>32.500</v>
      </c>
      <c r="E122" t="str">
        <f>"-200.00"</f>
        <v>-200.00</v>
      </c>
      <c r="F122" t="str">
        <f>"6488.50"</f>
        <v>6488.50</v>
      </c>
      <c r="G122" t="str">
        <f>"12606.45"</f>
        <v>12606.45</v>
      </c>
      <c r="H122" t="str">
        <f>"0.00"</f>
        <v>0.00</v>
      </c>
      <c r="I122" t="str">
        <f>"327"</f>
        <v>327</v>
      </c>
      <c r="J122" t="str">
        <f>"证券卖出(安达维尔)"</f>
        <v>证券卖出(安达维尔)</v>
      </c>
      <c r="K122" t="str">
        <f t="shared" si="46"/>
        <v>5.00</v>
      </c>
      <c r="L122" t="str">
        <f>"6.50"</f>
        <v>6.50</v>
      </c>
      <c r="M122" t="str">
        <f>"0.00"</f>
        <v>0.00</v>
      </c>
      <c r="N122" t="str">
        <f t="shared" si="44"/>
        <v>0.00</v>
      </c>
      <c r="O122" t="str">
        <f>"300719"</f>
        <v>300719</v>
      </c>
      <c r="P122" t="str">
        <f>"0153613480"</f>
        <v>0153613480</v>
      </c>
    </row>
    <row r="123" spans="1:16" x14ac:dyDescent="0.25">
      <c r="A123" t="str">
        <f t="shared" si="29"/>
        <v>人民币</v>
      </c>
      <c r="B123" t="str">
        <f>"韦尔股份"</f>
        <v>韦尔股份</v>
      </c>
      <c r="C123" t="str">
        <f>"20180413"</f>
        <v>20180413</v>
      </c>
      <c r="D123" t="str">
        <f>"39.110"</f>
        <v>39.110</v>
      </c>
      <c r="E123" t="str">
        <f>"100.00"</f>
        <v>100.00</v>
      </c>
      <c r="F123" t="str">
        <f>"-3916.08"</f>
        <v>-3916.08</v>
      </c>
      <c r="G123" t="str">
        <f>"8690.37"</f>
        <v>8690.37</v>
      </c>
      <c r="H123" t="str">
        <f>"400.00"</f>
        <v>400.00</v>
      </c>
      <c r="I123" t="str">
        <f>"353"</f>
        <v>353</v>
      </c>
      <c r="J123" t="str">
        <f>"证券买入(韦尔股份)"</f>
        <v>证券买入(韦尔股份)</v>
      </c>
      <c r="K123" t="str">
        <f t="shared" si="46"/>
        <v>5.00</v>
      </c>
      <c r="L123" t="str">
        <f>"0.00"</f>
        <v>0.00</v>
      </c>
      <c r="M123" t="str">
        <f>"0.08"</f>
        <v>0.08</v>
      </c>
      <c r="N123" t="str">
        <f t="shared" si="44"/>
        <v>0.00</v>
      </c>
      <c r="O123" t="str">
        <f>"603501"</f>
        <v>603501</v>
      </c>
      <c r="P123" t="str">
        <f>"A400948245"</f>
        <v>A400948245</v>
      </c>
    </row>
    <row r="124" spans="1:16" x14ac:dyDescent="0.25">
      <c r="A124" t="str">
        <f t="shared" si="29"/>
        <v>人民币</v>
      </c>
      <c r="B124" t="str">
        <f>"科大国创"</f>
        <v>科大国创</v>
      </c>
      <c r="C124" t="str">
        <f>"20180413"</f>
        <v>20180413</v>
      </c>
      <c r="D124" t="str">
        <f>"24.420"</f>
        <v>24.420</v>
      </c>
      <c r="E124" t="str">
        <f>"100.00"</f>
        <v>100.00</v>
      </c>
      <c r="F124" t="str">
        <f>"-2447.00"</f>
        <v>-2447.00</v>
      </c>
      <c r="G124" t="str">
        <f>"6243.37"</f>
        <v>6243.37</v>
      </c>
      <c r="H124" t="str">
        <f>"100.00"</f>
        <v>100.00</v>
      </c>
      <c r="I124" t="str">
        <f>"347"</f>
        <v>347</v>
      </c>
      <c r="J124" t="str">
        <f>"证券买入(科大国创)"</f>
        <v>证券买入(科大国创)</v>
      </c>
      <c r="K124" t="str">
        <f t="shared" si="46"/>
        <v>5.00</v>
      </c>
      <c r="L124" t="str">
        <f>"0.00"</f>
        <v>0.00</v>
      </c>
      <c r="M124" t="str">
        <f>"0.00"</f>
        <v>0.00</v>
      </c>
      <c r="N124" t="str">
        <f t="shared" ref="N124:N139" si="49">"0.00"</f>
        <v>0.00</v>
      </c>
      <c r="O124" t="str">
        <f>"300520"</f>
        <v>300520</v>
      </c>
      <c r="P124" t="str">
        <f>"0153613480"</f>
        <v>0153613480</v>
      </c>
    </row>
    <row r="125" spans="1:16" x14ac:dyDescent="0.25">
      <c r="A125" t="str">
        <f t="shared" si="29"/>
        <v>人民币</v>
      </c>
      <c r="B125" t="str">
        <f>"科大国创"</f>
        <v>科大国创</v>
      </c>
      <c r="C125" t="str">
        <f>"20180416"</f>
        <v>20180416</v>
      </c>
      <c r="D125" t="str">
        <f>"24.640"</f>
        <v>24.640</v>
      </c>
      <c r="E125" t="str">
        <f>"-100.00"</f>
        <v>-100.00</v>
      </c>
      <c r="F125" t="str">
        <f>"2456.54"</f>
        <v>2456.54</v>
      </c>
      <c r="G125" t="str">
        <f>"8699.91"</f>
        <v>8699.91</v>
      </c>
      <c r="H125" t="str">
        <f>"0.00"</f>
        <v>0.00</v>
      </c>
      <c r="I125" t="str">
        <f>"359"</f>
        <v>359</v>
      </c>
      <c r="J125" t="str">
        <f>"证券卖出(科大国创)"</f>
        <v>证券卖出(科大国创)</v>
      </c>
      <c r="K125" t="str">
        <f t="shared" si="46"/>
        <v>5.00</v>
      </c>
      <c r="L125" t="str">
        <f>"2.46"</f>
        <v>2.46</v>
      </c>
      <c r="M125" t="str">
        <f>"0.00"</f>
        <v>0.00</v>
      </c>
      <c r="N125" t="str">
        <f t="shared" si="49"/>
        <v>0.00</v>
      </c>
      <c r="O125" t="str">
        <f>"300520"</f>
        <v>300520</v>
      </c>
      <c r="P125" t="str">
        <f>"0153613480"</f>
        <v>0153613480</v>
      </c>
    </row>
    <row r="126" spans="1:16" x14ac:dyDescent="0.25">
      <c r="A126" t="str">
        <f t="shared" si="29"/>
        <v>人民币</v>
      </c>
      <c r="B126" t="str">
        <f>"韦尔股份"</f>
        <v>韦尔股份</v>
      </c>
      <c r="C126" t="str">
        <f>"20180417"</f>
        <v>20180417</v>
      </c>
      <c r="D126" t="str">
        <f>"39.310"</f>
        <v>39.310</v>
      </c>
      <c r="E126" t="str">
        <f>"100.00"</f>
        <v>100.00</v>
      </c>
      <c r="F126" t="str">
        <f>"-3936.08"</f>
        <v>-3936.08</v>
      </c>
      <c r="G126" t="str">
        <f>"4763.83"</f>
        <v>4763.83</v>
      </c>
      <c r="H126" t="str">
        <f>"500.00"</f>
        <v>500.00</v>
      </c>
      <c r="I126" t="str">
        <f>"370"</f>
        <v>370</v>
      </c>
      <c r="J126" t="str">
        <f>"证券买入(韦尔股份)"</f>
        <v>证券买入(韦尔股份)</v>
      </c>
      <c r="K126" t="str">
        <f t="shared" si="46"/>
        <v>5.00</v>
      </c>
      <c r="L126" t="str">
        <f>"0.00"</f>
        <v>0.00</v>
      </c>
      <c r="M126" t="str">
        <f>"0.08"</f>
        <v>0.08</v>
      </c>
      <c r="N126" t="str">
        <f t="shared" si="49"/>
        <v>0.00</v>
      </c>
      <c r="O126" t="str">
        <f>"603501"</f>
        <v>603501</v>
      </c>
      <c r="P126" t="str">
        <f>"A400948245"</f>
        <v>A400948245</v>
      </c>
    </row>
    <row r="127" spans="1:16" x14ac:dyDescent="0.25">
      <c r="A127" t="str">
        <f t="shared" si="29"/>
        <v>人民币</v>
      </c>
      <c r="B127" t="str">
        <f>"安达维尔"</f>
        <v>安达维尔</v>
      </c>
      <c r="C127" t="str">
        <f>"20180417"</f>
        <v>20180417</v>
      </c>
      <c r="D127" t="str">
        <f>"30.800"</f>
        <v>30.800</v>
      </c>
      <c r="E127" t="str">
        <f>"100.00"</f>
        <v>100.00</v>
      </c>
      <c r="F127" t="str">
        <f>"-3085.00"</f>
        <v>-3085.00</v>
      </c>
      <c r="G127" t="str">
        <f>"1678.83"</f>
        <v>1678.83</v>
      </c>
      <c r="H127" t="str">
        <f>"100.00"</f>
        <v>100.00</v>
      </c>
      <c r="I127" t="str">
        <f>"366"</f>
        <v>366</v>
      </c>
      <c r="J127" t="str">
        <f>"证券买入(安达维尔)"</f>
        <v>证券买入(安达维尔)</v>
      </c>
      <c r="K127" t="str">
        <f t="shared" si="46"/>
        <v>5.00</v>
      </c>
      <c r="L127" t="str">
        <f>"0.00"</f>
        <v>0.00</v>
      </c>
      <c r="M127" t="str">
        <f>"0.00"</f>
        <v>0.00</v>
      </c>
      <c r="N127" t="str">
        <f t="shared" si="49"/>
        <v>0.00</v>
      </c>
      <c r="O127" t="str">
        <f>"300719"</f>
        <v>300719</v>
      </c>
      <c r="P127" t="str">
        <f>"0153613480"</f>
        <v>0153613480</v>
      </c>
    </row>
    <row r="128" spans="1:16" x14ac:dyDescent="0.25">
      <c r="A128" t="str">
        <f t="shared" si="29"/>
        <v>人民币</v>
      </c>
      <c r="B128" t="str">
        <f>"伯特配号"</f>
        <v>伯特配号</v>
      </c>
      <c r="C128" t="str">
        <f>"20180418"</f>
        <v>20180418</v>
      </c>
      <c r="D128" t="str">
        <f>"0.000"</f>
        <v>0.000</v>
      </c>
      <c r="E128" t="str">
        <f>"1.00"</f>
        <v>1.00</v>
      </c>
      <c r="F128" t="str">
        <f>"0.00"</f>
        <v>0.00</v>
      </c>
      <c r="G128" t="str">
        <f>"1678.83"</f>
        <v>1678.83</v>
      </c>
      <c r="H128" t="str">
        <f>"0.00"</f>
        <v>0.00</v>
      </c>
      <c r="I128" t="str">
        <f>"376"</f>
        <v>376</v>
      </c>
      <c r="J128" t="str">
        <f>"申购配号(伯特配号)"</f>
        <v>申购配号(伯特配号)</v>
      </c>
      <c r="K128" t="str">
        <f>"0.00"</f>
        <v>0.00</v>
      </c>
      <c r="L128" t="str">
        <f>"0.00"</f>
        <v>0.00</v>
      </c>
      <c r="M128" t="str">
        <f>"0.00"</f>
        <v>0.00</v>
      </c>
      <c r="N128" t="str">
        <f t="shared" si="49"/>
        <v>0.00</v>
      </c>
      <c r="O128" t="str">
        <f>"736596"</f>
        <v>736596</v>
      </c>
      <c r="P128" t="str">
        <f>"A400948245"</f>
        <v>A400948245</v>
      </c>
    </row>
    <row r="129" spans="1:16" x14ac:dyDescent="0.25">
      <c r="A129" t="str">
        <f t="shared" si="29"/>
        <v>人民币</v>
      </c>
      <c r="B129" t="str">
        <f>"韦尔股份"</f>
        <v>韦尔股份</v>
      </c>
      <c r="C129" t="str">
        <f>"20180418"</f>
        <v>20180418</v>
      </c>
      <c r="D129" t="str">
        <f>"41.800"</f>
        <v>41.800</v>
      </c>
      <c r="E129" t="str">
        <f>"-300.00"</f>
        <v>-300.00</v>
      </c>
      <c r="F129" t="str">
        <f>"12522.21"</f>
        <v>12522.21</v>
      </c>
      <c r="G129" t="str">
        <f>"14201.04"</f>
        <v>14201.04</v>
      </c>
      <c r="H129" t="str">
        <f>"200.00"</f>
        <v>200.00</v>
      </c>
      <c r="I129" t="str">
        <f>"381"</f>
        <v>381</v>
      </c>
      <c r="J129" t="str">
        <f>"证券卖出(韦尔股份)"</f>
        <v>证券卖出(韦尔股份)</v>
      </c>
      <c r="K129" t="str">
        <f t="shared" ref="K129:K134" si="50">"5.00"</f>
        <v>5.00</v>
      </c>
      <c r="L129" t="str">
        <f>"12.54"</f>
        <v>12.54</v>
      </c>
      <c r="M129" t="str">
        <f>"0.25"</f>
        <v>0.25</v>
      </c>
      <c r="N129" t="str">
        <f t="shared" si="49"/>
        <v>0.00</v>
      </c>
      <c r="O129" t="str">
        <f>"603501"</f>
        <v>603501</v>
      </c>
      <c r="P129" t="str">
        <f>"A400948245"</f>
        <v>A400948245</v>
      </c>
    </row>
    <row r="130" spans="1:16" x14ac:dyDescent="0.25">
      <c r="A130" t="str">
        <f t="shared" ref="A130:A193" si="51">"人民币"</f>
        <v>人民币</v>
      </c>
      <c r="B130" t="str">
        <f>"韦尔股份"</f>
        <v>韦尔股份</v>
      </c>
      <c r="C130" t="str">
        <f>"20180418"</f>
        <v>20180418</v>
      </c>
      <c r="D130" t="str">
        <f>"42.850"</f>
        <v>42.850</v>
      </c>
      <c r="E130" t="str">
        <f>"-200.00"</f>
        <v>-200.00</v>
      </c>
      <c r="F130" t="str">
        <f>"8556.26"</f>
        <v>8556.26</v>
      </c>
      <c r="G130" t="str">
        <f>"22757.30"</f>
        <v>22757.30</v>
      </c>
      <c r="H130" t="str">
        <f>"0.00"</f>
        <v>0.00</v>
      </c>
      <c r="I130" t="str">
        <f>"387"</f>
        <v>387</v>
      </c>
      <c r="J130" t="str">
        <f>"证券卖出(韦尔股份)"</f>
        <v>证券卖出(韦尔股份)</v>
      </c>
      <c r="K130" t="str">
        <f t="shared" si="50"/>
        <v>5.00</v>
      </c>
      <c r="L130" t="str">
        <f>"8.57"</f>
        <v>8.57</v>
      </c>
      <c r="M130" t="str">
        <f>"0.17"</f>
        <v>0.17</v>
      </c>
      <c r="N130" t="str">
        <f t="shared" si="49"/>
        <v>0.00</v>
      </c>
      <c r="O130" t="str">
        <f>"603501"</f>
        <v>603501</v>
      </c>
      <c r="P130" t="str">
        <f>"A400948245"</f>
        <v>A400948245</v>
      </c>
    </row>
    <row r="131" spans="1:16" x14ac:dyDescent="0.25">
      <c r="A131" t="str">
        <f t="shared" si="51"/>
        <v>人民币</v>
      </c>
      <c r="B131" t="str">
        <f>"中通国脉"</f>
        <v>中通国脉</v>
      </c>
      <c r="C131" t="str">
        <f>"20180419"</f>
        <v>20180419</v>
      </c>
      <c r="D131" t="str">
        <f>"30.910"</f>
        <v>30.910</v>
      </c>
      <c r="E131" t="str">
        <f>"100.00"</f>
        <v>100.00</v>
      </c>
      <c r="F131" t="str">
        <f>"-3096.06"</f>
        <v>-3096.06</v>
      </c>
      <c r="G131" t="str">
        <f>"19661.24"</f>
        <v>19661.24</v>
      </c>
      <c r="H131" t="str">
        <f>"800.00"</f>
        <v>800.00</v>
      </c>
      <c r="I131" t="str">
        <f>"403"</f>
        <v>403</v>
      </c>
      <c r="J131" t="str">
        <f>"证券买入(中通国脉)"</f>
        <v>证券买入(中通国脉)</v>
      </c>
      <c r="K131" t="str">
        <f t="shared" si="50"/>
        <v>5.00</v>
      </c>
      <c r="L131" t="str">
        <f t="shared" ref="L131:M139" si="52">"0.00"</f>
        <v>0.00</v>
      </c>
      <c r="M131" t="str">
        <f>"0.06"</f>
        <v>0.06</v>
      </c>
      <c r="N131" t="str">
        <f t="shared" si="49"/>
        <v>0.00</v>
      </c>
      <c r="O131" t="str">
        <f>"603559"</f>
        <v>603559</v>
      </c>
      <c r="P131" t="str">
        <f>"A400948245"</f>
        <v>A400948245</v>
      </c>
    </row>
    <row r="132" spans="1:16" x14ac:dyDescent="0.25">
      <c r="A132" t="str">
        <f t="shared" si="51"/>
        <v>人民币</v>
      </c>
      <c r="B132" t="str">
        <f>"安达维尔"</f>
        <v>安达维尔</v>
      </c>
      <c r="C132" t="str">
        <f>"20180419"</f>
        <v>20180419</v>
      </c>
      <c r="D132" t="str">
        <f>"28.950"</f>
        <v>28.950</v>
      </c>
      <c r="E132" t="str">
        <f>"100.00"</f>
        <v>100.00</v>
      </c>
      <c r="F132" t="str">
        <f>"-2900.00"</f>
        <v>-2900.00</v>
      </c>
      <c r="G132" t="str">
        <f>"16761.24"</f>
        <v>16761.24</v>
      </c>
      <c r="H132" t="str">
        <f>"200.00"</f>
        <v>200.00</v>
      </c>
      <c r="I132" t="str">
        <f>"393"</f>
        <v>393</v>
      </c>
      <c r="J132" t="str">
        <f>"证券买入(安达维尔)"</f>
        <v>证券买入(安达维尔)</v>
      </c>
      <c r="K132" t="str">
        <f t="shared" si="50"/>
        <v>5.00</v>
      </c>
      <c r="L132" t="str">
        <f t="shared" si="52"/>
        <v>0.00</v>
      </c>
      <c r="M132" t="str">
        <f t="shared" si="52"/>
        <v>0.00</v>
      </c>
      <c r="N132" t="str">
        <f t="shared" si="49"/>
        <v>0.00</v>
      </c>
      <c r="O132" t="str">
        <f>"300719"</f>
        <v>300719</v>
      </c>
      <c r="P132" t="str">
        <f>"0153613480"</f>
        <v>0153613480</v>
      </c>
    </row>
    <row r="133" spans="1:16" x14ac:dyDescent="0.25">
      <c r="A133" t="str">
        <f t="shared" si="51"/>
        <v>人民币</v>
      </c>
      <c r="B133" t="str">
        <f>"安达维尔"</f>
        <v>安达维尔</v>
      </c>
      <c r="C133" t="str">
        <f>"20180420"</f>
        <v>20180420</v>
      </c>
      <c r="D133" t="str">
        <f>"28.220"</f>
        <v>28.220</v>
      </c>
      <c r="E133" t="str">
        <f>"200.00"</f>
        <v>200.00</v>
      </c>
      <c r="F133" t="str">
        <f>"-5649.00"</f>
        <v>-5649.00</v>
      </c>
      <c r="G133" t="str">
        <f>"11112.24"</f>
        <v>11112.24</v>
      </c>
      <c r="H133" t="str">
        <f>"400.00"</f>
        <v>400.00</v>
      </c>
      <c r="I133" t="str">
        <f>"409"</f>
        <v>409</v>
      </c>
      <c r="J133" t="str">
        <f>"证券买入(安达维尔)"</f>
        <v>证券买入(安达维尔)</v>
      </c>
      <c r="K133" t="str">
        <f t="shared" si="50"/>
        <v>5.00</v>
      </c>
      <c r="L133" t="str">
        <f t="shared" si="52"/>
        <v>0.00</v>
      </c>
      <c r="M133" t="str">
        <f t="shared" si="52"/>
        <v>0.00</v>
      </c>
      <c r="N133" t="str">
        <f t="shared" si="49"/>
        <v>0.00</v>
      </c>
      <c r="O133" t="str">
        <f>"300719"</f>
        <v>300719</v>
      </c>
      <c r="P133" t="str">
        <f>"0153613480"</f>
        <v>0153613480</v>
      </c>
    </row>
    <row r="134" spans="1:16" x14ac:dyDescent="0.25">
      <c r="A134" t="str">
        <f t="shared" si="51"/>
        <v>人民币</v>
      </c>
      <c r="B134" t="str">
        <f>"安达维尔"</f>
        <v>安达维尔</v>
      </c>
      <c r="C134" t="str">
        <f>"20180420"</f>
        <v>20180420</v>
      </c>
      <c r="D134" t="str">
        <f>"27.250"</f>
        <v>27.250</v>
      </c>
      <c r="E134" t="str">
        <f>"200.00"</f>
        <v>200.00</v>
      </c>
      <c r="F134" t="str">
        <f>"-5455.00"</f>
        <v>-5455.00</v>
      </c>
      <c r="G134" t="str">
        <f>"5657.24"</f>
        <v>5657.24</v>
      </c>
      <c r="H134" t="str">
        <f>"600.00"</f>
        <v>600.00</v>
      </c>
      <c r="I134" t="str">
        <f>"412"</f>
        <v>412</v>
      </c>
      <c r="J134" t="str">
        <f>"证券买入(安达维尔)"</f>
        <v>证券买入(安达维尔)</v>
      </c>
      <c r="K134" t="str">
        <f t="shared" si="50"/>
        <v>5.00</v>
      </c>
      <c r="L134" t="str">
        <f t="shared" si="52"/>
        <v>0.00</v>
      </c>
      <c r="M134" t="str">
        <f t="shared" si="52"/>
        <v>0.00</v>
      </c>
      <c r="N134" t="str">
        <f t="shared" si="49"/>
        <v>0.00</v>
      </c>
      <c r="O134" t="str">
        <f>"300719"</f>
        <v>300719</v>
      </c>
      <c r="P134" t="str">
        <f>"0153613480"</f>
        <v>0153613480</v>
      </c>
    </row>
    <row r="135" spans="1:16" x14ac:dyDescent="0.25">
      <c r="A135" t="str">
        <f t="shared" si="51"/>
        <v>人民币</v>
      </c>
      <c r="B135" t="str">
        <f>"药明配号"</f>
        <v>药明配号</v>
      </c>
      <c r="C135" t="str">
        <f>"20180424"</f>
        <v>20180424</v>
      </c>
      <c r="D135" t="str">
        <f>"0.000"</f>
        <v>0.000</v>
      </c>
      <c r="E135" t="str">
        <f>"1.00"</f>
        <v>1.00</v>
      </c>
      <c r="F135" t="str">
        <f>"0.00"</f>
        <v>0.00</v>
      </c>
      <c r="G135" t="str">
        <f>"5657.24"</f>
        <v>5657.24</v>
      </c>
      <c r="H135" t="str">
        <f>"0.00"</f>
        <v>0.00</v>
      </c>
      <c r="I135" t="str">
        <f>"417"</f>
        <v>417</v>
      </c>
      <c r="J135" t="str">
        <f>"申购配号(药明配号)"</f>
        <v>申购配号(药明配号)</v>
      </c>
      <c r="K135" t="str">
        <f>"0.00"</f>
        <v>0.00</v>
      </c>
      <c r="L135" t="str">
        <f t="shared" si="52"/>
        <v>0.00</v>
      </c>
      <c r="M135" t="str">
        <f t="shared" si="52"/>
        <v>0.00</v>
      </c>
      <c r="N135" t="str">
        <f t="shared" si="49"/>
        <v>0.00</v>
      </c>
      <c r="O135" t="str">
        <f>"736259"</f>
        <v>736259</v>
      </c>
      <c r="P135" t="str">
        <f>"A400948245"</f>
        <v>A400948245</v>
      </c>
    </row>
    <row r="136" spans="1:16" x14ac:dyDescent="0.25">
      <c r="A136" t="str">
        <f t="shared" si="51"/>
        <v>人民币</v>
      </c>
      <c r="B136" t="str">
        <f>"亚普配号"</f>
        <v>亚普配号</v>
      </c>
      <c r="C136" t="str">
        <f>"20180425"</f>
        <v>20180425</v>
      </c>
      <c r="D136" t="str">
        <f>"0.000"</f>
        <v>0.000</v>
      </c>
      <c r="E136" t="str">
        <f>"1.00"</f>
        <v>1.00</v>
      </c>
      <c r="F136" t="str">
        <f>"0.00"</f>
        <v>0.00</v>
      </c>
      <c r="G136" t="str">
        <f>"5657.24"</f>
        <v>5657.24</v>
      </c>
      <c r="H136" t="str">
        <f>"0.00"</f>
        <v>0.00</v>
      </c>
      <c r="I136" t="str">
        <f>"1"</f>
        <v>1</v>
      </c>
      <c r="J136" t="str">
        <f>"申购配号(亚普配号)"</f>
        <v>申购配号(亚普配号)</v>
      </c>
      <c r="K136" t="str">
        <f>"0.00"</f>
        <v>0.00</v>
      </c>
      <c r="L136" t="str">
        <f t="shared" si="52"/>
        <v>0.00</v>
      </c>
      <c r="M136" t="str">
        <f t="shared" si="52"/>
        <v>0.00</v>
      </c>
      <c r="N136" t="str">
        <f t="shared" si="49"/>
        <v>0.00</v>
      </c>
      <c r="O136" t="str">
        <f>"736013"</f>
        <v>736013</v>
      </c>
      <c r="P136" t="str">
        <f>"A400948245"</f>
        <v>A400948245</v>
      </c>
    </row>
    <row r="137" spans="1:16" x14ac:dyDescent="0.25">
      <c r="A137" t="str">
        <f t="shared" si="51"/>
        <v>人民币</v>
      </c>
      <c r="B137" t="str">
        <f>"越博动力"</f>
        <v>越博动力</v>
      </c>
      <c r="C137" t="str">
        <f>"20180425"</f>
        <v>20180425</v>
      </c>
      <c r="D137" t="str">
        <f>"0.000"</f>
        <v>0.000</v>
      </c>
      <c r="E137" t="str">
        <f>"2.00"</f>
        <v>2.00</v>
      </c>
      <c r="F137" t="str">
        <f>"0.00"</f>
        <v>0.00</v>
      </c>
      <c r="G137" t="str">
        <f>"5657.24"</f>
        <v>5657.24</v>
      </c>
      <c r="H137" t="str">
        <f>"0.00"</f>
        <v>0.00</v>
      </c>
      <c r="I137" t="str">
        <f>"3"</f>
        <v>3</v>
      </c>
      <c r="J137" t="str">
        <f>"申购配号(越博动力)"</f>
        <v>申购配号(越博动力)</v>
      </c>
      <c r="K137" t="str">
        <f>"0.00"</f>
        <v>0.00</v>
      </c>
      <c r="L137" t="str">
        <f t="shared" si="52"/>
        <v>0.00</v>
      </c>
      <c r="M137" t="str">
        <f t="shared" si="52"/>
        <v>0.00</v>
      </c>
      <c r="N137" t="str">
        <f t="shared" si="49"/>
        <v>0.00</v>
      </c>
      <c r="O137" t="str">
        <f>"300742"</f>
        <v>300742</v>
      </c>
      <c r="P137" t="str">
        <f>"0153613480"</f>
        <v>0153613480</v>
      </c>
    </row>
    <row r="138" spans="1:16" x14ac:dyDescent="0.25">
      <c r="A138" t="str">
        <f t="shared" si="51"/>
        <v>人民币</v>
      </c>
      <c r="B138" t="str">
        <f>"中通国脉"</f>
        <v>中通国脉</v>
      </c>
      <c r="C138" t="str">
        <f>"20180426"</f>
        <v>20180426</v>
      </c>
      <c r="D138" t="str">
        <f>"31.610"</f>
        <v>31.610</v>
      </c>
      <c r="E138" t="str">
        <f>"100.00"</f>
        <v>100.00</v>
      </c>
      <c r="F138" t="str">
        <f>"-3166.06"</f>
        <v>-3166.06</v>
      </c>
      <c r="G138" t="str">
        <f>"2491.18"</f>
        <v>2491.18</v>
      </c>
      <c r="H138" t="str">
        <f>"900.00"</f>
        <v>900.00</v>
      </c>
      <c r="I138" t="str">
        <f>"10"</f>
        <v>10</v>
      </c>
      <c r="J138" t="str">
        <f>"证券买入(中通国脉)"</f>
        <v>证券买入(中通国脉)</v>
      </c>
      <c r="K138" t="str">
        <f>"5.00"</f>
        <v>5.00</v>
      </c>
      <c r="L138" t="str">
        <f t="shared" si="52"/>
        <v>0.00</v>
      </c>
      <c r="M138" t="str">
        <f>"0.06"</f>
        <v>0.06</v>
      </c>
      <c r="N138" t="str">
        <f t="shared" si="49"/>
        <v>0.00</v>
      </c>
      <c r="O138" t="str">
        <f>"603559"</f>
        <v>603559</v>
      </c>
      <c r="P138" t="str">
        <f>"A400948245"</f>
        <v>A400948245</v>
      </c>
    </row>
    <row r="139" spans="1:16" x14ac:dyDescent="0.25">
      <c r="A139" t="str">
        <f t="shared" si="51"/>
        <v>人民币</v>
      </c>
      <c r="B139" t="str">
        <f>"安达维尔"</f>
        <v>安达维尔</v>
      </c>
      <c r="C139" t="str">
        <f>"20180508"</f>
        <v>20180508</v>
      </c>
      <c r="D139" t="str">
        <f>"0.000"</f>
        <v>0.000</v>
      </c>
      <c r="E139" t="str">
        <f>"300.00"</f>
        <v>300.00</v>
      </c>
      <c r="F139" t="str">
        <f>"0.00"</f>
        <v>0.00</v>
      </c>
      <c r="G139" t="str">
        <f>"2491.18"</f>
        <v>2491.18</v>
      </c>
      <c r="H139" t="str">
        <f>"900.00"</f>
        <v>900.00</v>
      </c>
      <c r="I139" t="str">
        <f>" "</f>
        <v xml:space="preserve"> </v>
      </c>
      <c r="J139" t="str">
        <f>"红股入帐(安达维尔)"</f>
        <v>红股入帐(安达维尔)</v>
      </c>
      <c r="K139" t="str">
        <f>"0.00"</f>
        <v>0.00</v>
      </c>
      <c r="L139" t="str">
        <f t="shared" si="52"/>
        <v>0.00</v>
      </c>
      <c r="M139" t="str">
        <f>"0.00"</f>
        <v>0.00</v>
      </c>
      <c r="N139" t="str">
        <f t="shared" si="49"/>
        <v>0.00</v>
      </c>
      <c r="O139" t="str">
        <f>"300719"</f>
        <v>300719</v>
      </c>
      <c r="P139" t="str">
        <f>"0153613480"</f>
        <v>0153613480</v>
      </c>
    </row>
    <row r="140" spans="1:16" x14ac:dyDescent="0.25">
      <c r="A140" t="str">
        <f t="shared" si="51"/>
        <v>人民币</v>
      </c>
      <c r="B140" t="str">
        <f>"安达维尔"</f>
        <v>安达维尔</v>
      </c>
      <c r="C140" t="str">
        <f>"20180508"</f>
        <v>20180508</v>
      </c>
      <c r="D140" t="str">
        <f>"0.000"</f>
        <v>0.000</v>
      </c>
      <c r="E140" t="str">
        <f>"0.00"</f>
        <v>0.00</v>
      </c>
      <c r="F140" t="str">
        <f>"300.00"</f>
        <v>300.00</v>
      </c>
      <c r="G140" t="str">
        <f>"2791.18"</f>
        <v>2791.18</v>
      </c>
      <c r="H140" t="str">
        <f>"900.00"</f>
        <v>900.00</v>
      </c>
      <c r="I140" t="str">
        <f>"---"</f>
        <v>---</v>
      </c>
      <c r="J140" t="str">
        <f>"股息入帐(安达维尔)"</f>
        <v>股息入帐(安达维尔)</v>
      </c>
      <c r="K140" t="str">
        <f>"---"</f>
        <v>---</v>
      </c>
      <c r="L140" t="str">
        <f>"---"</f>
        <v>---</v>
      </c>
      <c r="M140" t="str">
        <f>"---"</f>
        <v>---</v>
      </c>
      <c r="N140" t="str">
        <f>"---"</f>
        <v>---</v>
      </c>
      <c r="O140" t="str">
        <f>"300719"</f>
        <v>300719</v>
      </c>
      <c r="P140" t="str">
        <f>"0153613480"</f>
        <v>0153613480</v>
      </c>
    </row>
    <row r="141" spans="1:16" x14ac:dyDescent="0.25">
      <c r="A141" t="str">
        <f t="shared" si="51"/>
        <v>人民币</v>
      </c>
      <c r="B141" t="str">
        <f>"安达维尔"</f>
        <v>安达维尔</v>
      </c>
      <c r="C141" t="str">
        <f>"20180514"</f>
        <v>20180514</v>
      </c>
      <c r="D141" t="str">
        <f>"18.000"</f>
        <v>18.000</v>
      </c>
      <c r="E141" t="str">
        <f>"100.00"</f>
        <v>100.00</v>
      </c>
      <c r="F141" t="str">
        <f>"-1805.00"</f>
        <v>-1805.00</v>
      </c>
      <c r="G141" t="str">
        <f>"986.18"</f>
        <v>986.18</v>
      </c>
      <c r="H141" t="str">
        <f>"1000.00"</f>
        <v>1000.00</v>
      </c>
      <c r="I141" t="str">
        <f>"18"</f>
        <v>18</v>
      </c>
      <c r="J141" t="str">
        <f>"证券买入(安达维尔)"</f>
        <v>证券买入(安达维尔)</v>
      </c>
      <c r="K141" t="str">
        <f>"5.00"</f>
        <v>5.00</v>
      </c>
      <c r="L141" t="str">
        <f t="shared" ref="L141:N142" si="53">"0.00"</f>
        <v>0.00</v>
      </c>
      <c r="M141" t="str">
        <f t="shared" si="53"/>
        <v>0.00</v>
      </c>
      <c r="N141" t="str">
        <f t="shared" si="53"/>
        <v>0.00</v>
      </c>
      <c r="O141" t="str">
        <f>"300719"</f>
        <v>300719</v>
      </c>
      <c r="P141" t="str">
        <f>"0153613480"</f>
        <v>0153613480</v>
      </c>
    </row>
    <row r="142" spans="1:16" x14ac:dyDescent="0.25">
      <c r="A142" t="str">
        <f t="shared" si="51"/>
        <v>人民币</v>
      </c>
      <c r="B142" t="str">
        <f>"欣锐科技"</f>
        <v>欣锐科技</v>
      </c>
      <c r="C142" t="str">
        <f>"20180514"</f>
        <v>20180514</v>
      </c>
      <c r="D142" t="str">
        <f>"0.000"</f>
        <v>0.000</v>
      </c>
      <c r="E142" t="str">
        <f>"2.00"</f>
        <v>2.00</v>
      </c>
      <c r="F142" t="str">
        <f>"0.00"</f>
        <v>0.00</v>
      </c>
      <c r="G142" t="str">
        <f>"986.18"</f>
        <v>986.18</v>
      </c>
      <c r="H142" t="str">
        <f>"0.00"</f>
        <v>0.00</v>
      </c>
      <c r="I142" t="str">
        <f>"16"</f>
        <v>16</v>
      </c>
      <c r="J142" t="str">
        <f>"申购配号(欣锐科技)"</f>
        <v>申购配号(欣锐科技)</v>
      </c>
      <c r="K142" t="str">
        <f>"0.00"</f>
        <v>0.00</v>
      </c>
      <c r="L142" t="str">
        <f t="shared" si="53"/>
        <v>0.00</v>
      </c>
      <c r="M142" t="str">
        <f t="shared" si="53"/>
        <v>0.00</v>
      </c>
      <c r="N142" t="str">
        <f t="shared" si="53"/>
        <v>0.00</v>
      </c>
      <c r="O142" t="str">
        <f>"300745"</f>
        <v>300745</v>
      </c>
      <c r="P142" t="str">
        <f>"0153613480"</f>
        <v>0153613480</v>
      </c>
    </row>
    <row r="143" spans="1:16" x14ac:dyDescent="0.25">
      <c r="A143" t="str">
        <f t="shared" si="51"/>
        <v>人民币</v>
      </c>
      <c r="B143" t="str">
        <f>"中通国脉"</f>
        <v>中通国脉</v>
      </c>
      <c r="C143" t="str">
        <f>"20180515"</f>
        <v>20180515</v>
      </c>
      <c r="D143" t="str">
        <f>"0.000"</f>
        <v>0.000</v>
      </c>
      <c r="E143" t="str">
        <f>"0.00"</f>
        <v>0.00</v>
      </c>
      <c r="F143" t="str">
        <f>"40.50"</f>
        <v>40.50</v>
      </c>
      <c r="G143" t="str">
        <f>"1026.68"</f>
        <v>1026.68</v>
      </c>
      <c r="H143" t="str">
        <f>"900.00"</f>
        <v>900.00</v>
      </c>
      <c r="I143" t="str">
        <f>"---"</f>
        <v>---</v>
      </c>
      <c r="J143" t="str">
        <f>"股息入帐(中通国脉)"</f>
        <v>股息入帐(中通国脉)</v>
      </c>
      <c r="K143" t="str">
        <f>"---"</f>
        <v>---</v>
      </c>
      <c r="L143" t="str">
        <f>"---"</f>
        <v>---</v>
      </c>
      <c r="M143" t="str">
        <f>"---"</f>
        <v>---</v>
      </c>
      <c r="N143" t="str">
        <f>"---"</f>
        <v>---</v>
      </c>
      <c r="O143" t="str">
        <f>"603559"</f>
        <v>603559</v>
      </c>
      <c r="P143" t="str">
        <f>"A400948245"</f>
        <v>A400948245</v>
      </c>
    </row>
    <row r="144" spans="1:16" x14ac:dyDescent="0.25">
      <c r="A144" t="str">
        <f t="shared" si="51"/>
        <v>人民币</v>
      </c>
      <c r="B144" t="str">
        <f>"科沃配号"</f>
        <v>科沃配号</v>
      </c>
      <c r="C144" t="str">
        <f>"20180516"</f>
        <v>20180516</v>
      </c>
      <c r="D144" t="str">
        <f>"0.000"</f>
        <v>0.000</v>
      </c>
      <c r="E144" t="str">
        <f>"2.00"</f>
        <v>2.00</v>
      </c>
      <c r="F144" t="str">
        <f>"0.00"</f>
        <v>0.00</v>
      </c>
      <c r="G144" t="str">
        <f>"1026.68"</f>
        <v>1026.68</v>
      </c>
      <c r="H144" t="str">
        <f>"0.00"</f>
        <v>0.00</v>
      </c>
      <c r="I144" t="str">
        <f>"24"</f>
        <v>24</v>
      </c>
      <c r="J144" t="str">
        <f>"申购配号(科沃配号)"</f>
        <v>申购配号(科沃配号)</v>
      </c>
      <c r="K144" t="str">
        <f t="shared" ref="K144:N145" si="54">"0.00"</f>
        <v>0.00</v>
      </c>
      <c r="L144" t="str">
        <f t="shared" si="54"/>
        <v>0.00</v>
      </c>
      <c r="M144" t="str">
        <f t="shared" si="54"/>
        <v>0.00</v>
      </c>
      <c r="N144" t="str">
        <f t="shared" si="54"/>
        <v>0.00</v>
      </c>
      <c r="O144" t="str">
        <f>"736486"</f>
        <v>736486</v>
      </c>
      <c r="P144" t="str">
        <f>"A400948245"</f>
        <v>A400948245</v>
      </c>
    </row>
    <row r="145" spans="1:16" x14ac:dyDescent="0.25">
      <c r="A145" t="str">
        <f t="shared" si="51"/>
        <v>人民币</v>
      </c>
      <c r="B145" t="str">
        <f>"汉嘉设计"</f>
        <v>汉嘉设计</v>
      </c>
      <c r="C145" t="str">
        <f>"20180516"</f>
        <v>20180516</v>
      </c>
      <c r="D145" t="str">
        <f>"0.000"</f>
        <v>0.000</v>
      </c>
      <c r="E145" t="str">
        <f>"2.00"</f>
        <v>2.00</v>
      </c>
      <c r="F145" t="str">
        <f>"0.00"</f>
        <v>0.00</v>
      </c>
      <c r="G145" t="str">
        <f>"1026.68"</f>
        <v>1026.68</v>
      </c>
      <c r="H145" t="str">
        <f>"0.00"</f>
        <v>0.00</v>
      </c>
      <c r="I145" t="str">
        <f>"26"</f>
        <v>26</v>
      </c>
      <c r="J145" t="str">
        <f>"申购配号(汉嘉设计)"</f>
        <v>申购配号(汉嘉设计)</v>
      </c>
      <c r="K145" t="str">
        <f t="shared" si="54"/>
        <v>0.00</v>
      </c>
      <c r="L145" t="str">
        <f t="shared" si="54"/>
        <v>0.00</v>
      </c>
      <c r="M145" t="str">
        <f t="shared" si="54"/>
        <v>0.00</v>
      </c>
      <c r="N145" t="str">
        <f t="shared" si="54"/>
        <v>0.00</v>
      </c>
      <c r="O145" t="str">
        <f>"300746"</f>
        <v>300746</v>
      </c>
      <c r="P145" t="str">
        <f>"0153613480"</f>
        <v>0153613480</v>
      </c>
    </row>
    <row r="146" spans="1:16" x14ac:dyDescent="0.25">
      <c r="A146" t="str">
        <f t="shared" si="51"/>
        <v>人民币</v>
      </c>
      <c r="B146" t="str">
        <f>"安达维尔"</f>
        <v>安达维尔</v>
      </c>
      <c r="C146" t="str">
        <f>"20180521"</f>
        <v>20180521</v>
      </c>
      <c r="D146" t="str">
        <f>"19.010"</f>
        <v>19.010</v>
      </c>
      <c r="E146" t="str">
        <f>"-500.00"</f>
        <v>-500.00</v>
      </c>
      <c r="F146" t="str">
        <f>"9490.49"</f>
        <v>9490.49</v>
      </c>
      <c r="G146" t="str">
        <f>"10517.17"</f>
        <v>10517.17</v>
      </c>
      <c r="H146" t="str">
        <f>"500.00"</f>
        <v>500.00</v>
      </c>
      <c r="I146" t="str">
        <f>"30"</f>
        <v>30</v>
      </c>
      <c r="J146" t="str">
        <f>"证券卖出(安达维尔)"</f>
        <v>证券卖出(安达维尔)</v>
      </c>
      <c r="K146" t="str">
        <f>"5.00"</f>
        <v>5.00</v>
      </c>
      <c r="L146" t="str">
        <f>"9.51"</f>
        <v>9.51</v>
      </c>
      <c r="M146" t="str">
        <f>"0.00"</f>
        <v>0.00</v>
      </c>
      <c r="N146" t="str">
        <f>"0.00"</f>
        <v>0.00</v>
      </c>
      <c r="O146" t="str">
        <f>"300719"</f>
        <v>300719</v>
      </c>
      <c r="P146" t="str">
        <f>"0153613480"</f>
        <v>0153613480</v>
      </c>
    </row>
    <row r="147" spans="1:16" x14ac:dyDescent="0.25">
      <c r="A147" t="str">
        <f t="shared" si="51"/>
        <v>人民币</v>
      </c>
      <c r="B147" t="str">
        <f>"安达维尔"</f>
        <v>安达维尔</v>
      </c>
      <c r="C147" t="str">
        <f>"20180521"</f>
        <v>20180521</v>
      </c>
      <c r="D147" t="str">
        <f>"19.010"</f>
        <v>19.010</v>
      </c>
      <c r="E147" t="str">
        <f>"-500.00"</f>
        <v>-500.00</v>
      </c>
      <c r="F147" t="str">
        <f>"9490.50"</f>
        <v>9490.50</v>
      </c>
      <c r="G147" t="str">
        <f>"20007.67"</f>
        <v>20007.67</v>
      </c>
      <c r="H147" t="str">
        <f>"0.00"</f>
        <v>0.00</v>
      </c>
      <c r="I147" t="str">
        <f>"36"</f>
        <v>36</v>
      </c>
      <c r="J147" t="str">
        <f>"证券卖出(安达维尔)"</f>
        <v>证券卖出(安达维尔)</v>
      </c>
      <c r="K147" t="str">
        <f>"5.00"</f>
        <v>5.00</v>
      </c>
      <c r="L147" t="str">
        <f>"9.50"</f>
        <v>9.50</v>
      </c>
      <c r="M147" t="str">
        <f>"0.00"</f>
        <v>0.00</v>
      </c>
      <c r="N147" t="str">
        <f>"0.00"</f>
        <v>0.00</v>
      </c>
      <c r="O147" t="str">
        <f>"300719"</f>
        <v>300719</v>
      </c>
      <c r="P147" t="str">
        <f>"0153613480"</f>
        <v>0153613480</v>
      </c>
    </row>
    <row r="148" spans="1:16" x14ac:dyDescent="0.25">
      <c r="A148" t="str">
        <f t="shared" si="51"/>
        <v>人民币</v>
      </c>
      <c r="B148" t="str">
        <f>"安达维尔"</f>
        <v>安达维尔</v>
      </c>
      <c r="C148" t="str">
        <f>"20180522"</f>
        <v>20180522</v>
      </c>
      <c r="D148" t="str">
        <f>"0.000"</f>
        <v>0.000</v>
      </c>
      <c r="E148" t="str">
        <f>"0.00"</f>
        <v>0.00</v>
      </c>
      <c r="F148" t="str">
        <f>"-30.00"</f>
        <v>-30.00</v>
      </c>
      <c r="G148" t="str">
        <f>"19977.67"</f>
        <v>19977.67</v>
      </c>
      <c r="H148" t="str">
        <f>"0.00"</f>
        <v>0.00</v>
      </c>
      <c r="I148" t="str">
        <f>"---"</f>
        <v>---</v>
      </c>
      <c r="J148" t="str">
        <f>"红利差异税扣税(安达维尔)"</f>
        <v>红利差异税扣税(安达维尔)</v>
      </c>
      <c r="K148" t="str">
        <f>"---"</f>
        <v>---</v>
      </c>
      <c r="L148" t="str">
        <f>"---"</f>
        <v>---</v>
      </c>
      <c r="M148" t="str">
        <f>"---"</f>
        <v>---</v>
      </c>
      <c r="N148" t="str">
        <f>"---"</f>
        <v>---</v>
      </c>
      <c r="O148" t="str">
        <f>"300719"</f>
        <v>300719</v>
      </c>
      <c r="P148" t="str">
        <f>"0153613480"</f>
        <v>0153613480</v>
      </c>
    </row>
    <row r="149" spans="1:16" x14ac:dyDescent="0.25">
      <c r="A149" t="str">
        <f t="shared" si="51"/>
        <v>人民币</v>
      </c>
      <c r="B149" t="str">
        <f>"赛隆药业"</f>
        <v>赛隆药业</v>
      </c>
      <c r="C149" t="str">
        <f>"20180522"</f>
        <v>20180522</v>
      </c>
      <c r="D149" t="str">
        <f>"24.440"</f>
        <v>24.440</v>
      </c>
      <c r="E149" t="str">
        <f>"200.00"</f>
        <v>200.00</v>
      </c>
      <c r="F149" t="str">
        <f>"-4893.00"</f>
        <v>-4893.00</v>
      </c>
      <c r="G149" t="str">
        <f>"15084.67"</f>
        <v>15084.67</v>
      </c>
      <c r="H149" t="str">
        <f>"200.00"</f>
        <v>200.00</v>
      </c>
      <c r="I149" t="str">
        <f>"43"</f>
        <v>43</v>
      </c>
      <c r="J149" t="str">
        <f>"证券买入(赛隆药业)"</f>
        <v>证券买入(赛隆药业)</v>
      </c>
      <c r="K149" t="str">
        <f>"5.00"</f>
        <v>5.00</v>
      </c>
      <c r="L149" t="str">
        <f>"0.00"</f>
        <v>0.00</v>
      </c>
      <c r="M149" t="str">
        <f>"0.00"</f>
        <v>0.00</v>
      </c>
      <c r="N149" t="str">
        <f>"0.00"</f>
        <v>0.00</v>
      </c>
      <c r="O149" t="str">
        <f>"002898"</f>
        <v>002898</v>
      </c>
      <c r="P149" t="str">
        <f>"0153613480"</f>
        <v>0153613480</v>
      </c>
    </row>
    <row r="150" spans="1:16" x14ac:dyDescent="0.25">
      <c r="A150" t="str">
        <f t="shared" si="51"/>
        <v>人民币</v>
      </c>
      <c r="B150" t="str">
        <f>"中通国脉"</f>
        <v>中通国脉</v>
      </c>
      <c r="C150" t="str">
        <f>"20180523"</f>
        <v>20180523</v>
      </c>
      <c r="D150" t="str">
        <f>"31.270"</f>
        <v>31.270</v>
      </c>
      <c r="E150" t="str">
        <f>"100.00"</f>
        <v>100.00</v>
      </c>
      <c r="F150" t="str">
        <f>"-3132.06"</f>
        <v>-3132.06</v>
      </c>
      <c r="G150" t="str">
        <f>"11952.61"</f>
        <v>11952.61</v>
      </c>
      <c r="H150" t="str">
        <f>"1000.00"</f>
        <v>1000.00</v>
      </c>
      <c r="I150" t="str">
        <f>"53"</f>
        <v>53</v>
      </c>
      <c r="J150" t="str">
        <f>"证券买入(中通国脉)"</f>
        <v>证券买入(中通国脉)</v>
      </c>
      <c r="K150" t="str">
        <f>"5.00"</f>
        <v>5.00</v>
      </c>
      <c r="L150" t="str">
        <f>"0.00"</f>
        <v>0.00</v>
      </c>
      <c r="M150" t="str">
        <f>"0.06"</f>
        <v>0.06</v>
      </c>
      <c r="N150" t="str">
        <f>"0.00"</f>
        <v>0.00</v>
      </c>
      <c r="O150" t="str">
        <f>"603559"</f>
        <v>603559</v>
      </c>
      <c r="P150" t="str">
        <f>"A400948245"</f>
        <v>A400948245</v>
      </c>
    </row>
    <row r="151" spans="1:16" x14ac:dyDescent="0.25">
      <c r="A151" t="str">
        <f t="shared" si="51"/>
        <v>人民币</v>
      </c>
      <c r="B151" t="str">
        <f>"赛隆药业"</f>
        <v>赛隆药业</v>
      </c>
      <c r="C151" t="str">
        <f>"20180523"</f>
        <v>20180523</v>
      </c>
      <c r="D151" t="str">
        <f>"24.950"</f>
        <v>24.950</v>
      </c>
      <c r="E151" t="str">
        <f>"-200.00"</f>
        <v>-200.00</v>
      </c>
      <c r="F151" t="str">
        <f>"4980.01"</f>
        <v>4980.01</v>
      </c>
      <c r="G151" t="str">
        <f>"16932.62"</f>
        <v>16932.62</v>
      </c>
      <c r="H151" t="str">
        <f>"0.00"</f>
        <v>0.00</v>
      </c>
      <c r="I151" t="str">
        <f>"50"</f>
        <v>50</v>
      </c>
      <c r="J151" t="str">
        <f>"证券卖出(赛隆药业)"</f>
        <v>证券卖出(赛隆药业)</v>
      </c>
      <c r="K151" t="str">
        <f>"5.00"</f>
        <v>5.00</v>
      </c>
      <c r="L151" t="str">
        <f>"4.99"</f>
        <v>4.99</v>
      </c>
      <c r="M151" t="str">
        <f>"0.00"</f>
        <v>0.00</v>
      </c>
      <c r="N151" t="str">
        <f>"0.00"</f>
        <v>0.00</v>
      </c>
      <c r="O151" t="str">
        <f>"002898"</f>
        <v>002898</v>
      </c>
      <c r="P151" t="str">
        <f>"0153613480"</f>
        <v>0153613480</v>
      </c>
    </row>
    <row r="152" spans="1:16" x14ac:dyDescent="0.25">
      <c r="A152" t="str">
        <f t="shared" si="51"/>
        <v>人民币</v>
      </c>
      <c r="B152" t="str">
        <f>"宏达电子"</f>
        <v>宏达电子</v>
      </c>
      <c r="C152" t="str">
        <f>"20180523"</f>
        <v>20180523</v>
      </c>
      <c r="D152" t="str">
        <f>"34.370"</f>
        <v>34.370</v>
      </c>
      <c r="E152" t="str">
        <f>"100.00"</f>
        <v>100.00</v>
      </c>
      <c r="F152" t="str">
        <f>"-3442.00"</f>
        <v>-3442.00</v>
      </c>
      <c r="G152" t="str">
        <f>"13490.62"</f>
        <v>13490.62</v>
      </c>
      <c r="H152" t="str">
        <f>"100.00"</f>
        <v>100.00</v>
      </c>
      <c r="I152" t="str">
        <f>"47"</f>
        <v>47</v>
      </c>
      <c r="J152" t="str">
        <f>"证券买入(宏达电子)"</f>
        <v>证券买入(宏达电子)</v>
      </c>
      <c r="K152" t="str">
        <f>"5.00"</f>
        <v>5.00</v>
      </c>
      <c r="L152" t="str">
        <f>"0.00"</f>
        <v>0.00</v>
      </c>
      <c r="M152" t="str">
        <f>"0.00"</f>
        <v>0.00</v>
      </c>
      <c r="N152" t="str">
        <f>"0.00"</f>
        <v>0.00</v>
      </c>
      <c r="O152" t="str">
        <f>"300726"</f>
        <v>300726</v>
      </c>
      <c r="P152" t="str">
        <f>"0153613480"</f>
        <v>0153613480</v>
      </c>
    </row>
    <row r="153" spans="1:16" x14ac:dyDescent="0.25">
      <c r="A153" t="str">
        <f t="shared" si="51"/>
        <v>人民币</v>
      </c>
      <c r="B153" t="str">
        <f>"宏达电子"</f>
        <v>宏达电子</v>
      </c>
      <c r="C153" t="str">
        <f>"20180523"</f>
        <v>20180523</v>
      </c>
      <c r="D153" t="str">
        <f>"34.210"</f>
        <v>34.210</v>
      </c>
      <c r="E153" t="str">
        <f>"200.00"</f>
        <v>200.00</v>
      </c>
      <c r="F153" t="str">
        <f>"-6847.00"</f>
        <v>-6847.00</v>
      </c>
      <c r="G153" t="str">
        <f>"6643.62"</f>
        <v>6643.62</v>
      </c>
      <c r="H153" t="str">
        <f>"300.00"</f>
        <v>300.00</v>
      </c>
      <c r="I153" t="str">
        <f>"56"</f>
        <v>56</v>
      </c>
      <c r="J153" t="str">
        <f>"证券买入(宏达电子)"</f>
        <v>证券买入(宏达电子)</v>
      </c>
      <c r="K153" t="str">
        <f>"5.00"</f>
        <v>5.00</v>
      </c>
      <c r="L153" t="str">
        <f>"0.00"</f>
        <v>0.00</v>
      </c>
      <c r="M153" t="str">
        <f>"0.00"</f>
        <v>0.00</v>
      </c>
      <c r="N153" t="str">
        <f>"0.00"</f>
        <v>0.00</v>
      </c>
      <c r="O153" t="str">
        <f>"300726"</f>
        <v>300726</v>
      </c>
      <c r="P153" t="str">
        <f>"0153613480"</f>
        <v>0153613480</v>
      </c>
    </row>
    <row r="154" spans="1:16" x14ac:dyDescent="0.25">
      <c r="A154" t="str">
        <f t="shared" si="51"/>
        <v>人民币</v>
      </c>
      <c r="B154" t="str">
        <f>" "</f>
        <v xml:space="preserve"> </v>
      </c>
      <c r="C154" t="str">
        <f>"20180524"</f>
        <v>20180524</v>
      </c>
      <c r="D154" t="str">
        <f>"---"</f>
        <v>---</v>
      </c>
      <c r="E154" t="str">
        <f>"---"</f>
        <v>---</v>
      </c>
      <c r="F154" t="str">
        <f>"-6000.00"</f>
        <v>-6000.00</v>
      </c>
      <c r="G154" t="str">
        <f>"643.62"</f>
        <v>643.62</v>
      </c>
      <c r="H154" t="str">
        <f>"---"</f>
        <v>---</v>
      </c>
      <c r="I154" t="str">
        <f>"---"</f>
        <v>---</v>
      </c>
      <c r="J154" t="str">
        <f>"银行转取"</f>
        <v>银行转取</v>
      </c>
      <c r="K154" t="str">
        <f t="shared" ref="K154:P154" si="55">"---"</f>
        <v>---</v>
      </c>
      <c r="L154" t="str">
        <f t="shared" si="55"/>
        <v>---</v>
      </c>
      <c r="M154" t="str">
        <f t="shared" si="55"/>
        <v>---</v>
      </c>
      <c r="N154" t="str">
        <f t="shared" si="55"/>
        <v>---</v>
      </c>
      <c r="O154" t="str">
        <f t="shared" si="55"/>
        <v>---</v>
      </c>
      <c r="P154" t="str">
        <f t="shared" si="55"/>
        <v>---</v>
      </c>
    </row>
    <row r="155" spans="1:16" x14ac:dyDescent="0.25">
      <c r="A155" t="str">
        <f t="shared" si="51"/>
        <v>人民币</v>
      </c>
      <c r="B155" t="str">
        <f>"富联配号"</f>
        <v>富联配号</v>
      </c>
      <c r="C155" t="str">
        <f>"20180524"</f>
        <v>20180524</v>
      </c>
      <c r="D155" t="str">
        <f>"0.000"</f>
        <v>0.000</v>
      </c>
      <c r="E155" t="str">
        <f>"2.00"</f>
        <v>2.00</v>
      </c>
      <c r="F155" t="str">
        <f>"0.00"</f>
        <v>0.00</v>
      </c>
      <c r="G155" t="str">
        <f>"643.62"</f>
        <v>643.62</v>
      </c>
      <c r="H155" t="str">
        <f>"0.00"</f>
        <v>0.00</v>
      </c>
      <c r="I155" t="str">
        <f>"63"</f>
        <v>63</v>
      </c>
      <c r="J155" t="str">
        <f>"申购配号(富联配号)"</f>
        <v>申购配号(富联配号)</v>
      </c>
      <c r="K155" t="str">
        <f>"0.00"</f>
        <v>0.00</v>
      </c>
      <c r="L155" t="str">
        <f>"0.00"</f>
        <v>0.00</v>
      </c>
      <c r="M155" t="str">
        <f>"0.00"</f>
        <v>0.00</v>
      </c>
      <c r="N155" t="str">
        <f>"0.00"</f>
        <v>0.00</v>
      </c>
      <c r="O155" t="str">
        <f>"791138"</f>
        <v>791138</v>
      </c>
      <c r="P155" t="str">
        <f>"A400948245"</f>
        <v>A400948245</v>
      </c>
    </row>
    <row r="156" spans="1:16" x14ac:dyDescent="0.25">
      <c r="A156" t="str">
        <f t="shared" si="51"/>
        <v>人民币</v>
      </c>
      <c r="B156" t="str">
        <f>" "</f>
        <v xml:space="preserve"> </v>
      </c>
      <c r="C156" t="str">
        <f>"20180528"</f>
        <v>20180528</v>
      </c>
      <c r="D156" t="str">
        <f>"---"</f>
        <v>---</v>
      </c>
      <c r="E156" t="str">
        <f>"---"</f>
        <v>---</v>
      </c>
      <c r="F156" t="str">
        <f>"3000.00"</f>
        <v>3000.00</v>
      </c>
      <c r="G156" t="str">
        <f>"3643.62"</f>
        <v>3643.62</v>
      </c>
      <c r="H156" t="str">
        <f>"---"</f>
        <v>---</v>
      </c>
      <c r="I156" t="str">
        <f>"---"</f>
        <v>---</v>
      </c>
      <c r="J156" t="str">
        <f>"银行转存"</f>
        <v>银行转存</v>
      </c>
      <c r="K156" t="str">
        <f t="shared" ref="K156:P156" si="56">"---"</f>
        <v>---</v>
      </c>
      <c r="L156" t="str">
        <f t="shared" si="56"/>
        <v>---</v>
      </c>
      <c r="M156" t="str">
        <f t="shared" si="56"/>
        <v>---</v>
      </c>
      <c r="N156" t="str">
        <f t="shared" si="56"/>
        <v>---</v>
      </c>
      <c r="O156" t="str">
        <f t="shared" si="56"/>
        <v>---</v>
      </c>
      <c r="P156" t="str">
        <f t="shared" si="56"/>
        <v>---</v>
      </c>
    </row>
    <row r="157" spans="1:16" x14ac:dyDescent="0.25">
      <c r="A157" t="str">
        <f t="shared" si="51"/>
        <v>人民币</v>
      </c>
      <c r="B157" t="str">
        <f>"宏达电子"</f>
        <v>宏达电子</v>
      </c>
      <c r="C157" t="str">
        <f>"20180528"</f>
        <v>20180528</v>
      </c>
      <c r="D157" t="str">
        <f>"33.440"</f>
        <v>33.440</v>
      </c>
      <c r="E157" t="str">
        <f>"100.00"</f>
        <v>100.00</v>
      </c>
      <c r="F157" t="str">
        <f>"-3349.00"</f>
        <v>-3349.00</v>
      </c>
      <c r="G157" t="str">
        <f>"294.62"</f>
        <v>294.62</v>
      </c>
      <c r="H157" t="str">
        <f>"400.00"</f>
        <v>400.00</v>
      </c>
      <c r="I157" t="str">
        <f>"68"</f>
        <v>68</v>
      </c>
      <c r="J157" t="str">
        <f>"证券买入(宏达电子)"</f>
        <v>证券买入(宏达电子)</v>
      </c>
      <c r="K157" t="str">
        <f>"5.00"</f>
        <v>5.00</v>
      </c>
      <c r="L157" t="str">
        <f>"0.00"</f>
        <v>0.00</v>
      </c>
      <c r="M157" t="str">
        <f>"0.00"</f>
        <v>0.00</v>
      </c>
      <c r="N157" t="str">
        <f>"0.00"</f>
        <v>0.00</v>
      </c>
      <c r="O157" t="str">
        <f>"300726"</f>
        <v>300726</v>
      </c>
      <c r="P157" t="str">
        <f>"0153613480"</f>
        <v>0153613480</v>
      </c>
    </row>
    <row r="158" spans="1:16" x14ac:dyDescent="0.25">
      <c r="A158" t="str">
        <f t="shared" si="51"/>
        <v>人民币</v>
      </c>
      <c r="B158" t="str">
        <f>"中通国脉"</f>
        <v>中通国脉</v>
      </c>
      <c r="C158" t="str">
        <f>"20180529"</f>
        <v>20180529</v>
      </c>
      <c r="D158" t="str">
        <f>"29.920"</f>
        <v>29.920</v>
      </c>
      <c r="E158" t="str">
        <f>"-400.00"</f>
        <v>-400.00</v>
      </c>
      <c r="F158" t="str">
        <f>"11950.79"</f>
        <v>11950.79</v>
      </c>
      <c r="G158" t="str">
        <f>"12245.41"</f>
        <v>12245.41</v>
      </c>
      <c r="H158" t="str">
        <f>"600.00"</f>
        <v>600.00</v>
      </c>
      <c r="I158" t="str">
        <f>"73"</f>
        <v>73</v>
      </c>
      <c r="J158" t="str">
        <f>"证券卖出(中通国脉)"</f>
        <v>证券卖出(中通国脉)</v>
      </c>
      <c r="K158" t="str">
        <f>"5.00"</f>
        <v>5.00</v>
      </c>
      <c r="L158" t="str">
        <f>"11.97"</f>
        <v>11.97</v>
      </c>
      <c r="M158" t="str">
        <f>"0.24"</f>
        <v>0.24</v>
      </c>
      <c r="N158" t="str">
        <f>"0.00"</f>
        <v>0.00</v>
      </c>
      <c r="O158" t="str">
        <f>"603559"</f>
        <v>603559</v>
      </c>
      <c r="P158" t="str">
        <f>"A400948245"</f>
        <v>A400948245</v>
      </c>
    </row>
    <row r="159" spans="1:16" x14ac:dyDescent="0.25">
      <c r="A159" t="str">
        <f t="shared" si="51"/>
        <v>人民币</v>
      </c>
      <c r="B159" t="str">
        <f>"江龙船艇"</f>
        <v>江龙船艇</v>
      </c>
      <c r="C159" t="str">
        <f>"20180529"</f>
        <v>20180529</v>
      </c>
      <c r="D159" t="str">
        <f>"16.350"</f>
        <v>16.350</v>
      </c>
      <c r="E159" t="str">
        <f>"500.00"</f>
        <v>500.00</v>
      </c>
      <c r="F159" t="str">
        <f>"-8180.00"</f>
        <v>-8180.00</v>
      </c>
      <c r="G159" t="str">
        <f>"4065.41"</f>
        <v>4065.41</v>
      </c>
      <c r="H159" t="str">
        <f>"500.00"</f>
        <v>500.00</v>
      </c>
      <c r="I159" t="str">
        <f>"76"</f>
        <v>76</v>
      </c>
      <c r="J159" t="str">
        <f>"证券买入(江龙船艇)"</f>
        <v>证券买入(江龙船艇)</v>
      </c>
      <c r="K159" t="str">
        <f>"5.00"</f>
        <v>5.00</v>
      </c>
      <c r="L159" t="str">
        <f>"0.00"</f>
        <v>0.00</v>
      </c>
      <c r="M159" t="str">
        <f>"0.00"</f>
        <v>0.00</v>
      </c>
      <c r="N159" t="str">
        <f>"0.00"</f>
        <v>0.00</v>
      </c>
      <c r="O159" t="str">
        <f>"300589"</f>
        <v>300589</v>
      </c>
      <c r="P159" t="str">
        <f>"0153613480"</f>
        <v>0153613480</v>
      </c>
    </row>
    <row r="160" spans="1:16" x14ac:dyDescent="0.25">
      <c r="A160" t="str">
        <f t="shared" si="51"/>
        <v>人民币</v>
      </c>
      <c r="B160" t="str">
        <f>"中通国脉"</f>
        <v>中通国脉</v>
      </c>
      <c r="C160" t="str">
        <f t="shared" ref="C160:C166" si="57">"20180530"</f>
        <v>20180530</v>
      </c>
      <c r="D160" t="str">
        <f>"0.000"</f>
        <v>0.000</v>
      </c>
      <c r="E160" t="str">
        <f>"0.00"</f>
        <v>0.00</v>
      </c>
      <c r="F160" t="str">
        <f>"-0.90"</f>
        <v>-0.90</v>
      </c>
      <c r="G160" t="str">
        <f>"4064.51"</f>
        <v>4064.51</v>
      </c>
      <c r="H160" t="str">
        <f>"600.00"</f>
        <v>600.00</v>
      </c>
      <c r="I160" t="str">
        <f>"---"</f>
        <v>---</v>
      </c>
      <c r="J160" t="str">
        <f>"红利差异税扣税(中通国脉)"</f>
        <v>红利差异税扣税(中通国脉)</v>
      </c>
      <c r="K160" t="str">
        <f t="shared" ref="K160:N161" si="58">"---"</f>
        <v>---</v>
      </c>
      <c r="L160" t="str">
        <f t="shared" si="58"/>
        <v>---</v>
      </c>
      <c r="M160" t="str">
        <f t="shared" si="58"/>
        <v>---</v>
      </c>
      <c r="N160" t="str">
        <f t="shared" si="58"/>
        <v>---</v>
      </c>
      <c r="O160" t="str">
        <f>"603559"</f>
        <v>603559</v>
      </c>
      <c r="P160" t="str">
        <f>"A400948245"</f>
        <v>A400948245</v>
      </c>
    </row>
    <row r="161" spans="1:16" x14ac:dyDescent="0.25">
      <c r="A161" t="str">
        <f t="shared" si="51"/>
        <v>人民币</v>
      </c>
      <c r="B161" t="str">
        <f>"中通国脉"</f>
        <v>中通国脉</v>
      </c>
      <c r="C161" t="str">
        <f t="shared" si="57"/>
        <v>20180530</v>
      </c>
      <c r="D161" t="str">
        <f>"0.000"</f>
        <v>0.000</v>
      </c>
      <c r="E161" t="str">
        <f>"0.00"</f>
        <v>0.00</v>
      </c>
      <c r="F161" t="str">
        <f>"-0.90"</f>
        <v>-0.90</v>
      </c>
      <c r="G161" t="str">
        <f>"4063.61"</f>
        <v>4063.61</v>
      </c>
      <c r="H161" t="str">
        <f>"600.00"</f>
        <v>600.00</v>
      </c>
      <c r="I161" t="str">
        <f>"---"</f>
        <v>---</v>
      </c>
      <c r="J161" t="str">
        <f>"红利差异税扣税(中通国脉)"</f>
        <v>红利差异税扣税(中通国脉)</v>
      </c>
      <c r="K161" t="str">
        <f t="shared" si="58"/>
        <v>---</v>
      </c>
      <c r="L161" t="str">
        <f t="shared" si="58"/>
        <v>---</v>
      </c>
      <c r="M161" t="str">
        <f t="shared" si="58"/>
        <v>---</v>
      </c>
      <c r="N161" t="str">
        <f t="shared" si="58"/>
        <v>---</v>
      </c>
      <c r="O161" t="str">
        <f>"603559"</f>
        <v>603559</v>
      </c>
      <c r="P161" t="str">
        <f>"A400948245"</f>
        <v>A400948245</v>
      </c>
    </row>
    <row r="162" spans="1:16" x14ac:dyDescent="0.25">
      <c r="A162" t="str">
        <f t="shared" si="51"/>
        <v>人民币</v>
      </c>
      <c r="B162" t="str">
        <f>"绿动配号"</f>
        <v>绿动配号</v>
      </c>
      <c r="C162" t="str">
        <f t="shared" si="57"/>
        <v>20180530</v>
      </c>
      <c r="D162" t="str">
        <f>"0.000"</f>
        <v>0.000</v>
      </c>
      <c r="E162" t="str">
        <f>"2.00"</f>
        <v>2.00</v>
      </c>
      <c r="F162" t="str">
        <f>"0.00"</f>
        <v>0.00</v>
      </c>
      <c r="G162" t="str">
        <f>"4063.61"</f>
        <v>4063.61</v>
      </c>
      <c r="H162" t="str">
        <f>"0.00"</f>
        <v>0.00</v>
      </c>
      <c r="I162" t="str">
        <f>"84"</f>
        <v>84</v>
      </c>
      <c r="J162" t="str">
        <f>"申购配号(绿动配号)"</f>
        <v>申购配号(绿动配号)</v>
      </c>
      <c r="K162" t="str">
        <f>"0.00"</f>
        <v>0.00</v>
      </c>
      <c r="L162" t="str">
        <f>"0.00"</f>
        <v>0.00</v>
      </c>
      <c r="M162" t="str">
        <f>"0.00"</f>
        <v>0.00</v>
      </c>
      <c r="N162" t="str">
        <f>"0.00"</f>
        <v>0.00</v>
      </c>
      <c r="O162" t="str">
        <f>"791330"</f>
        <v>791330</v>
      </c>
      <c r="P162" t="str">
        <f>"A400948245"</f>
        <v>A400948245</v>
      </c>
    </row>
    <row r="163" spans="1:16" x14ac:dyDescent="0.25">
      <c r="A163" t="str">
        <f t="shared" si="51"/>
        <v>人民币</v>
      </c>
      <c r="B163" t="str">
        <f>"中通国脉"</f>
        <v>中通国脉</v>
      </c>
      <c r="C163" t="str">
        <f t="shared" si="57"/>
        <v>20180530</v>
      </c>
      <c r="D163" t="str">
        <f>"27.710"</f>
        <v>27.710</v>
      </c>
      <c r="E163" t="str">
        <f>"100.00"</f>
        <v>100.00</v>
      </c>
      <c r="F163" t="str">
        <f>"-2776.06"</f>
        <v>-2776.06</v>
      </c>
      <c r="G163" t="str">
        <f>"1287.55"</f>
        <v>1287.55</v>
      </c>
      <c r="H163" t="str">
        <f>"700.00"</f>
        <v>700.00</v>
      </c>
      <c r="I163" t="str">
        <f>"88"</f>
        <v>88</v>
      </c>
      <c r="J163" t="str">
        <f>"证券买入(中通国脉)"</f>
        <v>证券买入(中通国脉)</v>
      </c>
      <c r="K163" t="str">
        <f>"5.00"</f>
        <v>5.00</v>
      </c>
      <c r="L163" t="str">
        <f>"0.00"</f>
        <v>0.00</v>
      </c>
      <c r="M163" t="str">
        <f>"0.06"</f>
        <v>0.06</v>
      </c>
      <c r="N163" t="str">
        <f t="shared" ref="N163:N168" si="59">"0.00"</f>
        <v>0.00</v>
      </c>
      <c r="O163" t="str">
        <f>"603559"</f>
        <v>603559</v>
      </c>
      <c r="P163" t="str">
        <f>"A400948245"</f>
        <v>A400948245</v>
      </c>
    </row>
    <row r="164" spans="1:16" x14ac:dyDescent="0.25">
      <c r="A164" t="str">
        <f t="shared" si="51"/>
        <v>人民币</v>
      </c>
      <c r="B164" t="str">
        <f>"中通国脉"</f>
        <v>中通国脉</v>
      </c>
      <c r="C164" t="str">
        <f t="shared" si="57"/>
        <v>20180530</v>
      </c>
      <c r="D164" t="str">
        <f>"28.370"</f>
        <v>28.370</v>
      </c>
      <c r="E164" t="str">
        <f>"-100.00"</f>
        <v>-100.00</v>
      </c>
      <c r="F164" t="str">
        <f>"2829.10"</f>
        <v>2829.10</v>
      </c>
      <c r="G164" t="str">
        <f>"4116.65"</f>
        <v>4116.65</v>
      </c>
      <c r="H164" t="str">
        <f>"600.00"</f>
        <v>600.00</v>
      </c>
      <c r="I164" t="str">
        <f>"91"</f>
        <v>91</v>
      </c>
      <c r="J164" t="str">
        <f>"证券卖出(中通国脉)"</f>
        <v>证券卖出(中通国脉)</v>
      </c>
      <c r="K164" t="str">
        <f>"5.00"</f>
        <v>5.00</v>
      </c>
      <c r="L164" t="str">
        <f>"2.84"</f>
        <v>2.84</v>
      </c>
      <c r="M164" t="str">
        <f>"0.06"</f>
        <v>0.06</v>
      </c>
      <c r="N164" t="str">
        <f t="shared" si="59"/>
        <v>0.00</v>
      </c>
      <c r="O164" t="str">
        <f>"603559"</f>
        <v>603559</v>
      </c>
      <c r="P164" t="str">
        <f>"A400948245"</f>
        <v>A400948245</v>
      </c>
    </row>
    <row r="165" spans="1:16" x14ac:dyDescent="0.25">
      <c r="A165" t="str">
        <f t="shared" si="51"/>
        <v>人民币</v>
      </c>
      <c r="B165" t="str">
        <f>"宏达电子"</f>
        <v>宏达电子</v>
      </c>
      <c r="C165" t="str">
        <f t="shared" si="57"/>
        <v>20180530</v>
      </c>
      <c r="D165" t="str">
        <f>"30.100"</f>
        <v>30.100</v>
      </c>
      <c r="E165" t="str">
        <f>"100.00"</f>
        <v>100.00</v>
      </c>
      <c r="F165" t="str">
        <f>"-3015.00"</f>
        <v>-3015.00</v>
      </c>
      <c r="G165" t="str">
        <f>"1101.65"</f>
        <v>1101.65</v>
      </c>
      <c r="H165" t="str">
        <f>"500.00"</f>
        <v>500.00</v>
      </c>
      <c r="I165" t="str">
        <f>"94"</f>
        <v>94</v>
      </c>
      <c r="J165" t="str">
        <f>"证券买入(宏达电子)"</f>
        <v>证券买入(宏达电子)</v>
      </c>
      <c r="K165" t="str">
        <f>"5.00"</f>
        <v>5.00</v>
      </c>
      <c r="L165" t="str">
        <f t="shared" ref="L165:M168" si="60">"0.00"</f>
        <v>0.00</v>
      </c>
      <c r="M165" t="str">
        <f t="shared" si="60"/>
        <v>0.00</v>
      </c>
      <c r="N165" t="str">
        <f t="shared" si="59"/>
        <v>0.00</v>
      </c>
      <c r="O165" t="str">
        <f>"300726"</f>
        <v>300726</v>
      </c>
      <c r="P165" t="str">
        <f>"0153613480"</f>
        <v>0153613480</v>
      </c>
    </row>
    <row r="166" spans="1:16" x14ac:dyDescent="0.25">
      <c r="A166" t="str">
        <f t="shared" si="51"/>
        <v>人民币</v>
      </c>
      <c r="B166" t="str">
        <f>"宁德时代"</f>
        <v>宁德时代</v>
      </c>
      <c r="C166" t="str">
        <f t="shared" si="57"/>
        <v>20180530</v>
      </c>
      <c r="D166" t="str">
        <f>"0.000"</f>
        <v>0.000</v>
      </c>
      <c r="E166" t="str">
        <f>"2.00"</f>
        <v>2.00</v>
      </c>
      <c r="F166" t="str">
        <f>"0.00"</f>
        <v>0.00</v>
      </c>
      <c r="G166" t="str">
        <f>"1101.65"</f>
        <v>1101.65</v>
      </c>
      <c r="H166" t="str">
        <f>"0.00"</f>
        <v>0.00</v>
      </c>
      <c r="I166" t="str">
        <f>"86"</f>
        <v>86</v>
      </c>
      <c r="J166" t="str">
        <f>"申购配号(宁德时代)"</f>
        <v>申购配号(宁德时代)</v>
      </c>
      <c r="K166" t="str">
        <f>"0.00"</f>
        <v>0.00</v>
      </c>
      <c r="L166" t="str">
        <f t="shared" si="60"/>
        <v>0.00</v>
      </c>
      <c r="M166" t="str">
        <f t="shared" si="60"/>
        <v>0.00</v>
      </c>
      <c r="N166" t="str">
        <f t="shared" si="59"/>
        <v>0.00</v>
      </c>
      <c r="O166" t="str">
        <f>"300750"</f>
        <v>300750</v>
      </c>
      <c r="P166" t="str">
        <f>"0153613480"</f>
        <v>0153613480</v>
      </c>
    </row>
    <row r="167" spans="1:16" x14ac:dyDescent="0.25">
      <c r="A167" t="str">
        <f t="shared" si="51"/>
        <v>人民币</v>
      </c>
      <c r="B167" t="str">
        <f>"亿嘉配号"</f>
        <v>亿嘉配号</v>
      </c>
      <c r="C167" t="str">
        <f>"20180531"</f>
        <v>20180531</v>
      </c>
      <c r="D167" t="str">
        <f>"0.000"</f>
        <v>0.000</v>
      </c>
      <c r="E167" t="str">
        <f>"2.00"</f>
        <v>2.00</v>
      </c>
      <c r="F167" t="str">
        <f>"0.00"</f>
        <v>0.00</v>
      </c>
      <c r="G167" t="str">
        <f>"1101.65"</f>
        <v>1101.65</v>
      </c>
      <c r="H167" t="str">
        <f>"0.00"</f>
        <v>0.00</v>
      </c>
      <c r="I167" t="str">
        <f>"102"</f>
        <v>102</v>
      </c>
      <c r="J167" t="str">
        <f>"申购配号(亿嘉配号)"</f>
        <v>申购配号(亿嘉配号)</v>
      </c>
      <c r="K167" t="str">
        <f>"0.00"</f>
        <v>0.00</v>
      </c>
      <c r="L167" t="str">
        <f t="shared" si="60"/>
        <v>0.00</v>
      </c>
      <c r="M167" t="str">
        <f t="shared" si="60"/>
        <v>0.00</v>
      </c>
      <c r="N167" t="str">
        <f t="shared" si="59"/>
        <v>0.00</v>
      </c>
      <c r="O167" t="str">
        <f>"736666"</f>
        <v>736666</v>
      </c>
      <c r="P167" t="str">
        <f>"A400948245"</f>
        <v>A400948245</v>
      </c>
    </row>
    <row r="168" spans="1:16" x14ac:dyDescent="0.25">
      <c r="A168" t="str">
        <f t="shared" si="51"/>
        <v>人民币</v>
      </c>
      <c r="B168" t="str">
        <f>"南证配号"</f>
        <v>南证配号</v>
      </c>
      <c r="C168" t="str">
        <f>"20180601"</f>
        <v>20180601</v>
      </c>
      <c r="D168" t="str">
        <f>"0.000"</f>
        <v>0.000</v>
      </c>
      <c r="E168" t="str">
        <f>"2.00"</f>
        <v>2.00</v>
      </c>
      <c r="F168" t="str">
        <f>"0.00"</f>
        <v>0.00</v>
      </c>
      <c r="G168" t="str">
        <f>"1101.65"</f>
        <v>1101.65</v>
      </c>
      <c r="H168" t="str">
        <f>"0.00"</f>
        <v>0.00</v>
      </c>
      <c r="I168" t="str">
        <f>"105"</f>
        <v>105</v>
      </c>
      <c r="J168" t="str">
        <f>"申购配号(南证配号)"</f>
        <v>申购配号(南证配号)</v>
      </c>
      <c r="K168" t="str">
        <f>"0.00"</f>
        <v>0.00</v>
      </c>
      <c r="L168" t="str">
        <f t="shared" si="60"/>
        <v>0.00</v>
      </c>
      <c r="M168" t="str">
        <f t="shared" si="60"/>
        <v>0.00</v>
      </c>
      <c r="N168" t="str">
        <f t="shared" si="59"/>
        <v>0.00</v>
      </c>
      <c r="O168" t="str">
        <f>"791990"</f>
        <v>791990</v>
      </c>
      <c r="P168" t="str">
        <f>"A400948245"</f>
        <v>A400948245</v>
      </c>
    </row>
    <row r="169" spans="1:16" x14ac:dyDescent="0.25">
      <c r="A169" t="str">
        <f t="shared" si="51"/>
        <v>人民币</v>
      </c>
      <c r="B169" t="str">
        <f>" "</f>
        <v xml:space="preserve"> </v>
      </c>
      <c r="C169" t="str">
        <f>"20180605"</f>
        <v>20180605</v>
      </c>
      <c r="D169" t="str">
        <f>"---"</f>
        <v>---</v>
      </c>
      <c r="E169" t="str">
        <f>"---"</f>
        <v>---</v>
      </c>
      <c r="F169" t="str">
        <f>"8000.00"</f>
        <v>8000.00</v>
      </c>
      <c r="G169" t="str">
        <f>"9101.65"</f>
        <v>9101.65</v>
      </c>
      <c r="H169" t="str">
        <f>"---"</f>
        <v>---</v>
      </c>
      <c r="I169" t="str">
        <f>"---"</f>
        <v>---</v>
      </c>
      <c r="J169" t="str">
        <f>"银行转存"</f>
        <v>银行转存</v>
      </c>
      <c r="K169" t="str">
        <f t="shared" ref="K169:P169" si="61">"---"</f>
        <v>---</v>
      </c>
      <c r="L169" t="str">
        <f t="shared" si="61"/>
        <v>---</v>
      </c>
      <c r="M169" t="str">
        <f t="shared" si="61"/>
        <v>---</v>
      </c>
      <c r="N169" t="str">
        <f t="shared" si="61"/>
        <v>---</v>
      </c>
      <c r="O169" t="str">
        <f t="shared" si="61"/>
        <v>---</v>
      </c>
      <c r="P169" t="str">
        <f t="shared" si="61"/>
        <v>---</v>
      </c>
    </row>
    <row r="170" spans="1:16" x14ac:dyDescent="0.25">
      <c r="A170" t="str">
        <f t="shared" si="51"/>
        <v>人民币</v>
      </c>
      <c r="B170" t="str">
        <f>"江龙船艇"</f>
        <v>江龙船艇</v>
      </c>
      <c r="C170" t="str">
        <f>"20180605"</f>
        <v>20180605</v>
      </c>
      <c r="D170" t="str">
        <f>"15.900"</f>
        <v>15.900</v>
      </c>
      <c r="E170" t="str">
        <f>"200.00"</f>
        <v>200.00</v>
      </c>
      <c r="F170" t="str">
        <f>"-3185.00"</f>
        <v>-3185.00</v>
      </c>
      <c r="G170" t="str">
        <f>"5916.65"</f>
        <v>5916.65</v>
      </c>
      <c r="H170" t="str">
        <f>"700.00"</f>
        <v>700.00</v>
      </c>
      <c r="I170" t="str">
        <f>"115"</f>
        <v>115</v>
      </c>
      <c r="J170" t="str">
        <f>"证券买入(江龙船艇)"</f>
        <v>证券买入(江龙船艇)</v>
      </c>
      <c r="K170" t="str">
        <f>"5.00"</f>
        <v>5.00</v>
      </c>
      <c r="L170" t="str">
        <f t="shared" ref="L170:N171" si="62">"0.00"</f>
        <v>0.00</v>
      </c>
      <c r="M170" t="str">
        <f t="shared" si="62"/>
        <v>0.00</v>
      </c>
      <c r="N170" t="str">
        <f t="shared" si="62"/>
        <v>0.00</v>
      </c>
      <c r="O170" t="str">
        <f>"300589"</f>
        <v>300589</v>
      </c>
      <c r="P170" t="str">
        <f>"0153613480"</f>
        <v>0153613480</v>
      </c>
    </row>
    <row r="171" spans="1:16" x14ac:dyDescent="0.25">
      <c r="A171" t="str">
        <f t="shared" si="51"/>
        <v>人民币</v>
      </c>
      <c r="B171" t="str">
        <f>"宏达电子"</f>
        <v>宏达电子</v>
      </c>
      <c r="C171" t="str">
        <f>"20180605"</f>
        <v>20180605</v>
      </c>
      <c r="D171" t="str">
        <f>"29.300"</f>
        <v>29.300</v>
      </c>
      <c r="E171" t="str">
        <f>"100.00"</f>
        <v>100.00</v>
      </c>
      <c r="F171" t="str">
        <f>"-2935.00"</f>
        <v>-2935.00</v>
      </c>
      <c r="G171" t="str">
        <f>"2981.65"</f>
        <v>2981.65</v>
      </c>
      <c r="H171" t="str">
        <f>"600.00"</f>
        <v>600.00</v>
      </c>
      <c r="I171" t="str">
        <f>"109"</f>
        <v>109</v>
      </c>
      <c r="J171" t="str">
        <f>"证券买入(宏达电子)"</f>
        <v>证券买入(宏达电子)</v>
      </c>
      <c r="K171" t="str">
        <f>"5.00"</f>
        <v>5.00</v>
      </c>
      <c r="L171" t="str">
        <f t="shared" si="62"/>
        <v>0.00</v>
      </c>
      <c r="M171" t="str">
        <f t="shared" si="62"/>
        <v>0.00</v>
      </c>
      <c r="N171" t="str">
        <f t="shared" si="62"/>
        <v>0.00</v>
      </c>
      <c r="O171" t="str">
        <f>"300726"</f>
        <v>300726</v>
      </c>
      <c r="P171" t="str">
        <f>"0153613480"</f>
        <v>0153613480</v>
      </c>
    </row>
    <row r="172" spans="1:16" x14ac:dyDescent="0.25">
      <c r="A172" t="str">
        <f t="shared" si="51"/>
        <v>人民币</v>
      </c>
      <c r="B172" t="str">
        <f>" "</f>
        <v xml:space="preserve"> </v>
      </c>
      <c r="C172" t="str">
        <f>"20180606"</f>
        <v>20180606</v>
      </c>
      <c r="D172" t="str">
        <f>"---"</f>
        <v>---</v>
      </c>
      <c r="E172" t="str">
        <f>"---"</f>
        <v>---</v>
      </c>
      <c r="F172" t="str">
        <f>"15000.00"</f>
        <v>15000.00</v>
      </c>
      <c r="G172" t="str">
        <f>"17981.65"</f>
        <v>17981.65</v>
      </c>
      <c r="H172" t="str">
        <f>"---"</f>
        <v>---</v>
      </c>
      <c r="I172" t="str">
        <f>"---"</f>
        <v>---</v>
      </c>
      <c r="J172" t="str">
        <f>"银行转存"</f>
        <v>银行转存</v>
      </c>
      <c r="K172" t="str">
        <f t="shared" ref="K172:P172" si="63">"---"</f>
        <v>---</v>
      </c>
      <c r="L172" t="str">
        <f t="shared" si="63"/>
        <v>---</v>
      </c>
      <c r="M172" t="str">
        <f t="shared" si="63"/>
        <v>---</v>
      </c>
      <c r="N172" t="str">
        <f t="shared" si="63"/>
        <v>---</v>
      </c>
      <c r="O172" t="str">
        <f t="shared" si="63"/>
        <v>---</v>
      </c>
      <c r="P172" t="str">
        <f t="shared" si="63"/>
        <v>---</v>
      </c>
    </row>
    <row r="173" spans="1:16" x14ac:dyDescent="0.25">
      <c r="A173" t="str">
        <f t="shared" si="51"/>
        <v>人民币</v>
      </c>
      <c r="B173" t="str">
        <f>"江龙船艇"</f>
        <v>江龙船艇</v>
      </c>
      <c r="C173" t="str">
        <f>"20180606"</f>
        <v>20180606</v>
      </c>
      <c r="D173" t="str">
        <f>"16.000"</f>
        <v>16.000</v>
      </c>
      <c r="E173" t="str">
        <f>"300.00"</f>
        <v>300.00</v>
      </c>
      <c r="F173" t="str">
        <f>"-4805.00"</f>
        <v>-4805.00</v>
      </c>
      <c r="G173" t="str">
        <f>"13176.65"</f>
        <v>13176.65</v>
      </c>
      <c r="H173" t="str">
        <f>"1000.00"</f>
        <v>1000.00</v>
      </c>
      <c r="I173" t="str">
        <f>"5"</f>
        <v>5</v>
      </c>
      <c r="J173" t="str">
        <f>"证券买入(江龙船艇)"</f>
        <v>证券买入(江龙船艇)</v>
      </c>
      <c r="K173" t="str">
        <f>"5.00"</f>
        <v>5.00</v>
      </c>
      <c r="L173" t="str">
        <f t="shared" ref="L173:N178" si="64">"0.00"</f>
        <v>0.00</v>
      </c>
      <c r="M173" t="str">
        <f t="shared" si="64"/>
        <v>0.00</v>
      </c>
      <c r="N173" t="str">
        <f t="shared" si="64"/>
        <v>0.00</v>
      </c>
      <c r="O173" t="str">
        <f>"300589"</f>
        <v>300589</v>
      </c>
      <c r="P173" t="str">
        <f>"0153613480"</f>
        <v>0153613480</v>
      </c>
    </row>
    <row r="174" spans="1:16" x14ac:dyDescent="0.25">
      <c r="A174" t="str">
        <f t="shared" si="51"/>
        <v>人民币</v>
      </c>
      <c r="B174" t="str">
        <f>"建投配号"</f>
        <v>建投配号</v>
      </c>
      <c r="C174" t="str">
        <f>"20180607"</f>
        <v>20180607</v>
      </c>
      <c r="D174" t="str">
        <f>"0.000"</f>
        <v>0.000</v>
      </c>
      <c r="E174" t="str">
        <f>"2.00"</f>
        <v>2.00</v>
      </c>
      <c r="F174" t="str">
        <f>"0.00"</f>
        <v>0.00</v>
      </c>
      <c r="G174" t="str">
        <f>"13176.65"</f>
        <v>13176.65</v>
      </c>
      <c r="H174" t="str">
        <f>"0.00"</f>
        <v>0.00</v>
      </c>
      <c r="I174" t="str">
        <f>"9"</f>
        <v>9</v>
      </c>
      <c r="J174" t="str">
        <f>"申购配号(建投配号)"</f>
        <v>申购配号(建投配号)</v>
      </c>
      <c r="K174" t="str">
        <f>"0.00"</f>
        <v>0.00</v>
      </c>
      <c r="L174" t="str">
        <f t="shared" si="64"/>
        <v>0.00</v>
      </c>
      <c r="M174" t="str">
        <f t="shared" si="64"/>
        <v>0.00</v>
      </c>
      <c r="N174" t="str">
        <f t="shared" si="64"/>
        <v>0.00</v>
      </c>
      <c r="O174" t="str">
        <f>"791066"</f>
        <v>791066</v>
      </c>
      <c r="P174" t="str">
        <f>"A400948245"</f>
        <v>A400948245</v>
      </c>
    </row>
    <row r="175" spans="1:16" x14ac:dyDescent="0.25">
      <c r="A175" t="str">
        <f t="shared" si="51"/>
        <v>人民币</v>
      </c>
      <c r="B175" t="str">
        <f>"宏达电子"</f>
        <v>宏达电子</v>
      </c>
      <c r="C175" t="str">
        <f>"20180607"</f>
        <v>20180607</v>
      </c>
      <c r="D175" t="str">
        <f>"29.550"</f>
        <v>29.550</v>
      </c>
      <c r="E175" t="str">
        <f>"100.00"</f>
        <v>100.00</v>
      </c>
      <c r="F175" t="str">
        <f>"-2960.00"</f>
        <v>-2960.00</v>
      </c>
      <c r="G175" t="str">
        <f>"10216.65"</f>
        <v>10216.65</v>
      </c>
      <c r="H175" t="str">
        <f>"700.00"</f>
        <v>700.00</v>
      </c>
      <c r="I175" t="str">
        <f>"11"</f>
        <v>11</v>
      </c>
      <c r="J175" t="str">
        <f>"证券买入(宏达电子)"</f>
        <v>证券买入(宏达电子)</v>
      </c>
      <c r="K175" t="str">
        <f>"5.00"</f>
        <v>5.00</v>
      </c>
      <c r="L175" t="str">
        <f t="shared" si="64"/>
        <v>0.00</v>
      </c>
      <c r="M175" t="str">
        <f t="shared" si="64"/>
        <v>0.00</v>
      </c>
      <c r="N175" t="str">
        <f t="shared" si="64"/>
        <v>0.00</v>
      </c>
      <c r="O175" t="str">
        <f>"300726"</f>
        <v>300726</v>
      </c>
      <c r="P175" t="str">
        <f>"0153613480"</f>
        <v>0153613480</v>
      </c>
    </row>
    <row r="176" spans="1:16" x14ac:dyDescent="0.25">
      <c r="A176" t="str">
        <f t="shared" si="51"/>
        <v>人民币</v>
      </c>
      <c r="B176" t="str">
        <f>"宏达电子"</f>
        <v>宏达电子</v>
      </c>
      <c r="C176" t="str">
        <f>"20180607"</f>
        <v>20180607</v>
      </c>
      <c r="D176" t="str">
        <f>"29.300"</f>
        <v>29.300</v>
      </c>
      <c r="E176" t="str">
        <f>"100.00"</f>
        <v>100.00</v>
      </c>
      <c r="F176" t="str">
        <f>"-2935.00"</f>
        <v>-2935.00</v>
      </c>
      <c r="G176" t="str">
        <f>"7281.65"</f>
        <v>7281.65</v>
      </c>
      <c r="H176" t="str">
        <f>"800.00"</f>
        <v>800.00</v>
      </c>
      <c r="I176" t="str">
        <f>"14"</f>
        <v>14</v>
      </c>
      <c r="J176" t="str">
        <f>"证券买入(宏达电子)"</f>
        <v>证券买入(宏达电子)</v>
      </c>
      <c r="K176" t="str">
        <f>"5.00"</f>
        <v>5.00</v>
      </c>
      <c r="L176" t="str">
        <f t="shared" si="64"/>
        <v>0.00</v>
      </c>
      <c r="M176" t="str">
        <f t="shared" si="64"/>
        <v>0.00</v>
      </c>
      <c r="N176" t="str">
        <f t="shared" si="64"/>
        <v>0.00</v>
      </c>
      <c r="O176" t="str">
        <f>"300726"</f>
        <v>300726</v>
      </c>
      <c r="P176" t="str">
        <f>"0153613480"</f>
        <v>0153613480</v>
      </c>
    </row>
    <row r="177" spans="1:16" x14ac:dyDescent="0.25">
      <c r="A177" t="str">
        <f t="shared" si="51"/>
        <v>人民币</v>
      </c>
      <c r="B177" t="str">
        <f>"地素配号"</f>
        <v>地素配号</v>
      </c>
      <c r="C177" t="str">
        <f>"20180612"</f>
        <v>20180612</v>
      </c>
      <c r="D177" t="str">
        <f>"0.000"</f>
        <v>0.000</v>
      </c>
      <c r="E177" t="str">
        <f>"2.00"</f>
        <v>2.00</v>
      </c>
      <c r="F177" t="str">
        <f>"0.00"</f>
        <v>0.00</v>
      </c>
      <c r="G177" t="str">
        <f>"7281.65"</f>
        <v>7281.65</v>
      </c>
      <c r="H177" t="str">
        <f>"0.00"</f>
        <v>0.00</v>
      </c>
      <c r="I177" t="str">
        <f>"20"</f>
        <v>20</v>
      </c>
      <c r="J177" t="str">
        <f>"申购配号(地素配号)"</f>
        <v>申购配号(地素配号)</v>
      </c>
      <c r="K177" t="str">
        <f>"0.00"</f>
        <v>0.00</v>
      </c>
      <c r="L177" t="str">
        <f t="shared" si="64"/>
        <v>0.00</v>
      </c>
      <c r="M177" t="str">
        <f t="shared" si="64"/>
        <v>0.00</v>
      </c>
      <c r="N177" t="str">
        <f t="shared" si="64"/>
        <v>0.00</v>
      </c>
      <c r="O177" t="str">
        <f>"736587"</f>
        <v>736587</v>
      </c>
      <c r="P177" t="str">
        <f>"A400948245"</f>
        <v>A400948245</v>
      </c>
    </row>
    <row r="178" spans="1:16" x14ac:dyDescent="0.25">
      <c r="A178" t="str">
        <f t="shared" si="51"/>
        <v>人民币</v>
      </c>
      <c r="B178" t="str">
        <f>"宏达电子"</f>
        <v>宏达电子</v>
      </c>
      <c r="C178" t="str">
        <f>"20180612"</f>
        <v>20180612</v>
      </c>
      <c r="D178" t="str">
        <f>"27.510"</f>
        <v>27.510</v>
      </c>
      <c r="E178" t="str">
        <f>"200.00"</f>
        <v>200.00</v>
      </c>
      <c r="F178" t="str">
        <f>"-5507.00"</f>
        <v>-5507.00</v>
      </c>
      <c r="G178" t="str">
        <f>"1774.65"</f>
        <v>1774.65</v>
      </c>
      <c r="H178" t="str">
        <f>"1000.00"</f>
        <v>1000.00</v>
      </c>
      <c r="I178" t="str">
        <f>"25"</f>
        <v>25</v>
      </c>
      <c r="J178" t="str">
        <f>"证券买入(宏达电子)"</f>
        <v>证券买入(宏达电子)</v>
      </c>
      <c r="K178" t="str">
        <f>"5.00"</f>
        <v>5.00</v>
      </c>
      <c r="L178" t="str">
        <f t="shared" si="64"/>
        <v>0.00</v>
      </c>
      <c r="M178" t="str">
        <f t="shared" si="64"/>
        <v>0.00</v>
      </c>
      <c r="N178" t="str">
        <f t="shared" si="64"/>
        <v>0.00</v>
      </c>
      <c r="O178" t="str">
        <f>"300726"</f>
        <v>300726</v>
      </c>
      <c r="P178" t="str">
        <f>"0153613480"</f>
        <v>0153613480</v>
      </c>
    </row>
    <row r="179" spans="1:16" x14ac:dyDescent="0.25">
      <c r="A179" t="str">
        <f t="shared" si="51"/>
        <v>人民币</v>
      </c>
      <c r="B179" t="str">
        <f>" "</f>
        <v xml:space="preserve"> </v>
      </c>
      <c r="C179" t="str">
        <f>"20180615"</f>
        <v>20180615</v>
      </c>
      <c r="D179" t="str">
        <f>"---"</f>
        <v>---</v>
      </c>
      <c r="E179" t="str">
        <f>"---"</f>
        <v>---</v>
      </c>
      <c r="F179" t="str">
        <f>"15000.00"</f>
        <v>15000.00</v>
      </c>
      <c r="G179" t="str">
        <f>"16774.65"</f>
        <v>16774.65</v>
      </c>
      <c r="H179" t="str">
        <f>"---"</f>
        <v>---</v>
      </c>
      <c r="I179" t="str">
        <f>"---"</f>
        <v>---</v>
      </c>
      <c r="J179" t="str">
        <f>"银行转存"</f>
        <v>银行转存</v>
      </c>
      <c r="K179" t="str">
        <f t="shared" ref="K179:P179" si="65">"---"</f>
        <v>---</v>
      </c>
      <c r="L179" t="str">
        <f t="shared" si="65"/>
        <v>---</v>
      </c>
      <c r="M179" t="str">
        <f t="shared" si="65"/>
        <v>---</v>
      </c>
      <c r="N179" t="str">
        <f t="shared" si="65"/>
        <v>---</v>
      </c>
      <c r="O179" t="str">
        <f t="shared" si="65"/>
        <v>---</v>
      </c>
      <c r="P179" t="str">
        <f t="shared" si="65"/>
        <v>---</v>
      </c>
    </row>
    <row r="180" spans="1:16" x14ac:dyDescent="0.25">
      <c r="A180" t="str">
        <f t="shared" si="51"/>
        <v>人民币</v>
      </c>
      <c r="B180" t="str">
        <f>"江龙船艇"</f>
        <v>江龙船艇</v>
      </c>
      <c r="C180" t="str">
        <f>"20180615"</f>
        <v>20180615</v>
      </c>
      <c r="D180" t="str">
        <f>"13.700"</f>
        <v>13.700</v>
      </c>
      <c r="E180" t="str">
        <f>"500.00"</f>
        <v>500.00</v>
      </c>
      <c r="F180" t="str">
        <f>"-6855.00"</f>
        <v>-6855.00</v>
      </c>
      <c r="G180" t="str">
        <f>"9919.65"</f>
        <v>9919.65</v>
      </c>
      <c r="H180" t="str">
        <f>"1500.00"</f>
        <v>1500.00</v>
      </c>
      <c r="I180" t="str">
        <f>"31"</f>
        <v>31</v>
      </c>
      <c r="J180" t="str">
        <f>"证券买入(江龙船艇)"</f>
        <v>证券买入(江龙船艇)</v>
      </c>
      <c r="K180" t="str">
        <f>"5.00"</f>
        <v>5.00</v>
      </c>
      <c r="L180" t="str">
        <f t="shared" ref="L180:N182" si="66">"0.00"</f>
        <v>0.00</v>
      </c>
      <c r="M180" t="str">
        <f t="shared" si="66"/>
        <v>0.00</v>
      </c>
      <c r="N180" t="str">
        <f t="shared" si="66"/>
        <v>0.00</v>
      </c>
      <c r="O180" t="str">
        <f>"300589"</f>
        <v>300589</v>
      </c>
      <c r="P180" t="str">
        <f>"0153613480"</f>
        <v>0153613480</v>
      </c>
    </row>
    <row r="181" spans="1:16" x14ac:dyDescent="0.25">
      <c r="A181" t="str">
        <f t="shared" si="51"/>
        <v>人民币</v>
      </c>
      <c r="B181" t="str">
        <f>"江龙船艇"</f>
        <v>江龙船艇</v>
      </c>
      <c r="C181" t="str">
        <f>"20180615"</f>
        <v>20180615</v>
      </c>
      <c r="D181" t="str">
        <f>"13.040"</f>
        <v>13.040</v>
      </c>
      <c r="E181" t="str">
        <f>"400.00"</f>
        <v>400.00</v>
      </c>
      <c r="F181" t="str">
        <f>"-5221.00"</f>
        <v>-5221.00</v>
      </c>
      <c r="G181" t="str">
        <f>"4698.65"</f>
        <v>4698.65</v>
      </c>
      <c r="H181" t="str">
        <f>"1900.00"</f>
        <v>1900.00</v>
      </c>
      <c r="I181" t="str">
        <f>"34"</f>
        <v>34</v>
      </c>
      <c r="J181" t="str">
        <f>"证券买入(江龙船艇)"</f>
        <v>证券买入(江龙船艇)</v>
      </c>
      <c r="K181" t="str">
        <f>"5.00"</f>
        <v>5.00</v>
      </c>
      <c r="L181" t="str">
        <f t="shared" si="66"/>
        <v>0.00</v>
      </c>
      <c r="M181" t="str">
        <f t="shared" si="66"/>
        <v>0.00</v>
      </c>
      <c r="N181" t="str">
        <f t="shared" si="66"/>
        <v>0.00</v>
      </c>
      <c r="O181" t="str">
        <f>"300589"</f>
        <v>300589</v>
      </c>
      <c r="P181" t="str">
        <f>"0153613480"</f>
        <v>0153613480</v>
      </c>
    </row>
    <row r="182" spans="1:16" x14ac:dyDescent="0.25">
      <c r="A182" t="str">
        <f t="shared" si="51"/>
        <v>人民币</v>
      </c>
      <c r="B182" t="str">
        <f>"江龙船艇"</f>
        <v>江龙船艇</v>
      </c>
      <c r="C182" t="str">
        <f>"20180619"</f>
        <v>20180619</v>
      </c>
      <c r="D182" t="str">
        <f>"12.930"</f>
        <v>12.930</v>
      </c>
      <c r="E182" t="str">
        <f>"300.00"</f>
        <v>300.00</v>
      </c>
      <c r="F182" t="str">
        <f>"-3884.00"</f>
        <v>-3884.00</v>
      </c>
      <c r="G182" t="str">
        <f>"814.65"</f>
        <v>814.65</v>
      </c>
      <c r="H182" t="str">
        <f>"2200.00"</f>
        <v>2200.00</v>
      </c>
      <c r="I182" t="str">
        <f>"40"</f>
        <v>40</v>
      </c>
      <c r="J182" t="str">
        <f>"证券买入(江龙船艇)"</f>
        <v>证券买入(江龙船艇)</v>
      </c>
      <c r="K182" t="str">
        <f>"5.00"</f>
        <v>5.00</v>
      </c>
      <c r="L182" t="str">
        <f t="shared" si="66"/>
        <v>0.00</v>
      </c>
      <c r="M182" t="str">
        <f t="shared" si="66"/>
        <v>0.00</v>
      </c>
      <c r="N182" t="str">
        <f t="shared" si="66"/>
        <v>0.00</v>
      </c>
      <c r="O182" t="str">
        <f>"300589"</f>
        <v>300589</v>
      </c>
      <c r="P182" t="str">
        <f>"0153613480"</f>
        <v>0153613480</v>
      </c>
    </row>
    <row r="183" spans="1:16" x14ac:dyDescent="0.25">
      <c r="A183" t="str">
        <f t="shared" si="51"/>
        <v>人民币</v>
      </c>
      <c r="B183" t="str">
        <f>" "</f>
        <v xml:space="preserve"> </v>
      </c>
      <c r="C183" t="str">
        <f>"20180620"</f>
        <v>20180620</v>
      </c>
      <c r="D183" t="str">
        <f>"---"</f>
        <v>---</v>
      </c>
      <c r="E183" t="str">
        <f>"---"</f>
        <v>---</v>
      </c>
      <c r="F183" t="str">
        <f>"10000.00"</f>
        <v>10000.00</v>
      </c>
      <c r="G183" t="str">
        <f>"10814.65"</f>
        <v>10814.65</v>
      </c>
      <c r="H183" t="str">
        <f>"---"</f>
        <v>---</v>
      </c>
      <c r="I183" t="str">
        <f>"---"</f>
        <v>---</v>
      </c>
      <c r="J183" t="str">
        <f>"银行转存"</f>
        <v>银行转存</v>
      </c>
      <c r="K183" t="str">
        <f t="shared" ref="K183:P184" si="67">"---"</f>
        <v>---</v>
      </c>
      <c r="L183" t="str">
        <f t="shared" si="67"/>
        <v>---</v>
      </c>
      <c r="M183" t="str">
        <f t="shared" si="67"/>
        <v>---</v>
      </c>
      <c r="N183" t="str">
        <f t="shared" si="67"/>
        <v>---</v>
      </c>
      <c r="O183" t="str">
        <f t="shared" si="67"/>
        <v>---</v>
      </c>
      <c r="P183" t="str">
        <f t="shared" si="67"/>
        <v>---</v>
      </c>
    </row>
    <row r="184" spans="1:16" x14ac:dyDescent="0.25">
      <c r="A184" t="str">
        <f t="shared" si="51"/>
        <v>人民币</v>
      </c>
      <c r="B184" t="str">
        <f>" "</f>
        <v xml:space="preserve"> </v>
      </c>
      <c r="C184" t="str">
        <f>"20180620"</f>
        <v>20180620</v>
      </c>
      <c r="D184" t="str">
        <f>"---"</f>
        <v>---</v>
      </c>
      <c r="E184" t="str">
        <f>"---"</f>
        <v>---</v>
      </c>
      <c r="F184" t="str">
        <f>"6.35"</f>
        <v>6.35</v>
      </c>
      <c r="G184" t="str">
        <f>"10821.00"</f>
        <v>10821.00</v>
      </c>
      <c r="H184" t="str">
        <f>"---"</f>
        <v>---</v>
      </c>
      <c r="I184" t="str">
        <f>"---"</f>
        <v>---</v>
      </c>
      <c r="J184" t="str">
        <f>"批量利息归本"</f>
        <v>批量利息归本</v>
      </c>
      <c r="K184" t="str">
        <f t="shared" si="67"/>
        <v>---</v>
      </c>
      <c r="L184" t="str">
        <f t="shared" si="67"/>
        <v>---</v>
      </c>
      <c r="M184" t="str">
        <f t="shared" si="67"/>
        <v>---</v>
      </c>
      <c r="N184" t="str">
        <f t="shared" si="67"/>
        <v>---</v>
      </c>
      <c r="O184" t="str">
        <f t="shared" si="67"/>
        <v>---</v>
      </c>
      <c r="P184" t="str">
        <f t="shared" si="67"/>
        <v>---</v>
      </c>
    </row>
    <row r="185" spans="1:16" x14ac:dyDescent="0.25">
      <c r="A185" t="str">
        <f t="shared" si="51"/>
        <v>人民币</v>
      </c>
      <c r="B185" t="str">
        <f>"江龙船艇"</f>
        <v>江龙船艇</v>
      </c>
      <c r="C185" t="str">
        <f>"20180620"</f>
        <v>20180620</v>
      </c>
      <c r="D185" t="str">
        <f>"12.540"</f>
        <v>12.540</v>
      </c>
      <c r="E185" t="str">
        <f>"300.00"</f>
        <v>300.00</v>
      </c>
      <c r="F185" t="str">
        <f>"-3767.00"</f>
        <v>-3767.00</v>
      </c>
      <c r="G185" t="str">
        <f>"7054.00"</f>
        <v>7054.00</v>
      </c>
      <c r="H185" t="str">
        <f>"2500.00"</f>
        <v>2500.00</v>
      </c>
      <c r="I185" t="str">
        <f>"46"</f>
        <v>46</v>
      </c>
      <c r="J185" t="str">
        <f>"证券买入(江龙船艇)"</f>
        <v>证券买入(江龙船艇)</v>
      </c>
      <c r="K185" t="str">
        <f>"5.00"</f>
        <v>5.00</v>
      </c>
      <c r="L185" t="str">
        <f t="shared" ref="L185:N193" si="68">"0.00"</f>
        <v>0.00</v>
      </c>
      <c r="M185" t="str">
        <f t="shared" si="68"/>
        <v>0.00</v>
      </c>
      <c r="N185" t="str">
        <f t="shared" si="68"/>
        <v>0.00</v>
      </c>
      <c r="O185" t="str">
        <f>"300589"</f>
        <v>300589</v>
      </c>
      <c r="P185" t="str">
        <f>"0153613480"</f>
        <v>0153613480</v>
      </c>
    </row>
    <row r="186" spans="1:16" x14ac:dyDescent="0.25">
      <c r="A186" t="str">
        <f t="shared" si="51"/>
        <v>人民币</v>
      </c>
      <c r="B186" t="str">
        <f>"新能配号"</f>
        <v>新能配号</v>
      </c>
      <c r="C186" t="str">
        <f>"20180621"</f>
        <v>20180621</v>
      </c>
      <c r="D186" t="str">
        <f>"0.000"</f>
        <v>0.000</v>
      </c>
      <c r="E186" t="str">
        <f>"1.00"</f>
        <v>1.00</v>
      </c>
      <c r="F186" t="str">
        <f>"0.00"</f>
        <v>0.00</v>
      </c>
      <c r="G186" t="str">
        <f>"7054.00"</f>
        <v>7054.00</v>
      </c>
      <c r="H186" t="str">
        <f>"0.00"</f>
        <v>0.00</v>
      </c>
      <c r="I186" t="str">
        <f>"54"</f>
        <v>54</v>
      </c>
      <c r="J186" t="str">
        <f>"申购配号(新能配号)"</f>
        <v>申购配号(新能配号)</v>
      </c>
      <c r="K186" t="str">
        <f>"0.00"</f>
        <v>0.00</v>
      </c>
      <c r="L186" t="str">
        <f t="shared" si="68"/>
        <v>0.00</v>
      </c>
      <c r="M186" t="str">
        <f t="shared" si="68"/>
        <v>0.00</v>
      </c>
      <c r="N186" t="str">
        <f t="shared" si="68"/>
        <v>0.00</v>
      </c>
      <c r="O186" t="str">
        <f>"736693"</f>
        <v>736693</v>
      </c>
      <c r="P186" t="str">
        <f>"A400948245"</f>
        <v>A400948245</v>
      </c>
    </row>
    <row r="187" spans="1:16" x14ac:dyDescent="0.25">
      <c r="A187" t="str">
        <f t="shared" si="51"/>
        <v>人民币</v>
      </c>
      <c r="B187" t="str">
        <f>"宏达电子"</f>
        <v>宏达电子</v>
      </c>
      <c r="C187" t="str">
        <f>"20180621"</f>
        <v>20180621</v>
      </c>
      <c r="D187" t="str">
        <f>"25.920"</f>
        <v>25.920</v>
      </c>
      <c r="E187" t="str">
        <f>"200.00"</f>
        <v>200.00</v>
      </c>
      <c r="F187" t="str">
        <f>"-5189.00"</f>
        <v>-5189.00</v>
      </c>
      <c r="G187" t="str">
        <f>"1865.00"</f>
        <v>1865.00</v>
      </c>
      <c r="H187" t="str">
        <f>"1200.00"</f>
        <v>1200.00</v>
      </c>
      <c r="I187" t="str">
        <f>"52"</f>
        <v>52</v>
      </c>
      <c r="J187" t="str">
        <f>"证券买入(宏达电子)"</f>
        <v>证券买入(宏达电子)</v>
      </c>
      <c r="K187" t="str">
        <f>"5.00"</f>
        <v>5.00</v>
      </c>
      <c r="L187" t="str">
        <f t="shared" si="68"/>
        <v>0.00</v>
      </c>
      <c r="M187" t="str">
        <f t="shared" si="68"/>
        <v>0.00</v>
      </c>
      <c r="N187" t="str">
        <f t="shared" si="68"/>
        <v>0.00</v>
      </c>
      <c r="O187" t="str">
        <f>"300726"</f>
        <v>300726</v>
      </c>
      <c r="P187" t="str">
        <f>"0153613480"</f>
        <v>0153613480</v>
      </c>
    </row>
    <row r="188" spans="1:16" x14ac:dyDescent="0.25">
      <c r="A188" t="str">
        <f t="shared" si="51"/>
        <v>人民币</v>
      </c>
      <c r="B188" t="str">
        <f>"环宇配号"</f>
        <v>环宇配号</v>
      </c>
      <c r="C188" t="str">
        <f>"20180627"</f>
        <v>20180627</v>
      </c>
      <c r="D188" t="str">
        <f>"0.000"</f>
        <v>0.000</v>
      </c>
      <c r="E188" t="str">
        <f>"1.00"</f>
        <v>1.00</v>
      </c>
      <c r="F188" t="str">
        <f>"0.00"</f>
        <v>0.00</v>
      </c>
      <c r="G188" t="str">
        <f>"1865.00"</f>
        <v>1865.00</v>
      </c>
      <c r="H188" t="str">
        <f>"0.00"</f>
        <v>0.00</v>
      </c>
      <c r="I188" t="str">
        <f>"64"</f>
        <v>64</v>
      </c>
      <c r="J188" t="str">
        <f>"申购配号(环宇配号)"</f>
        <v>申购配号(环宇配号)</v>
      </c>
      <c r="K188" t="str">
        <f>"0.00"</f>
        <v>0.00</v>
      </c>
      <c r="L188" t="str">
        <f t="shared" si="68"/>
        <v>0.00</v>
      </c>
      <c r="M188" t="str">
        <f t="shared" si="68"/>
        <v>0.00</v>
      </c>
      <c r="N188" t="str">
        <f t="shared" si="68"/>
        <v>0.00</v>
      </c>
      <c r="O188" t="str">
        <f>"736706"</f>
        <v>736706</v>
      </c>
      <c r="P188" t="str">
        <f>"A400948245"</f>
        <v>A400948245</v>
      </c>
    </row>
    <row r="189" spans="1:16" x14ac:dyDescent="0.25">
      <c r="A189" t="str">
        <f t="shared" si="51"/>
        <v>人民币</v>
      </c>
      <c r="B189" t="str">
        <f>"芯能配号"</f>
        <v>芯能配号</v>
      </c>
      <c r="C189" t="str">
        <f>"20180627"</f>
        <v>20180627</v>
      </c>
      <c r="D189" t="str">
        <f>"0.000"</f>
        <v>0.000</v>
      </c>
      <c r="E189" t="str">
        <f>"1.00"</f>
        <v>1.00</v>
      </c>
      <c r="F189" t="str">
        <f>"0.00"</f>
        <v>0.00</v>
      </c>
      <c r="G189" t="str">
        <f>"1865.00"</f>
        <v>1865.00</v>
      </c>
      <c r="H189" t="str">
        <f>"0.00"</f>
        <v>0.00</v>
      </c>
      <c r="I189" t="str">
        <f>"66"</f>
        <v>66</v>
      </c>
      <c r="J189" t="str">
        <f>"申购配号(芯能配号)"</f>
        <v>申购配号(芯能配号)</v>
      </c>
      <c r="K189" t="str">
        <f>"0.00"</f>
        <v>0.00</v>
      </c>
      <c r="L189" t="str">
        <f t="shared" si="68"/>
        <v>0.00</v>
      </c>
      <c r="M189" t="str">
        <f t="shared" si="68"/>
        <v>0.00</v>
      </c>
      <c r="N189" t="str">
        <f t="shared" si="68"/>
        <v>0.00</v>
      </c>
      <c r="O189" t="str">
        <f>"736105"</f>
        <v>736105</v>
      </c>
      <c r="P189" t="str">
        <f>"A400948245"</f>
        <v>A400948245</v>
      </c>
    </row>
    <row r="190" spans="1:16" x14ac:dyDescent="0.25">
      <c r="A190" t="str">
        <f t="shared" si="51"/>
        <v>人民币</v>
      </c>
      <c r="B190" t="str">
        <f>"江龙船艇"</f>
        <v>江龙船艇</v>
      </c>
      <c r="C190" t="str">
        <f>"20180627"</f>
        <v>20180627</v>
      </c>
      <c r="D190" t="str">
        <f>"13.880"</f>
        <v>13.880</v>
      </c>
      <c r="E190" t="str">
        <f>"-1000.00"</f>
        <v>-1000.00</v>
      </c>
      <c r="F190" t="str">
        <f>"13861.12"</f>
        <v>13861.12</v>
      </c>
      <c r="G190" t="str">
        <f>"15726.12"</f>
        <v>15726.12</v>
      </c>
      <c r="H190" t="str">
        <f>"1500.00"</f>
        <v>1500.00</v>
      </c>
      <c r="I190" t="str">
        <f>"70"</f>
        <v>70</v>
      </c>
      <c r="J190" t="str">
        <f>"证券卖出(江龙船艇)"</f>
        <v>证券卖出(江龙船艇)</v>
      </c>
      <c r="K190" t="str">
        <f>"5.00"</f>
        <v>5.00</v>
      </c>
      <c r="L190" t="str">
        <f>"13.88"</f>
        <v>13.88</v>
      </c>
      <c r="M190" t="str">
        <f t="shared" si="68"/>
        <v>0.00</v>
      </c>
      <c r="N190" t="str">
        <f t="shared" si="68"/>
        <v>0.00</v>
      </c>
      <c r="O190" t="str">
        <f>"300589"</f>
        <v>300589</v>
      </c>
      <c r="P190" t="str">
        <f>"0153613480"</f>
        <v>0153613480</v>
      </c>
    </row>
    <row r="191" spans="1:16" x14ac:dyDescent="0.25">
      <c r="A191" t="str">
        <f t="shared" si="51"/>
        <v>人民币</v>
      </c>
      <c r="B191" t="str">
        <f>"宏达电子"</f>
        <v>宏达电子</v>
      </c>
      <c r="C191" t="str">
        <f>"20180628"</f>
        <v>20180628</v>
      </c>
      <c r="D191" t="str">
        <f>"27.600"</f>
        <v>27.600</v>
      </c>
      <c r="E191" t="str">
        <f>"-200.00"</f>
        <v>-200.00</v>
      </c>
      <c r="F191" t="str">
        <f>"5509.48"</f>
        <v>5509.48</v>
      </c>
      <c r="G191" t="str">
        <f>"21235.60"</f>
        <v>21235.60</v>
      </c>
      <c r="H191" t="str">
        <f>"1000.00"</f>
        <v>1000.00</v>
      </c>
      <c r="I191" t="str">
        <f>"81"</f>
        <v>81</v>
      </c>
      <c r="J191" t="str">
        <f>"证券卖出(宏达电子)"</f>
        <v>证券卖出(宏达电子)</v>
      </c>
      <c r="K191" t="str">
        <f>"5.00"</f>
        <v>5.00</v>
      </c>
      <c r="L191" t="str">
        <f>"5.52"</f>
        <v>5.52</v>
      </c>
      <c r="M191" t="str">
        <f t="shared" si="68"/>
        <v>0.00</v>
      </c>
      <c r="N191" t="str">
        <f t="shared" si="68"/>
        <v>0.00</v>
      </c>
      <c r="O191" t="str">
        <f>"300726"</f>
        <v>300726</v>
      </c>
      <c r="P191" t="str">
        <f>"0153613480"</f>
        <v>0153613480</v>
      </c>
    </row>
    <row r="192" spans="1:16" x14ac:dyDescent="0.25">
      <c r="A192" t="str">
        <f t="shared" si="51"/>
        <v>人民币</v>
      </c>
      <c r="B192" t="str">
        <f>"宏达电子"</f>
        <v>宏达电子</v>
      </c>
      <c r="C192" t="str">
        <f>"20180628"</f>
        <v>20180628</v>
      </c>
      <c r="D192" t="str">
        <f>"27.220"</f>
        <v>27.220</v>
      </c>
      <c r="E192" t="str">
        <f>"200.00"</f>
        <v>200.00</v>
      </c>
      <c r="F192" t="str">
        <f>"-5449.00"</f>
        <v>-5449.00</v>
      </c>
      <c r="G192" t="str">
        <f>"15786.60"</f>
        <v>15786.60</v>
      </c>
      <c r="H192" t="str">
        <f>"1200.00"</f>
        <v>1200.00</v>
      </c>
      <c r="I192" t="str">
        <f>"84"</f>
        <v>84</v>
      </c>
      <c r="J192" t="str">
        <f>"证券买入(宏达电子)"</f>
        <v>证券买入(宏达电子)</v>
      </c>
      <c r="K192" t="str">
        <f>"5.00"</f>
        <v>5.00</v>
      </c>
      <c r="L192" t="str">
        <f>"0.00"</f>
        <v>0.00</v>
      </c>
      <c r="M192" t="str">
        <f t="shared" si="68"/>
        <v>0.00</v>
      </c>
      <c r="N192" t="str">
        <f t="shared" si="68"/>
        <v>0.00</v>
      </c>
      <c r="O192" t="str">
        <f>"300726"</f>
        <v>300726</v>
      </c>
      <c r="P192" t="str">
        <f>"0153613480"</f>
        <v>0153613480</v>
      </c>
    </row>
    <row r="193" spans="1:16" x14ac:dyDescent="0.25">
      <c r="A193" t="str">
        <f t="shared" si="51"/>
        <v>人民币</v>
      </c>
      <c r="B193" t="str">
        <f>"江龙船艇"</f>
        <v>江龙船艇</v>
      </c>
      <c r="C193" t="str">
        <f>"20180628"</f>
        <v>20180628</v>
      </c>
      <c r="D193" t="str">
        <f>"13.480"</f>
        <v>13.480</v>
      </c>
      <c r="E193" t="str">
        <f>"500.00"</f>
        <v>500.00</v>
      </c>
      <c r="F193" t="str">
        <f>"-6745.00"</f>
        <v>-6745.00</v>
      </c>
      <c r="G193" t="str">
        <f>"9041.60"</f>
        <v>9041.60</v>
      </c>
      <c r="H193" t="str">
        <f>"2000.00"</f>
        <v>2000.00</v>
      </c>
      <c r="I193" t="str">
        <f>"77"</f>
        <v>77</v>
      </c>
      <c r="J193" t="str">
        <f>"证券买入(江龙船艇)"</f>
        <v>证券买入(江龙船艇)</v>
      </c>
      <c r="K193" t="str">
        <f>"5.00"</f>
        <v>5.00</v>
      </c>
      <c r="L193" t="str">
        <f>"0.00"</f>
        <v>0.00</v>
      </c>
      <c r="M193" t="str">
        <f t="shared" si="68"/>
        <v>0.00</v>
      </c>
      <c r="N193" t="str">
        <f t="shared" si="68"/>
        <v>0.00</v>
      </c>
      <c r="O193" t="str">
        <f>"300589"</f>
        <v>300589</v>
      </c>
      <c r="P193" t="str">
        <f>"0153613480"</f>
        <v>0153613480</v>
      </c>
    </row>
    <row r="194" spans="1:16" x14ac:dyDescent="0.25">
      <c r="A194" t="str">
        <f t="shared" ref="A194:A257" si="69">"人民币"</f>
        <v>人民币</v>
      </c>
      <c r="B194" t="str">
        <f>" "</f>
        <v xml:space="preserve"> </v>
      </c>
      <c r="C194" t="str">
        <f>"20180629"</f>
        <v>20180629</v>
      </c>
      <c r="D194" t="str">
        <f>"---"</f>
        <v>---</v>
      </c>
      <c r="E194" t="str">
        <f>"---"</f>
        <v>---</v>
      </c>
      <c r="F194" t="str">
        <f>"-9000.00"</f>
        <v>-9000.00</v>
      </c>
      <c r="G194" t="str">
        <f>"41.60"</f>
        <v>41.60</v>
      </c>
      <c r="H194" t="str">
        <f>"---"</f>
        <v>---</v>
      </c>
      <c r="I194" t="str">
        <f>"---"</f>
        <v>---</v>
      </c>
      <c r="J194" t="str">
        <f>"银行转取"</f>
        <v>银行转取</v>
      </c>
      <c r="K194" t="str">
        <f t="shared" ref="K194:P194" si="70">"---"</f>
        <v>---</v>
      </c>
      <c r="L194" t="str">
        <f t="shared" si="70"/>
        <v>---</v>
      </c>
      <c r="M194" t="str">
        <f t="shared" si="70"/>
        <v>---</v>
      </c>
      <c r="N194" t="str">
        <f t="shared" si="70"/>
        <v>---</v>
      </c>
      <c r="O194" t="str">
        <f t="shared" si="70"/>
        <v>---</v>
      </c>
      <c r="P194" t="str">
        <f t="shared" si="70"/>
        <v>---</v>
      </c>
    </row>
    <row r="195" spans="1:16" x14ac:dyDescent="0.25">
      <c r="A195" t="str">
        <f t="shared" si="69"/>
        <v>人民币</v>
      </c>
      <c r="B195" t="str">
        <f>"宏达电子"</f>
        <v>宏达电子</v>
      </c>
      <c r="C195" t="str">
        <f>"20180629"</f>
        <v>20180629</v>
      </c>
      <c r="D195" t="str">
        <f>"28.420"</f>
        <v>28.420</v>
      </c>
      <c r="E195" t="str">
        <f>"-200.00"</f>
        <v>-200.00</v>
      </c>
      <c r="F195" t="str">
        <f>"5673.32"</f>
        <v>5673.32</v>
      </c>
      <c r="G195" t="str">
        <f>"5714.92"</f>
        <v>5714.92</v>
      </c>
      <c r="H195" t="str">
        <f>"1000.00"</f>
        <v>1000.00</v>
      </c>
      <c r="I195" t="str">
        <f>"90"</f>
        <v>90</v>
      </c>
      <c r="J195" t="str">
        <f>"证券卖出(宏达电子)"</f>
        <v>证券卖出(宏达电子)</v>
      </c>
      <c r="K195" t="str">
        <f>"5.00"</f>
        <v>5.00</v>
      </c>
      <c r="L195" t="str">
        <f>"5.68"</f>
        <v>5.68</v>
      </c>
      <c r="M195" t="str">
        <f>"0.00"</f>
        <v>0.00</v>
      </c>
      <c r="N195" t="str">
        <f>"0.00"</f>
        <v>0.00</v>
      </c>
      <c r="O195" t="str">
        <f>"300726"</f>
        <v>300726</v>
      </c>
      <c r="P195" t="str">
        <f>"0153613480"</f>
        <v>0153613480</v>
      </c>
    </row>
    <row r="196" spans="1:16" x14ac:dyDescent="0.25">
      <c r="A196" t="str">
        <f t="shared" si="69"/>
        <v>人民币</v>
      </c>
      <c r="B196" t="str">
        <f>"明德生物"</f>
        <v>明德生物</v>
      </c>
      <c r="C196" t="str">
        <f>"20180629"</f>
        <v>20180629</v>
      </c>
      <c r="D196" t="str">
        <f>"0.000"</f>
        <v>0.000</v>
      </c>
      <c r="E196" t="str">
        <f>"8.00"</f>
        <v>8.00</v>
      </c>
      <c r="F196" t="str">
        <f>"0.00"</f>
        <v>0.00</v>
      </c>
      <c r="G196" t="str">
        <f>"5714.92"</f>
        <v>5714.92</v>
      </c>
      <c r="H196" t="str">
        <f>"0.00"</f>
        <v>0.00</v>
      </c>
      <c r="I196" t="str">
        <f>"94"</f>
        <v>94</v>
      </c>
      <c r="J196" t="str">
        <f>"申购配号(明德生物)"</f>
        <v>申购配号(明德生物)</v>
      </c>
      <c r="K196" t="str">
        <f>"0.00"</f>
        <v>0.00</v>
      </c>
      <c r="L196" t="str">
        <f>"0.00"</f>
        <v>0.00</v>
      </c>
      <c r="M196" t="str">
        <f>"0.00"</f>
        <v>0.00</v>
      </c>
      <c r="N196" t="str">
        <f>"0.00"</f>
        <v>0.00</v>
      </c>
      <c r="O196" t="str">
        <f>"002932"</f>
        <v>002932</v>
      </c>
      <c r="P196" t="str">
        <f>"0153613480"</f>
        <v>0153613480</v>
      </c>
    </row>
    <row r="197" spans="1:16" x14ac:dyDescent="0.25">
      <c r="A197" t="str">
        <f t="shared" si="69"/>
        <v>人民币</v>
      </c>
      <c r="B197" t="str">
        <f>" "</f>
        <v xml:space="preserve"> </v>
      </c>
      <c r="C197" t="str">
        <f>"20180702"</f>
        <v>20180702</v>
      </c>
      <c r="D197" t="str">
        <f>"---"</f>
        <v>---</v>
      </c>
      <c r="E197" t="str">
        <f>"---"</f>
        <v>---</v>
      </c>
      <c r="F197" t="str">
        <f>"9000.00"</f>
        <v>9000.00</v>
      </c>
      <c r="G197" t="str">
        <f>"14714.92"</f>
        <v>14714.92</v>
      </c>
      <c r="H197" t="str">
        <f>"---"</f>
        <v>---</v>
      </c>
      <c r="I197" t="str">
        <f>"---"</f>
        <v>---</v>
      </c>
      <c r="J197" t="str">
        <f>"银行转存"</f>
        <v>银行转存</v>
      </c>
      <c r="K197" t="str">
        <f t="shared" ref="K197:P197" si="71">"---"</f>
        <v>---</v>
      </c>
      <c r="L197" t="str">
        <f t="shared" si="71"/>
        <v>---</v>
      </c>
      <c r="M197" t="str">
        <f t="shared" si="71"/>
        <v>---</v>
      </c>
      <c r="N197" t="str">
        <f t="shared" si="71"/>
        <v>---</v>
      </c>
      <c r="O197" t="str">
        <f t="shared" si="71"/>
        <v>---</v>
      </c>
      <c r="P197" t="str">
        <f t="shared" si="71"/>
        <v>---</v>
      </c>
    </row>
    <row r="198" spans="1:16" x14ac:dyDescent="0.25">
      <c r="A198" t="str">
        <f t="shared" si="69"/>
        <v>人民币</v>
      </c>
      <c r="B198" t="str">
        <f>"宏达电子"</f>
        <v>宏达电子</v>
      </c>
      <c r="C198" t="str">
        <f>"20180702"</f>
        <v>20180702</v>
      </c>
      <c r="D198" t="str">
        <f>"28.710"</f>
        <v>28.710</v>
      </c>
      <c r="E198" t="str">
        <f>"300.00"</f>
        <v>300.00</v>
      </c>
      <c r="F198" t="str">
        <f>"-8618.00"</f>
        <v>-8618.00</v>
      </c>
      <c r="G198" t="str">
        <f>"6096.92"</f>
        <v>6096.92</v>
      </c>
      <c r="H198" t="str">
        <f>"1300.00"</f>
        <v>1300.00</v>
      </c>
      <c r="I198" t="str">
        <f>"100"</f>
        <v>100</v>
      </c>
      <c r="J198" t="str">
        <f>"证券买入(宏达电子)"</f>
        <v>证券买入(宏达电子)</v>
      </c>
      <c r="K198" t="str">
        <f>"5.00"</f>
        <v>5.00</v>
      </c>
      <c r="L198" t="str">
        <f t="shared" ref="L198:N207" si="72">"0.00"</f>
        <v>0.00</v>
      </c>
      <c r="M198" t="str">
        <f t="shared" si="72"/>
        <v>0.00</v>
      </c>
      <c r="N198" t="str">
        <f t="shared" si="72"/>
        <v>0.00</v>
      </c>
      <c r="O198" t="str">
        <f>"300726"</f>
        <v>300726</v>
      </c>
      <c r="P198" t="str">
        <f>"0153613480"</f>
        <v>0153613480</v>
      </c>
    </row>
    <row r="199" spans="1:16" x14ac:dyDescent="0.25">
      <c r="A199" t="str">
        <f t="shared" si="69"/>
        <v>人民币</v>
      </c>
      <c r="B199" t="str">
        <f>"宏达电子"</f>
        <v>宏达电子</v>
      </c>
      <c r="C199" t="str">
        <f>"20180702"</f>
        <v>20180702</v>
      </c>
      <c r="D199" t="str">
        <f>"28.320"</f>
        <v>28.320</v>
      </c>
      <c r="E199" t="str">
        <f>"200.00"</f>
        <v>200.00</v>
      </c>
      <c r="F199" t="str">
        <f>"-5669.00"</f>
        <v>-5669.00</v>
      </c>
      <c r="G199" t="str">
        <f>"427.92"</f>
        <v>427.92</v>
      </c>
      <c r="H199" t="str">
        <f>"1500.00"</f>
        <v>1500.00</v>
      </c>
      <c r="I199" t="str">
        <f>"104"</f>
        <v>104</v>
      </c>
      <c r="J199" t="str">
        <f>"证券买入(宏达电子)"</f>
        <v>证券买入(宏达电子)</v>
      </c>
      <c r="K199" t="str">
        <f>"5.00"</f>
        <v>5.00</v>
      </c>
      <c r="L199" t="str">
        <f t="shared" si="72"/>
        <v>0.00</v>
      </c>
      <c r="M199" t="str">
        <f t="shared" si="72"/>
        <v>0.00</v>
      </c>
      <c r="N199" t="str">
        <f t="shared" si="72"/>
        <v>0.00</v>
      </c>
      <c r="O199" t="str">
        <f>"300726"</f>
        <v>300726</v>
      </c>
      <c r="P199" t="str">
        <f>"0153613480"</f>
        <v>0153613480</v>
      </c>
    </row>
    <row r="200" spans="1:16" x14ac:dyDescent="0.25">
      <c r="A200" t="str">
        <f t="shared" si="69"/>
        <v>人民币</v>
      </c>
      <c r="B200" t="str">
        <f>"宏达电子"</f>
        <v>宏达电子</v>
      </c>
      <c r="C200" t="str">
        <f>"20180703"</f>
        <v>20180703</v>
      </c>
      <c r="D200" t="str">
        <f>"29.190"</f>
        <v>29.190</v>
      </c>
      <c r="E200" t="str">
        <f>"-500.00"</f>
        <v>-500.00</v>
      </c>
      <c r="F200" t="str">
        <f>"14575.40"</f>
        <v>14575.40</v>
      </c>
      <c r="G200" t="str">
        <f>"15003.32"</f>
        <v>15003.32</v>
      </c>
      <c r="H200" t="str">
        <f>"1000.00"</f>
        <v>1000.00</v>
      </c>
      <c r="I200" t="str">
        <f>"112"</f>
        <v>112</v>
      </c>
      <c r="J200" t="str">
        <f>"证券卖出(宏达电子)"</f>
        <v>证券卖出(宏达电子)</v>
      </c>
      <c r="K200" t="str">
        <f>"5.00"</f>
        <v>5.00</v>
      </c>
      <c r="L200" t="str">
        <f>"14.60"</f>
        <v>14.60</v>
      </c>
      <c r="M200" t="str">
        <f t="shared" si="72"/>
        <v>0.00</v>
      </c>
      <c r="N200" t="str">
        <f t="shared" si="72"/>
        <v>0.00</v>
      </c>
      <c r="O200" t="str">
        <f>"300726"</f>
        <v>300726</v>
      </c>
      <c r="P200" t="str">
        <f>"0153613480"</f>
        <v>0153613480</v>
      </c>
    </row>
    <row r="201" spans="1:16" x14ac:dyDescent="0.25">
      <c r="A201" t="str">
        <f t="shared" si="69"/>
        <v>人民币</v>
      </c>
      <c r="B201" t="str">
        <f>"密尔配号"</f>
        <v>密尔配号</v>
      </c>
      <c r="C201" t="str">
        <f t="shared" ref="C201:C208" si="73">"20180704"</f>
        <v>20180704</v>
      </c>
      <c r="D201" t="str">
        <f>"0.000"</f>
        <v>0.000</v>
      </c>
      <c r="E201" t="str">
        <f>"1.00"</f>
        <v>1.00</v>
      </c>
      <c r="F201" t="str">
        <f>"0.00"</f>
        <v>0.00</v>
      </c>
      <c r="G201" t="str">
        <f>"15003.32"</f>
        <v>15003.32</v>
      </c>
      <c r="H201" t="str">
        <f>"0.00"</f>
        <v>0.00</v>
      </c>
      <c r="I201" t="str">
        <f>"120"</f>
        <v>120</v>
      </c>
      <c r="J201" t="str">
        <f>"申购配号(密尔配号)"</f>
        <v>申购配号(密尔配号)</v>
      </c>
      <c r="K201" t="str">
        <f>"0.00"</f>
        <v>0.00</v>
      </c>
      <c r="L201" t="str">
        <f>"0.00"</f>
        <v>0.00</v>
      </c>
      <c r="M201" t="str">
        <f t="shared" si="72"/>
        <v>0.00</v>
      </c>
      <c r="N201" t="str">
        <f t="shared" si="72"/>
        <v>0.00</v>
      </c>
      <c r="O201" t="str">
        <f>"736713"</f>
        <v>736713</v>
      </c>
      <c r="P201" t="str">
        <f>"A400948245"</f>
        <v>A400948245</v>
      </c>
    </row>
    <row r="202" spans="1:16" x14ac:dyDescent="0.25">
      <c r="A202" t="str">
        <f t="shared" si="69"/>
        <v>人民币</v>
      </c>
      <c r="B202" t="str">
        <f>"江龙船艇"</f>
        <v>江龙船艇</v>
      </c>
      <c r="C202" t="str">
        <f t="shared" si="73"/>
        <v>20180704</v>
      </c>
      <c r="D202" t="str">
        <f>"15.350"</f>
        <v>15.350</v>
      </c>
      <c r="E202" t="str">
        <f>"-800.00"</f>
        <v>-800.00</v>
      </c>
      <c r="F202" t="str">
        <f>"12262.72"</f>
        <v>12262.72</v>
      </c>
      <c r="G202" t="str">
        <f>"27266.04"</f>
        <v>27266.04</v>
      </c>
      <c r="H202" t="str">
        <f>"1200.00"</f>
        <v>1200.00</v>
      </c>
      <c r="I202" t="str">
        <f>"128"</f>
        <v>128</v>
      </c>
      <c r="J202" t="str">
        <f>"证券卖出(江龙船艇)"</f>
        <v>证券卖出(江龙船艇)</v>
      </c>
      <c r="K202" t="str">
        <f t="shared" ref="K202:K207" si="74">"5.00"</f>
        <v>5.00</v>
      </c>
      <c r="L202" t="str">
        <f>"12.28"</f>
        <v>12.28</v>
      </c>
      <c r="M202" t="str">
        <f t="shared" si="72"/>
        <v>0.00</v>
      </c>
      <c r="N202" t="str">
        <f t="shared" si="72"/>
        <v>0.00</v>
      </c>
      <c r="O202" t="str">
        <f>"300589"</f>
        <v>300589</v>
      </c>
      <c r="P202" t="str">
        <f t="shared" ref="P202:P220" si="75">"0153613480"</f>
        <v>0153613480</v>
      </c>
    </row>
    <row r="203" spans="1:16" x14ac:dyDescent="0.25">
      <c r="A203" t="str">
        <f t="shared" si="69"/>
        <v>人民币</v>
      </c>
      <c r="B203" t="str">
        <f>"江龙船艇"</f>
        <v>江龙船艇</v>
      </c>
      <c r="C203" t="str">
        <f t="shared" si="73"/>
        <v>20180704</v>
      </c>
      <c r="D203" t="str">
        <f>"15.620"</f>
        <v>15.620</v>
      </c>
      <c r="E203" t="str">
        <f>"-800.00"</f>
        <v>-800.00</v>
      </c>
      <c r="F203" t="str">
        <f>"12478.50"</f>
        <v>12478.50</v>
      </c>
      <c r="G203" t="str">
        <f>"39744.54"</f>
        <v>39744.54</v>
      </c>
      <c r="H203" t="str">
        <f>"400.00"</f>
        <v>400.00</v>
      </c>
      <c r="I203" t="str">
        <f>"137"</f>
        <v>137</v>
      </c>
      <c r="J203" t="str">
        <f>"证券卖出(江龙船艇)"</f>
        <v>证券卖出(江龙船艇)</v>
      </c>
      <c r="K203" t="str">
        <f t="shared" si="74"/>
        <v>5.00</v>
      </c>
      <c r="L203" t="str">
        <f>"12.50"</f>
        <v>12.50</v>
      </c>
      <c r="M203" t="str">
        <f t="shared" si="72"/>
        <v>0.00</v>
      </c>
      <c r="N203" t="str">
        <f t="shared" si="72"/>
        <v>0.00</v>
      </c>
      <c r="O203" t="str">
        <f>"300589"</f>
        <v>300589</v>
      </c>
      <c r="P203" t="str">
        <f t="shared" si="75"/>
        <v>0153613480</v>
      </c>
    </row>
    <row r="204" spans="1:16" x14ac:dyDescent="0.25">
      <c r="A204" t="str">
        <f t="shared" si="69"/>
        <v>人民币</v>
      </c>
      <c r="B204" t="str">
        <f t="shared" ref="B204:B209" si="76">"宏达电子"</f>
        <v>宏达电子</v>
      </c>
      <c r="C204" t="str">
        <f t="shared" si="73"/>
        <v>20180704</v>
      </c>
      <c r="D204" t="str">
        <f>"28.980"</f>
        <v>28.980</v>
      </c>
      <c r="E204" t="str">
        <f>"200.00"</f>
        <v>200.00</v>
      </c>
      <c r="F204" t="str">
        <f>"-5801.00"</f>
        <v>-5801.00</v>
      </c>
      <c r="G204" t="str">
        <f>"33943.54"</f>
        <v>33943.54</v>
      </c>
      <c r="H204" t="str">
        <f>"1200.00"</f>
        <v>1200.00</v>
      </c>
      <c r="I204" t="str">
        <f>"116"</f>
        <v>116</v>
      </c>
      <c r="J204" t="str">
        <f>"证券买入(宏达电子)"</f>
        <v>证券买入(宏达电子)</v>
      </c>
      <c r="K204" t="str">
        <f t="shared" si="74"/>
        <v>5.00</v>
      </c>
      <c r="L204" t="str">
        <f>"0.00"</f>
        <v>0.00</v>
      </c>
      <c r="M204" t="str">
        <f t="shared" si="72"/>
        <v>0.00</v>
      </c>
      <c r="N204" t="str">
        <f t="shared" si="72"/>
        <v>0.00</v>
      </c>
      <c r="O204" t="str">
        <f t="shared" ref="O204:O209" si="77">"300726"</f>
        <v>300726</v>
      </c>
      <c r="P204" t="str">
        <f t="shared" si="75"/>
        <v>0153613480</v>
      </c>
    </row>
    <row r="205" spans="1:16" x14ac:dyDescent="0.25">
      <c r="A205" t="str">
        <f t="shared" si="69"/>
        <v>人民币</v>
      </c>
      <c r="B205" t="str">
        <f t="shared" si="76"/>
        <v>宏达电子</v>
      </c>
      <c r="C205" t="str">
        <f t="shared" si="73"/>
        <v>20180704</v>
      </c>
      <c r="D205" t="str">
        <f>"28.750"</f>
        <v>28.750</v>
      </c>
      <c r="E205" t="str">
        <f>"100.00"</f>
        <v>100.00</v>
      </c>
      <c r="F205" t="str">
        <f>"-2880.00"</f>
        <v>-2880.00</v>
      </c>
      <c r="G205" t="str">
        <f>"31063.54"</f>
        <v>31063.54</v>
      </c>
      <c r="H205" t="str">
        <f>"1300.00"</f>
        <v>1300.00</v>
      </c>
      <c r="I205" t="str">
        <f>"125"</f>
        <v>125</v>
      </c>
      <c r="J205" t="str">
        <f>"证券买入(宏达电子)"</f>
        <v>证券买入(宏达电子)</v>
      </c>
      <c r="K205" t="str">
        <f t="shared" si="74"/>
        <v>5.00</v>
      </c>
      <c r="L205" t="str">
        <f>"0.00"</f>
        <v>0.00</v>
      </c>
      <c r="M205" t="str">
        <f t="shared" si="72"/>
        <v>0.00</v>
      </c>
      <c r="N205" t="str">
        <f t="shared" si="72"/>
        <v>0.00</v>
      </c>
      <c r="O205" t="str">
        <f t="shared" si="77"/>
        <v>300726</v>
      </c>
      <c r="P205" t="str">
        <f t="shared" si="75"/>
        <v>0153613480</v>
      </c>
    </row>
    <row r="206" spans="1:16" x14ac:dyDescent="0.25">
      <c r="A206" t="str">
        <f t="shared" si="69"/>
        <v>人民币</v>
      </c>
      <c r="B206" t="str">
        <f t="shared" si="76"/>
        <v>宏达电子</v>
      </c>
      <c r="C206" t="str">
        <f t="shared" si="73"/>
        <v>20180704</v>
      </c>
      <c r="D206" t="str">
        <f>"28.220"</f>
        <v>28.220</v>
      </c>
      <c r="E206" t="str">
        <f>"200.00"</f>
        <v>200.00</v>
      </c>
      <c r="F206" t="str">
        <f>"-5649.00"</f>
        <v>-5649.00</v>
      </c>
      <c r="G206" t="str">
        <f>"25414.54"</f>
        <v>25414.54</v>
      </c>
      <c r="H206" t="str">
        <f>"1500.00"</f>
        <v>1500.00</v>
      </c>
      <c r="I206" t="str">
        <f>"131"</f>
        <v>131</v>
      </c>
      <c r="J206" t="str">
        <f>"证券买入(宏达电子)"</f>
        <v>证券买入(宏达电子)</v>
      </c>
      <c r="K206" t="str">
        <f t="shared" si="74"/>
        <v>5.00</v>
      </c>
      <c r="L206" t="str">
        <f>"0.00"</f>
        <v>0.00</v>
      </c>
      <c r="M206" t="str">
        <f t="shared" si="72"/>
        <v>0.00</v>
      </c>
      <c r="N206" t="str">
        <f t="shared" si="72"/>
        <v>0.00</v>
      </c>
      <c r="O206" t="str">
        <f t="shared" si="77"/>
        <v>300726</v>
      </c>
      <c r="P206" t="str">
        <f t="shared" si="75"/>
        <v>0153613480</v>
      </c>
    </row>
    <row r="207" spans="1:16" x14ac:dyDescent="0.25">
      <c r="A207" t="str">
        <f t="shared" si="69"/>
        <v>人民币</v>
      </c>
      <c r="B207" t="str">
        <f t="shared" si="76"/>
        <v>宏达电子</v>
      </c>
      <c r="C207" t="str">
        <f t="shared" si="73"/>
        <v>20180704</v>
      </c>
      <c r="D207" t="str">
        <f>"27.660"</f>
        <v>27.660</v>
      </c>
      <c r="E207" t="str">
        <f>"200.00"</f>
        <v>200.00</v>
      </c>
      <c r="F207" t="str">
        <f>"-5537.00"</f>
        <v>-5537.00</v>
      </c>
      <c r="G207" t="str">
        <f>"19877.54"</f>
        <v>19877.54</v>
      </c>
      <c r="H207" t="str">
        <f>"1700.00"</f>
        <v>1700.00</v>
      </c>
      <c r="I207" t="str">
        <f>"134"</f>
        <v>134</v>
      </c>
      <c r="J207" t="str">
        <f>"证券买入(宏达电子)"</f>
        <v>证券买入(宏达电子)</v>
      </c>
      <c r="K207" t="str">
        <f t="shared" si="74"/>
        <v>5.00</v>
      </c>
      <c r="L207" t="str">
        <f>"0.00"</f>
        <v>0.00</v>
      </c>
      <c r="M207" t="str">
        <f t="shared" si="72"/>
        <v>0.00</v>
      </c>
      <c r="N207" t="str">
        <f t="shared" si="72"/>
        <v>0.00</v>
      </c>
      <c r="O207" t="str">
        <f t="shared" si="77"/>
        <v>300726</v>
      </c>
      <c r="P207" t="str">
        <f t="shared" si="75"/>
        <v>0153613480</v>
      </c>
    </row>
    <row r="208" spans="1:16" x14ac:dyDescent="0.25">
      <c r="A208" t="str">
        <f t="shared" si="69"/>
        <v>人民币</v>
      </c>
      <c r="B208" t="str">
        <f t="shared" si="76"/>
        <v>宏达电子</v>
      </c>
      <c r="C208" t="str">
        <f t="shared" si="73"/>
        <v>20180704</v>
      </c>
      <c r="D208" t="str">
        <f>"0.000"</f>
        <v>0.000</v>
      </c>
      <c r="E208" t="str">
        <f>"0.00"</f>
        <v>0.00</v>
      </c>
      <c r="F208" t="str">
        <f>"170.00"</f>
        <v>170.00</v>
      </c>
      <c r="G208" t="str">
        <f>"20047.54"</f>
        <v>20047.54</v>
      </c>
      <c r="H208" t="str">
        <f>"1700.00"</f>
        <v>1700.00</v>
      </c>
      <c r="I208" t="str">
        <f>"---"</f>
        <v>---</v>
      </c>
      <c r="J208" t="str">
        <f>"股息入帐(宏达电子)"</f>
        <v>股息入帐(宏达电子)</v>
      </c>
      <c r="K208" t="str">
        <f>"---"</f>
        <v>---</v>
      </c>
      <c r="L208" t="str">
        <f>"---"</f>
        <v>---</v>
      </c>
      <c r="M208" t="str">
        <f>"---"</f>
        <v>---</v>
      </c>
      <c r="N208" t="str">
        <f>"---"</f>
        <v>---</v>
      </c>
      <c r="O208" t="str">
        <f t="shared" si="77"/>
        <v>300726</v>
      </c>
      <c r="P208" t="str">
        <f t="shared" si="75"/>
        <v>0153613480</v>
      </c>
    </row>
    <row r="209" spans="1:16" x14ac:dyDescent="0.25">
      <c r="A209" t="str">
        <f t="shared" si="69"/>
        <v>人民币</v>
      </c>
      <c r="B209" t="str">
        <f t="shared" si="76"/>
        <v>宏达电子</v>
      </c>
      <c r="C209" t="str">
        <f>"20180705"</f>
        <v>20180705</v>
      </c>
      <c r="D209" t="str">
        <f>"26.700"</f>
        <v>26.700</v>
      </c>
      <c r="E209" t="str">
        <f>"200.00"</f>
        <v>200.00</v>
      </c>
      <c r="F209" t="str">
        <f>"-5345.00"</f>
        <v>-5345.00</v>
      </c>
      <c r="G209" t="str">
        <f>"14702.54"</f>
        <v>14702.54</v>
      </c>
      <c r="H209" t="str">
        <f>"1900.00"</f>
        <v>1900.00</v>
      </c>
      <c r="I209" t="str">
        <f>"157"</f>
        <v>157</v>
      </c>
      <c r="J209" t="str">
        <f>"证券买入(宏达电子)"</f>
        <v>证券买入(宏达电子)</v>
      </c>
      <c r="K209" t="str">
        <f>"5.00"</f>
        <v>5.00</v>
      </c>
      <c r="L209" t="str">
        <f t="shared" ref="L209:N211" si="78">"0.00"</f>
        <v>0.00</v>
      </c>
      <c r="M209" t="str">
        <f t="shared" si="78"/>
        <v>0.00</v>
      </c>
      <c r="N209" t="str">
        <f t="shared" si="78"/>
        <v>0.00</v>
      </c>
      <c r="O209" t="str">
        <f t="shared" si="77"/>
        <v>300726</v>
      </c>
      <c r="P209" t="str">
        <f t="shared" si="75"/>
        <v>0153613480</v>
      </c>
    </row>
    <row r="210" spans="1:16" x14ac:dyDescent="0.25">
      <c r="A210" t="str">
        <f t="shared" si="69"/>
        <v>人民币</v>
      </c>
      <c r="B210" t="str">
        <f>"江龙船艇"</f>
        <v>江龙船艇</v>
      </c>
      <c r="C210" t="str">
        <f>"20180705"</f>
        <v>20180705</v>
      </c>
      <c r="D210" t="str">
        <f>"14.750"</f>
        <v>14.750</v>
      </c>
      <c r="E210" t="str">
        <f>"400.00"</f>
        <v>400.00</v>
      </c>
      <c r="F210" t="str">
        <f>"-5905.00"</f>
        <v>-5905.00</v>
      </c>
      <c r="G210" t="str">
        <f>"8797.54"</f>
        <v>8797.54</v>
      </c>
      <c r="H210" t="str">
        <f>"800.00"</f>
        <v>800.00</v>
      </c>
      <c r="I210" t="str">
        <f>"151"</f>
        <v>151</v>
      </c>
      <c r="J210" t="str">
        <f>"证券买入(江龙船艇)"</f>
        <v>证券买入(江龙船艇)</v>
      </c>
      <c r="K210" t="str">
        <f>"5.00"</f>
        <v>5.00</v>
      </c>
      <c r="L210" t="str">
        <f t="shared" si="78"/>
        <v>0.00</v>
      </c>
      <c r="M210" t="str">
        <f t="shared" si="78"/>
        <v>0.00</v>
      </c>
      <c r="N210" t="str">
        <f t="shared" si="78"/>
        <v>0.00</v>
      </c>
      <c r="O210" t="str">
        <f>"300589"</f>
        <v>300589</v>
      </c>
      <c r="P210" t="str">
        <f t="shared" si="75"/>
        <v>0153613480</v>
      </c>
    </row>
    <row r="211" spans="1:16" x14ac:dyDescent="0.25">
      <c r="A211" t="str">
        <f t="shared" si="69"/>
        <v>人民币</v>
      </c>
      <c r="B211" t="str">
        <f>"江龙船艇"</f>
        <v>江龙船艇</v>
      </c>
      <c r="C211" t="str">
        <f>"20180705"</f>
        <v>20180705</v>
      </c>
      <c r="D211" t="str">
        <f>"14.320"</f>
        <v>14.320</v>
      </c>
      <c r="E211" t="str">
        <f>"300.00"</f>
        <v>300.00</v>
      </c>
      <c r="F211" t="str">
        <f>"-4301.00"</f>
        <v>-4301.00</v>
      </c>
      <c r="G211" t="str">
        <f>"4496.54"</f>
        <v>4496.54</v>
      </c>
      <c r="H211" t="str">
        <f>"1100.00"</f>
        <v>1100.00</v>
      </c>
      <c r="I211" t="str">
        <f>"154"</f>
        <v>154</v>
      </c>
      <c r="J211" t="str">
        <f>"证券买入(江龙船艇)"</f>
        <v>证券买入(江龙船艇)</v>
      </c>
      <c r="K211" t="str">
        <f>"5.00"</f>
        <v>5.00</v>
      </c>
      <c r="L211" t="str">
        <f t="shared" si="78"/>
        <v>0.00</v>
      </c>
      <c r="M211" t="str">
        <f t="shared" si="78"/>
        <v>0.00</v>
      </c>
      <c r="N211" t="str">
        <f t="shared" si="78"/>
        <v>0.00</v>
      </c>
      <c r="O211" t="str">
        <f>"300589"</f>
        <v>300589</v>
      </c>
      <c r="P211" t="str">
        <f t="shared" si="75"/>
        <v>0153613480</v>
      </c>
    </row>
    <row r="212" spans="1:16" x14ac:dyDescent="0.25">
      <c r="A212" t="str">
        <f t="shared" si="69"/>
        <v>人民币</v>
      </c>
      <c r="B212" t="str">
        <f>"宏达电子"</f>
        <v>宏达电子</v>
      </c>
      <c r="C212" t="str">
        <f>"20180706"</f>
        <v>20180706</v>
      </c>
      <c r="D212" t="str">
        <f>"26.850"</f>
        <v>26.850</v>
      </c>
      <c r="E212" t="str">
        <f>"-200.00"</f>
        <v>-200.00</v>
      </c>
      <c r="F212" t="str">
        <f>"5359.63"</f>
        <v>5359.63</v>
      </c>
      <c r="G212" t="str">
        <f>"9856.17"</f>
        <v>9856.17</v>
      </c>
      <c r="H212" t="str">
        <f>"1700.00"</f>
        <v>1700.00</v>
      </c>
      <c r="I212" t="str">
        <f>"163"</f>
        <v>163</v>
      </c>
      <c r="J212" t="str">
        <f>"证券卖出(宏达电子)"</f>
        <v>证券卖出(宏达电子)</v>
      </c>
      <c r="K212" t="str">
        <f>"5.00"</f>
        <v>5.00</v>
      </c>
      <c r="L212" t="str">
        <f>"5.37"</f>
        <v>5.37</v>
      </c>
      <c r="M212" t="str">
        <f>"0.00"</f>
        <v>0.00</v>
      </c>
      <c r="N212" t="str">
        <f>"0.00"</f>
        <v>0.00</v>
      </c>
      <c r="O212" t="str">
        <f>"300726"</f>
        <v>300726</v>
      </c>
      <c r="P212" t="str">
        <f t="shared" si="75"/>
        <v>0153613480</v>
      </c>
    </row>
    <row r="213" spans="1:16" x14ac:dyDescent="0.25">
      <c r="A213" t="str">
        <f t="shared" si="69"/>
        <v>人民币</v>
      </c>
      <c r="B213" t="str">
        <f>"宏达电子"</f>
        <v>宏达电子</v>
      </c>
      <c r="C213" t="str">
        <f>"20180709"</f>
        <v>20180709</v>
      </c>
      <c r="D213" t="str">
        <f>"0.000"</f>
        <v>0.000</v>
      </c>
      <c r="E213" t="str">
        <f>"0.00"</f>
        <v>0.00</v>
      </c>
      <c r="F213" t="str">
        <f>"-4.00"</f>
        <v>-4.00</v>
      </c>
      <c r="G213" t="str">
        <f>"9852.17"</f>
        <v>9852.17</v>
      </c>
      <c r="H213" t="str">
        <f>"1700.00"</f>
        <v>1700.00</v>
      </c>
      <c r="I213" t="str">
        <f>"---"</f>
        <v>---</v>
      </c>
      <c r="J213" t="str">
        <f>"红利差异税扣税(宏达电子)"</f>
        <v>红利差异税扣税(宏达电子)</v>
      </c>
      <c r="K213" t="str">
        <f>"---"</f>
        <v>---</v>
      </c>
      <c r="L213" t="str">
        <f>"---"</f>
        <v>---</v>
      </c>
      <c r="M213" t="str">
        <f>"---"</f>
        <v>---</v>
      </c>
      <c r="N213" t="str">
        <f>"---"</f>
        <v>---</v>
      </c>
      <c r="O213" t="str">
        <f>"300726"</f>
        <v>300726</v>
      </c>
      <c r="P213" t="str">
        <f t="shared" si="75"/>
        <v>0153613480</v>
      </c>
    </row>
    <row r="214" spans="1:16" x14ac:dyDescent="0.25">
      <c r="A214" t="str">
        <f t="shared" si="69"/>
        <v>人民币</v>
      </c>
      <c r="B214" t="str">
        <f>"宏达电子"</f>
        <v>宏达电子</v>
      </c>
      <c r="C214" t="str">
        <f>"20180709"</f>
        <v>20180709</v>
      </c>
      <c r="D214" t="str">
        <f>"29.950"</f>
        <v>29.950</v>
      </c>
      <c r="E214" t="str">
        <f>"-700.00"</f>
        <v>-700.00</v>
      </c>
      <c r="F214" t="str">
        <f>"20937.53"</f>
        <v>20937.53</v>
      </c>
      <c r="G214" t="str">
        <f>"30789.70"</f>
        <v>30789.70</v>
      </c>
      <c r="H214" t="str">
        <f>"1000.00"</f>
        <v>1000.00</v>
      </c>
      <c r="I214" t="str">
        <f>"175"</f>
        <v>175</v>
      </c>
      <c r="J214" t="str">
        <f>"证券卖出(宏达电子)"</f>
        <v>证券卖出(宏达电子)</v>
      </c>
      <c r="K214" t="str">
        <f>"6.50"</f>
        <v>6.50</v>
      </c>
      <c r="L214" t="str">
        <f>"20.97"</f>
        <v>20.97</v>
      </c>
      <c r="M214" t="str">
        <f t="shared" ref="M214:N216" si="79">"0.00"</f>
        <v>0.00</v>
      </c>
      <c r="N214" t="str">
        <f t="shared" si="79"/>
        <v>0.00</v>
      </c>
      <c r="O214" t="str">
        <f>"300726"</f>
        <v>300726</v>
      </c>
      <c r="P214" t="str">
        <f t="shared" si="75"/>
        <v>0153613480</v>
      </c>
    </row>
    <row r="215" spans="1:16" x14ac:dyDescent="0.25">
      <c r="A215" t="str">
        <f t="shared" si="69"/>
        <v>人民币</v>
      </c>
      <c r="B215" t="str">
        <f>"江龙船艇"</f>
        <v>江龙船艇</v>
      </c>
      <c r="C215" t="str">
        <f>"20180709"</f>
        <v>20180709</v>
      </c>
      <c r="D215" t="str">
        <f>"14.670"</f>
        <v>14.670</v>
      </c>
      <c r="E215" t="str">
        <f>"-700.00"</f>
        <v>-700.00</v>
      </c>
      <c r="F215" t="str">
        <f>"10253.73"</f>
        <v>10253.73</v>
      </c>
      <c r="G215" t="str">
        <f>"41043.43"</f>
        <v>41043.43</v>
      </c>
      <c r="H215" t="str">
        <f>"400.00"</f>
        <v>400.00</v>
      </c>
      <c r="I215" t="str">
        <f>"168"</f>
        <v>168</v>
      </c>
      <c r="J215" t="str">
        <f>"证券卖出(江龙船艇)"</f>
        <v>证券卖出(江龙船艇)</v>
      </c>
      <c r="K215" t="str">
        <f>"5.00"</f>
        <v>5.00</v>
      </c>
      <c r="L215" t="str">
        <f>"10.27"</f>
        <v>10.27</v>
      </c>
      <c r="M215" t="str">
        <f t="shared" si="79"/>
        <v>0.00</v>
      </c>
      <c r="N215" t="str">
        <f t="shared" si="79"/>
        <v>0.00</v>
      </c>
      <c r="O215" t="str">
        <f>"300589"</f>
        <v>300589</v>
      </c>
      <c r="P215" t="str">
        <f t="shared" si="75"/>
        <v>0153613480</v>
      </c>
    </row>
    <row r="216" spans="1:16" x14ac:dyDescent="0.25">
      <c r="A216" t="str">
        <f t="shared" si="69"/>
        <v>人民币</v>
      </c>
      <c r="B216" t="str">
        <f>"江龙船艇"</f>
        <v>江龙船艇</v>
      </c>
      <c r="C216" t="str">
        <f>"20180709"</f>
        <v>20180709</v>
      </c>
      <c r="D216" t="str">
        <f>"14.680"</f>
        <v>14.680</v>
      </c>
      <c r="E216" t="str">
        <f>"-400.00"</f>
        <v>-400.00</v>
      </c>
      <c r="F216" t="str">
        <f>"5861.13"</f>
        <v>5861.13</v>
      </c>
      <c r="G216" t="str">
        <f>"46904.56"</f>
        <v>46904.56</v>
      </c>
      <c r="H216" t="str">
        <f>"0.00"</f>
        <v>0.00</v>
      </c>
      <c r="I216" t="str">
        <f>"171"</f>
        <v>171</v>
      </c>
      <c r="J216" t="str">
        <f>"证券卖出(江龙船艇)"</f>
        <v>证券卖出(江龙船艇)</v>
      </c>
      <c r="K216" t="str">
        <f>"5.00"</f>
        <v>5.00</v>
      </c>
      <c r="L216" t="str">
        <f>"5.87"</f>
        <v>5.87</v>
      </c>
      <c r="M216" t="str">
        <f t="shared" si="79"/>
        <v>0.00</v>
      </c>
      <c r="N216" t="str">
        <f t="shared" si="79"/>
        <v>0.00</v>
      </c>
      <c r="O216" t="str">
        <f>"300589"</f>
        <v>300589</v>
      </c>
      <c r="P216" t="str">
        <f t="shared" si="75"/>
        <v>0153613480</v>
      </c>
    </row>
    <row r="217" spans="1:16" x14ac:dyDescent="0.25">
      <c r="A217" t="str">
        <f t="shared" si="69"/>
        <v>人民币</v>
      </c>
      <c r="B217" t="str">
        <f>"宏达电子"</f>
        <v>宏达电子</v>
      </c>
      <c r="C217" t="str">
        <f>"20180710"</f>
        <v>20180710</v>
      </c>
      <c r="D217" t="str">
        <f>"0.000"</f>
        <v>0.000</v>
      </c>
      <c r="E217" t="str">
        <f>"0.00"</f>
        <v>0.00</v>
      </c>
      <c r="F217" t="str">
        <f>"-14.00"</f>
        <v>-14.00</v>
      </c>
      <c r="G217" t="str">
        <f>"46890.56"</f>
        <v>46890.56</v>
      </c>
      <c r="H217" t="str">
        <f>"1000.00"</f>
        <v>1000.00</v>
      </c>
      <c r="I217" t="str">
        <f>"---"</f>
        <v>---</v>
      </c>
      <c r="J217" t="str">
        <f>"红利差异税扣税(宏达电子)"</f>
        <v>红利差异税扣税(宏达电子)</v>
      </c>
      <c r="K217" t="str">
        <f>"---"</f>
        <v>---</v>
      </c>
      <c r="L217" t="str">
        <f>"---"</f>
        <v>---</v>
      </c>
      <c r="M217" t="str">
        <f>"---"</f>
        <v>---</v>
      </c>
      <c r="N217" t="str">
        <f>"---"</f>
        <v>---</v>
      </c>
      <c r="O217" t="str">
        <f>"300726"</f>
        <v>300726</v>
      </c>
      <c r="P217" t="str">
        <f t="shared" si="75"/>
        <v>0153613480</v>
      </c>
    </row>
    <row r="218" spans="1:16" x14ac:dyDescent="0.25">
      <c r="A218" t="str">
        <f t="shared" si="69"/>
        <v>人民币</v>
      </c>
      <c r="B218" t="str">
        <f>"江龙船艇"</f>
        <v>江龙船艇</v>
      </c>
      <c r="C218" t="str">
        <f>"20180711"</f>
        <v>20180711</v>
      </c>
      <c r="D218" t="str">
        <f>"14.600"</f>
        <v>14.600</v>
      </c>
      <c r="E218" t="str">
        <f>"500.00"</f>
        <v>500.00</v>
      </c>
      <c r="F218" t="str">
        <f>"-7305.00"</f>
        <v>-7305.00</v>
      </c>
      <c r="G218" t="str">
        <f>"39585.56"</f>
        <v>39585.56</v>
      </c>
      <c r="H218" t="str">
        <f>"500.00"</f>
        <v>500.00</v>
      </c>
      <c r="I218" t="str">
        <f>"183"</f>
        <v>183</v>
      </c>
      <c r="J218" t="str">
        <f>"证券买入(江龙船艇)"</f>
        <v>证券买入(江龙船艇)</v>
      </c>
      <c r="K218" t="str">
        <f t="shared" ref="K218:K224" si="80">"5.00"</f>
        <v>5.00</v>
      </c>
      <c r="L218" t="str">
        <f t="shared" ref="L218:N220" si="81">"0.00"</f>
        <v>0.00</v>
      </c>
      <c r="M218" t="str">
        <f t="shared" si="81"/>
        <v>0.00</v>
      </c>
      <c r="N218" t="str">
        <f t="shared" si="81"/>
        <v>0.00</v>
      </c>
      <c r="O218" t="str">
        <f>"300589"</f>
        <v>300589</v>
      </c>
      <c r="P218" t="str">
        <f t="shared" si="75"/>
        <v>0153613480</v>
      </c>
    </row>
    <row r="219" spans="1:16" x14ac:dyDescent="0.25">
      <c r="A219" t="str">
        <f t="shared" si="69"/>
        <v>人民币</v>
      </c>
      <c r="B219" t="str">
        <f>"江龙船艇"</f>
        <v>江龙船艇</v>
      </c>
      <c r="C219" t="str">
        <f>"20180711"</f>
        <v>20180711</v>
      </c>
      <c r="D219" t="str">
        <f>"14.670"</f>
        <v>14.670</v>
      </c>
      <c r="E219" t="str">
        <f>"500.00"</f>
        <v>500.00</v>
      </c>
      <c r="F219" t="str">
        <f>"-7340.00"</f>
        <v>-7340.00</v>
      </c>
      <c r="G219" t="str">
        <f>"32245.56"</f>
        <v>32245.56</v>
      </c>
      <c r="H219" t="str">
        <f>"1000.00"</f>
        <v>1000.00</v>
      </c>
      <c r="I219" t="str">
        <f>"186"</f>
        <v>186</v>
      </c>
      <c r="J219" t="str">
        <f>"证券买入(江龙船艇)"</f>
        <v>证券买入(江龙船艇)</v>
      </c>
      <c r="K219" t="str">
        <f t="shared" si="80"/>
        <v>5.00</v>
      </c>
      <c r="L219" t="str">
        <f t="shared" si="81"/>
        <v>0.00</v>
      </c>
      <c r="M219" t="str">
        <f t="shared" si="81"/>
        <v>0.00</v>
      </c>
      <c r="N219" t="str">
        <f t="shared" si="81"/>
        <v>0.00</v>
      </c>
      <c r="O219" t="str">
        <f>"300589"</f>
        <v>300589</v>
      </c>
      <c r="P219" t="str">
        <f t="shared" si="75"/>
        <v>0153613480</v>
      </c>
    </row>
    <row r="220" spans="1:16" x14ac:dyDescent="0.25">
      <c r="A220" t="str">
        <f t="shared" si="69"/>
        <v>人民币</v>
      </c>
      <c r="B220" t="str">
        <f>"江龙船艇"</f>
        <v>江龙船艇</v>
      </c>
      <c r="C220" t="str">
        <f>"20180711"</f>
        <v>20180711</v>
      </c>
      <c r="D220" t="str">
        <f>"14.100"</f>
        <v>14.100</v>
      </c>
      <c r="E220" t="str">
        <f>"500.00"</f>
        <v>500.00</v>
      </c>
      <c r="F220" t="str">
        <f>"-7055.00"</f>
        <v>-7055.00</v>
      </c>
      <c r="G220" t="str">
        <f>"25190.56"</f>
        <v>25190.56</v>
      </c>
      <c r="H220" t="str">
        <f>"1500.00"</f>
        <v>1500.00</v>
      </c>
      <c r="I220" t="str">
        <f>"190"</f>
        <v>190</v>
      </c>
      <c r="J220" t="str">
        <f>"证券买入(江龙船艇)"</f>
        <v>证券买入(江龙船艇)</v>
      </c>
      <c r="K220" t="str">
        <f t="shared" si="80"/>
        <v>5.00</v>
      </c>
      <c r="L220" t="str">
        <f t="shared" si="81"/>
        <v>0.00</v>
      </c>
      <c r="M220" t="str">
        <f t="shared" si="81"/>
        <v>0.00</v>
      </c>
      <c r="N220" t="str">
        <f t="shared" si="81"/>
        <v>0.00</v>
      </c>
      <c r="O220" t="str">
        <f>"300589"</f>
        <v>300589</v>
      </c>
      <c r="P220" t="str">
        <f t="shared" si="75"/>
        <v>0153613480</v>
      </c>
    </row>
    <row r="221" spans="1:16" x14ac:dyDescent="0.25">
      <c r="A221" t="str">
        <f t="shared" si="69"/>
        <v>人民币</v>
      </c>
      <c r="B221" t="str">
        <f>"七一二"</f>
        <v>七一二</v>
      </c>
      <c r="C221" t="str">
        <f>"20180712"</f>
        <v>20180712</v>
      </c>
      <c r="D221" t="str">
        <f>"27.580"</f>
        <v>27.580</v>
      </c>
      <c r="E221" t="str">
        <f>"300.00"</f>
        <v>300.00</v>
      </c>
      <c r="F221" t="str">
        <f>"-8279.17"</f>
        <v>-8279.17</v>
      </c>
      <c r="G221" t="str">
        <f>"16911.39"</f>
        <v>16911.39</v>
      </c>
      <c r="H221" t="str">
        <f>"300.00"</f>
        <v>300.00</v>
      </c>
      <c r="I221" t="str">
        <f>"202"</f>
        <v>202</v>
      </c>
      <c r="J221" t="str">
        <f>"证券买入(七一二)"</f>
        <v>证券买入(七一二)</v>
      </c>
      <c r="K221" t="str">
        <f t="shared" si="80"/>
        <v>5.00</v>
      </c>
      <c r="L221" t="str">
        <f>"0.00"</f>
        <v>0.00</v>
      </c>
      <c r="M221" t="str">
        <f>"0.17"</f>
        <v>0.17</v>
      </c>
      <c r="N221" t="str">
        <f>"0.00"</f>
        <v>0.00</v>
      </c>
      <c r="O221" t="str">
        <f>"603712"</f>
        <v>603712</v>
      </c>
      <c r="P221" t="str">
        <f>"A400948245"</f>
        <v>A400948245</v>
      </c>
    </row>
    <row r="222" spans="1:16" x14ac:dyDescent="0.25">
      <c r="A222" t="str">
        <f t="shared" si="69"/>
        <v>人民币</v>
      </c>
      <c r="B222" t="str">
        <f>"七一二"</f>
        <v>七一二</v>
      </c>
      <c r="C222" t="str">
        <f>"20180712"</f>
        <v>20180712</v>
      </c>
      <c r="D222" t="str">
        <f>"27.400"</f>
        <v>27.400</v>
      </c>
      <c r="E222" t="str">
        <f>"200.00"</f>
        <v>200.00</v>
      </c>
      <c r="F222" t="str">
        <f>"-5485.11"</f>
        <v>-5485.11</v>
      </c>
      <c r="G222" t="str">
        <f>"11426.28"</f>
        <v>11426.28</v>
      </c>
      <c r="H222" t="str">
        <f>"500.00"</f>
        <v>500.00</v>
      </c>
      <c r="I222" t="str">
        <f>"208"</f>
        <v>208</v>
      </c>
      <c r="J222" t="str">
        <f>"证券买入(七一二)"</f>
        <v>证券买入(七一二)</v>
      </c>
      <c r="K222" t="str">
        <f t="shared" si="80"/>
        <v>5.00</v>
      </c>
      <c r="L222" t="str">
        <f>"0.00"</f>
        <v>0.00</v>
      </c>
      <c r="M222" t="str">
        <f>"0.11"</f>
        <v>0.11</v>
      </c>
      <c r="N222" t="str">
        <f>"0.00"</f>
        <v>0.00</v>
      </c>
      <c r="O222" t="str">
        <f>"603712"</f>
        <v>603712</v>
      </c>
      <c r="P222" t="str">
        <f>"A400948245"</f>
        <v>A400948245</v>
      </c>
    </row>
    <row r="223" spans="1:16" x14ac:dyDescent="0.25">
      <c r="A223" t="str">
        <f t="shared" si="69"/>
        <v>人民币</v>
      </c>
      <c r="B223" t="str">
        <f>"宏达电子"</f>
        <v>宏达电子</v>
      </c>
      <c r="C223" t="str">
        <f>"20180712"</f>
        <v>20180712</v>
      </c>
      <c r="D223" t="str">
        <f>"30.700"</f>
        <v>30.700</v>
      </c>
      <c r="E223" t="str">
        <f>"-500.00"</f>
        <v>-500.00</v>
      </c>
      <c r="F223" t="str">
        <f>"15329.65"</f>
        <v>15329.65</v>
      </c>
      <c r="G223" t="str">
        <f>"26755.93"</f>
        <v>26755.93</v>
      </c>
      <c r="H223" t="str">
        <f>"500.00"</f>
        <v>500.00</v>
      </c>
      <c r="I223" t="str">
        <f>"196"</f>
        <v>196</v>
      </c>
      <c r="J223" t="str">
        <f>"证券卖出(宏达电子)"</f>
        <v>证券卖出(宏达电子)</v>
      </c>
      <c r="K223" t="str">
        <f t="shared" si="80"/>
        <v>5.00</v>
      </c>
      <c r="L223" t="str">
        <f>"15.35"</f>
        <v>15.35</v>
      </c>
      <c r="M223" t="str">
        <f>"0.00"</f>
        <v>0.00</v>
      </c>
      <c r="N223" t="str">
        <f>"0.00"</f>
        <v>0.00</v>
      </c>
      <c r="O223" t="str">
        <f>"300726"</f>
        <v>300726</v>
      </c>
      <c r="P223" t="str">
        <f>"0153613480"</f>
        <v>0153613480</v>
      </c>
    </row>
    <row r="224" spans="1:16" x14ac:dyDescent="0.25">
      <c r="A224" t="str">
        <f t="shared" si="69"/>
        <v>人民币</v>
      </c>
      <c r="B224" t="str">
        <f>"宏达电子"</f>
        <v>宏达电子</v>
      </c>
      <c r="C224" t="str">
        <f>"20180712"</f>
        <v>20180712</v>
      </c>
      <c r="D224" t="str">
        <f>"30.700"</f>
        <v>30.700</v>
      </c>
      <c r="E224" t="str">
        <f>"-500.00"</f>
        <v>-500.00</v>
      </c>
      <c r="F224" t="str">
        <f>"15329.65"</f>
        <v>15329.65</v>
      </c>
      <c r="G224" t="str">
        <f>"42085.58"</f>
        <v>42085.58</v>
      </c>
      <c r="H224" t="str">
        <f>"0.00"</f>
        <v>0.00</v>
      </c>
      <c r="I224" t="str">
        <f>"199"</f>
        <v>199</v>
      </c>
      <c r="J224" t="str">
        <f>"证券卖出(宏达电子)"</f>
        <v>证券卖出(宏达电子)</v>
      </c>
      <c r="K224" t="str">
        <f t="shared" si="80"/>
        <v>5.00</v>
      </c>
      <c r="L224" t="str">
        <f>"15.35"</f>
        <v>15.35</v>
      </c>
      <c r="M224" t="str">
        <f>"0.00"</f>
        <v>0.00</v>
      </c>
      <c r="N224" t="str">
        <f>"0.00"</f>
        <v>0.00</v>
      </c>
      <c r="O224" t="str">
        <f>"300726"</f>
        <v>300726</v>
      </c>
      <c r="P224" t="str">
        <f>"0153613480"</f>
        <v>0153613480</v>
      </c>
    </row>
    <row r="225" spans="1:16" x14ac:dyDescent="0.25">
      <c r="A225" t="str">
        <f t="shared" si="69"/>
        <v>人民币</v>
      </c>
      <c r="B225" t="str">
        <f>"宏达电子"</f>
        <v>宏达电子</v>
      </c>
      <c r="C225" t="str">
        <f>"20180713"</f>
        <v>20180713</v>
      </c>
      <c r="D225" t="str">
        <f>"0.000"</f>
        <v>0.000</v>
      </c>
      <c r="E225" t="str">
        <f>"0.00"</f>
        <v>0.00</v>
      </c>
      <c r="F225" t="str">
        <f>"-16.00"</f>
        <v>-16.00</v>
      </c>
      <c r="G225" t="str">
        <f>"42069.58"</f>
        <v>42069.58</v>
      </c>
      <c r="H225" t="str">
        <f>"0.00"</f>
        <v>0.00</v>
      </c>
      <c r="I225" t="str">
        <f>"---"</f>
        <v>---</v>
      </c>
      <c r="J225" t="str">
        <f>"红利差异税扣税(宏达电子)"</f>
        <v>红利差异税扣税(宏达电子)</v>
      </c>
      <c r="K225" t="str">
        <f>"---"</f>
        <v>---</v>
      </c>
      <c r="L225" t="str">
        <f>"---"</f>
        <v>---</v>
      </c>
      <c r="M225" t="str">
        <f>"---"</f>
        <v>---</v>
      </c>
      <c r="N225" t="str">
        <f>"---"</f>
        <v>---</v>
      </c>
      <c r="O225" t="str">
        <f>"300726"</f>
        <v>300726</v>
      </c>
      <c r="P225" t="str">
        <f>"0153613480"</f>
        <v>0153613480</v>
      </c>
    </row>
    <row r="226" spans="1:16" x14ac:dyDescent="0.25">
      <c r="A226" t="str">
        <f t="shared" si="69"/>
        <v>人民币</v>
      </c>
      <c r="B226" t="str">
        <f>"七一二"</f>
        <v>七一二</v>
      </c>
      <c r="C226" t="str">
        <f>"20180713"</f>
        <v>20180713</v>
      </c>
      <c r="D226" t="str">
        <f>"27.070"</f>
        <v>27.070</v>
      </c>
      <c r="E226" t="str">
        <f>"300.00"</f>
        <v>300.00</v>
      </c>
      <c r="F226" t="str">
        <f>"-8126.16"</f>
        <v>-8126.16</v>
      </c>
      <c r="G226" t="str">
        <f>"33943.42"</f>
        <v>33943.42</v>
      </c>
      <c r="H226" t="str">
        <f>"800.00"</f>
        <v>800.00</v>
      </c>
      <c r="I226" t="str">
        <f>"217"</f>
        <v>217</v>
      </c>
      <c r="J226" t="str">
        <f>"证券买入(七一二)"</f>
        <v>证券买入(七一二)</v>
      </c>
      <c r="K226" t="str">
        <f t="shared" ref="K226:K231" si="82">"5.00"</f>
        <v>5.00</v>
      </c>
      <c r="L226" t="str">
        <f>"0.00"</f>
        <v>0.00</v>
      </c>
      <c r="M226" t="str">
        <f>"0.16"</f>
        <v>0.16</v>
      </c>
      <c r="N226" t="str">
        <f t="shared" ref="N226:N236" si="83">"0.00"</f>
        <v>0.00</v>
      </c>
      <c r="O226" t="str">
        <f>"603712"</f>
        <v>603712</v>
      </c>
      <c r="P226" t="str">
        <f>"A400948245"</f>
        <v>A400948245</v>
      </c>
    </row>
    <row r="227" spans="1:16" x14ac:dyDescent="0.25">
      <c r="A227" t="str">
        <f t="shared" si="69"/>
        <v>人民币</v>
      </c>
      <c r="B227" t="str">
        <f>"上海新阳"</f>
        <v>上海新阳</v>
      </c>
      <c r="C227" t="str">
        <f>"20180716"</f>
        <v>20180716</v>
      </c>
      <c r="D227" t="str">
        <f>"29.910"</f>
        <v>29.910</v>
      </c>
      <c r="E227" t="str">
        <f>"200.00"</f>
        <v>200.00</v>
      </c>
      <c r="F227" t="str">
        <f>"-5987.00"</f>
        <v>-5987.00</v>
      </c>
      <c r="G227" t="str">
        <f>"27956.42"</f>
        <v>27956.42</v>
      </c>
      <c r="H227" t="str">
        <f>"200.00"</f>
        <v>200.00</v>
      </c>
      <c r="I227" t="str">
        <f>"222"</f>
        <v>222</v>
      </c>
      <c r="J227" t="str">
        <f>"证券买入(上海新阳)"</f>
        <v>证券买入(上海新阳)</v>
      </c>
      <c r="K227" t="str">
        <f t="shared" si="82"/>
        <v>5.00</v>
      </c>
      <c r="L227" t="str">
        <f>"0.00"</f>
        <v>0.00</v>
      </c>
      <c r="M227" t="str">
        <f>"0.00"</f>
        <v>0.00</v>
      </c>
      <c r="N227" t="str">
        <f t="shared" si="83"/>
        <v>0.00</v>
      </c>
      <c r="O227" t="str">
        <f>"300236"</f>
        <v>300236</v>
      </c>
      <c r="P227" t="str">
        <f>"0153613480"</f>
        <v>0153613480</v>
      </c>
    </row>
    <row r="228" spans="1:16" x14ac:dyDescent="0.25">
      <c r="A228" t="str">
        <f t="shared" si="69"/>
        <v>人民币</v>
      </c>
      <c r="B228" t="str">
        <f>"上海新阳"</f>
        <v>上海新阳</v>
      </c>
      <c r="C228" t="str">
        <f>"20180716"</f>
        <v>20180716</v>
      </c>
      <c r="D228" t="str">
        <f>"29.870"</f>
        <v>29.870</v>
      </c>
      <c r="E228" t="str">
        <f>"200.00"</f>
        <v>200.00</v>
      </c>
      <c r="F228" t="str">
        <f>"-5979.00"</f>
        <v>-5979.00</v>
      </c>
      <c r="G228" t="str">
        <f>"21977.42"</f>
        <v>21977.42</v>
      </c>
      <c r="H228" t="str">
        <f>"400.00"</f>
        <v>400.00</v>
      </c>
      <c r="I228" t="str">
        <f>"225"</f>
        <v>225</v>
      </c>
      <c r="J228" t="str">
        <f>"证券买入(上海新阳)"</f>
        <v>证券买入(上海新阳)</v>
      </c>
      <c r="K228" t="str">
        <f t="shared" si="82"/>
        <v>5.00</v>
      </c>
      <c r="L228" t="str">
        <f>"0.00"</f>
        <v>0.00</v>
      </c>
      <c r="M228" t="str">
        <f>"0.00"</f>
        <v>0.00</v>
      </c>
      <c r="N228" t="str">
        <f t="shared" si="83"/>
        <v>0.00</v>
      </c>
      <c r="O228" t="str">
        <f>"300236"</f>
        <v>300236</v>
      </c>
      <c r="P228" t="str">
        <f>"0153613480"</f>
        <v>0153613480</v>
      </c>
    </row>
    <row r="229" spans="1:16" x14ac:dyDescent="0.25">
      <c r="A229" t="str">
        <f t="shared" si="69"/>
        <v>人民币</v>
      </c>
      <c r="B229" t="str">
        <f>"复星医药"</f>
        <v>复星医药</v>
      </c>
      <c r="C229" t="str">
        <f>"20180717"</f>
        <v>20180717</v>
      </c>
      <c r="D229" t="str">
        <f>"40.860"</f>
        <v>40.860</v>
      </c>
      <c r="E229" t="str">
        <f>"100.00"</f>
        <v>100.00</v>
      </c>
      <c r="F229" t="str">
        <f>"-4091.08"</f>
        <v>-4091.08</v>
      </c>
      <c r="G229" t="str">
        <f>"17886.34"</f>
        <v>17886.34</v>
      </c>
      <c r="H229" t="str">
        <f>"100.00"</f>
        <v>100.00</v>
      </c>
      <c r="I229" t="str">
        <f>"1"</f>
        <v>1</v>
      </c>
      <c r="J229" t="str">
        <f>"证券买入(复星医药)"</f>
        <v>证券买入(复星医药)</v>
      </c>
      <c r="K229" t="str">
        <f t="shared" si="82"/>
        <v>5.00</v>
      </c>
      <c r="L229" t="str">
        <f>"0.00"</f>
        <v>0.00</v>
      </c>
      <c r="M229" t="str">
        <f>"0.08"</f>
        <v>0.08</v>
      </c>
      <c r="N229" t="str">
        <f t="shared" si="83"/>
        <v>0.00</v>
      </c>
      <c r="O229" t="str">
        <f>"600196"</f>
        <v>600196</v>
      </c>
      <c r="P229" t="str">
        <f>"A400948245"</f>
        <v>A400948245</v>
      </c>
    </row>
    <row r="230" spans="1:16" x14ac:dyDescent="0.25">
      <c r="A230" t="str">
        <f t="shared" si="69"/>
        <v>人民币</v>
      </c>
      <c r="B230" t="str">
        <f>"江龙船艇"</f>
        <v>江龙船艇</v>
      </c>
      <c r="C230" t="str">
        <f>"20180717"</f>
        <v>20180717</v>
      </c>
      <c r="D230" t="str">
        <f>"14.290"</f>
        <v>14.290</v>
      </c>
      <c r="E230" t="str">
        <f>"300.00"</f>
        <v>300.00</v>
      </c>
      <c r="F230" t="str">
        <f>"-4292.00"</f>
        <v>-4292.00</v>
      </c>
      <c r="G230" t="str">
        <f>"13594.34"</f>
        <v>13594.34</v>
      </c>
      <c r="H230" t="str">
        <f>"1800.00"</f>
        <v>1800.00</v>
      </c>
      <c r="I230" t="str">
        <f>"4"</f>
        <v>4</v>
      </c>
      <c r="J230" t="str">
        <f>"证券买入(江龙船艇)"</f>
        <v>证券买入(江龙船艇)</v>
      </c>
      <c r="K230" t="str">
        <f t="shared" si="82"/>
        <v>5.00</v>
      </c>
      <c r="L230" t="str">
        <f>"0.00"</f>
        <v>0.00</v>
      </c>
      <c r="M230" t="str">
        <f>"0.00"</f>
        <v>0.00</v>
      </c>
      <c r="N230" t="str">
        <f t="shared" si="83"/>
        <v>0.00</v>
      </c>
      <c r="O230" t="str">
        <f>"300589"</f>
        <v>300589</v>
      </c>
      <c r="P230" t="str">
        <f>"0153613480"</f>
        <v>0153613480</v>
      </c>
    </row>
    <row r="231" spans="1:16" x14ac:dyDescent="0.25">
      <c r="A231" t="str">
        <f t="shared" si="69"/>
        <v>人民币</v>
      </c>
      <c r="B231" t="str">
        <f>"复星医药"</f>
        <v>复星医药</v>
      </c>
      <c r="C231" t="str">
        <f>"20180718"</f>
        <v>20180718</v>
      </c>
      <c r="D231" t="str">
        <f>"41.780"</f>
        <v>41.780</v>
      </c>
      <c r="E231" t="str">
        <f>"-100.00"</f>
        <v>-100.00</v>
      </c>
      <c r="F231" t="str">
        <f>"4168.74"</f>
        <v>4168.74</v>
      </c>
      <c r="G231" t="str">
        <f>"17763.08"</f>
        <v>17763.08</v>
      </c>
      <c r="H231" t="str">
        <f>"0.00"</f>
        <v>0.00</v>
      </c>
      <c r="I231" t="str">
        <f>"9"</f>
        <v>9</v>
      </c>
      <c r="J231" t="str">
        <f>"证券卖出(复星医药)"</f>
        <v>证券卖出(复星医药)</v>
      </c>
      <c r="K231" t="str">
        <f t="shared" si="82"/>
        <v>5.00</v>
      </c>
      <c r="L231" t="str">
        <f>"4.18"</f>
        <v>4.18</v>
      </c>
      <c r="M231" t="str">
        <f>"0.08"</f>
        <v>0.08</v>
      </c>
      <c r="N231" t="str">
        <f t="shared" si="83"/>
        <v>0.00</v>
      </c>
      <c r="O231" t="str">
        <f>"600196"</f>
        <v>600196</v>
      </c>
      <c r="P231" t="str">
        <f>"A400948245"</f>
        <v>A400948245</v>
      </c>
    </row>
    <row r="232" spans="1:16" x14ac:dyDescent="0.25">
      <c r="A232" t="str">
        <f t="shared" si="69"/>
        <v>人民币</v>
      </c>
      <c r="B232" t="str">
        <f>"春光配号"</f>
        <v>春光配号</v>
      </c>
      <c r="C232" t="str">
        <f>"20180718"</f>
        <v>20180718</v>
      </c>
      <c r="D232" t="str">
        <f>"0.000"</f>
        <v>0.000</v>
      </c>
      <c r="E232" t="str">
        <f>"1.00"</f>
        <v>1.00</v>
      </c>
      <c r="F232" t="str">
        <f>"0.00"</f>
        <v>0.00</v>
      </c>
      <c r="G232" t="str">
        <f>"17763.08"</f>
        <v>17763.08</v>
      </c>
      <c r="H232" t="str">
        <f>"0.00"</f>
        <v>0.00</v>
      </c>
      <c r="I232" t="str">
        <f>"12"</f>
        <v>12</v>
      </c>
      <c r="J232" t="str">
        <f>"申购配号(春光配号)"</f>
        <v>申购配号(春光配号)</v>
      </c>
      <c r="K232" t="str">
        <f>"0.00"</f>
        <v>0.00</v>
      </c>
      <c r="L232" t="str">
        <f>"0.00"</f>
        <v>0.00</v>
      </c>
      <c r="M232" t="str">
        <f>"0.00"</f>
        <v>0.00</v>
      </c>
      <c r="N232" t="str">
        <f t="shared" si="83"/>
        <v>0.00</v>
      </c>
      <c r="O232" t="str">
        <f>"736657"</f>
        <v>736657</v>
      </c>
      <c r="P232" t="str">
        <f>"A400948245"</f>
        <v>A400948245</v>
      </c>
    </row>
    <row r="233" spans="1:16" x14ac:dyDescent="0.25">
      <c r="A233" t="str">
        <f t="shared" si="69"/>
        <v>人民币</v>
      </c>
      <c r="B233" t="str">
        <f>"七一二"</f>
        <v>七一二</v>
      </c>
      <c r="C233" t="str">
        <f>"20180718"</f>
        <v>20180718</v>
      </c>
      <c r="D233" t="str">
        <f>"27.320"</f>
        <v>27.320</v>
      </c>
      <c r="E233" t="str">
        <f>"200.00"</f>
        <v>200.00</v>
      </c>
      <c r="F233" t="str">
        <f>"-5469.11"</f>
        <v>-5469.11</v>
      </c>
      <c r="G233" t="str">
        <f>"12293.97"</f>
        <v>12293.97</v>
      </c>
      <c r="H233" t="str">
        <f>"1000.00"</f>
        <v>1000.00</v>
      </c>
      <c r="I233" t="str">
        <f>"14"</f>
        <v>14</v>
      </c>
      <c r="J233" t="str">
        <f>"证券买入(七一二)"</f>
        <v>证券买入(七一二)</v>
      </c>
      <c r="K233" t="str">
        <f>"5.00"</f>
        <v>5.00</v>
      </c>
      <c r="L233" t="str">
        <f>"0.00"</f>
        <v>0.00</v>
      </c>
      <c r="M233" t="str">
        <f>"0.11"</f>
        <v>0.11</v>
      </c>
      <c r="N233" t="str">
        <f t="shared" si="83"/>
        <v>0.00</v>
      </c>
      <c r="O233" t="str">
        <f>"603712"</f>
        <v>603712</v>
      </c>
      <c r="P233" t="str">
        <f>"A400948245"</f>
        <v>A400948245</v>
      </c>
    </row>
    <row r="234" spans="1:16" x14ac:dyDescent="0.25">
      <c r="A234" t="str">
        <f t="shared" si="69"/>
        <v>人民币</v>
      </c>
      <c r="B234" t="str">
        <f>"庄园牧场"</f>
        <v>庄园牧场</v>
      </c>
      <c r="C234" t="str">
        <f>"20180719"</f>
        <v>20180719</v>
      </c>
      <c r="D234" t="str">
        <f>"24.000"</f>
        <v>24.000</v>
      </c>
      <c r="E234" t="str">
        <f>"500.00"</f>
        <v>500.00</v>
      </c>
      <c r="F234" t="str">
        <f>"-12005.00"</f>
        <v>-12005.00</v>
      </c>
      <c r="G234" t="str">
        <f>"288.97"</f>
        <v>288.97</v>
      </c>
      <c r="H234" t="str">
        <f>"500.00"</f>
        <v>500.00</v>
      </c>
      <c r="I234" t="str">
        <f>"23"</f>
        <v>23</v>
      </c>
      <c r="J234" t="str">
        <f>"证券买入(庄园牧场)"</f>
        <v>证券买入(庄园牧场)</v>
      </c>
      <c r="K234" t="str">
        <f>"5.00"</f>
        <v>5.00</v>
      </c>
      <c r="L234" t="str">
        <f>"0.00"</f>
        <v>0.00</v>
      </c>
      <c r="M234" t="str">
        <f>"0.00"</f>
        <v>0.00</v>
      </c>
      <c r="N234" t="str">
        <f t="shared" si="83"/>
        <v>0.00</v>
      </c>
      <c r="O234" t="str">
        <f>"002910"</f>
        <v>002910</v>
      </c>
      <c r="P234" t="str">
        <f>"0153613480"</f>
        <v>0153613480</v>
      </c>
    </row>
    <row r="235" spans="1:16" x14ac:dyDescent="0.25">
      <c r="A235" t="str">
        <f t="shared" si="69"/>
        <v>人民币</v>
      </c>
      <c r="B235" t="str">
        <f>"上海新阳"</f>
        <v>上海新阳</v>
      </c>
      <c r="C235" t="str">
        <f>"20180724"</f>
        <v>20180724</v>
      </c>
      <c r="D235" t="str">
        <f>"30.200"</f>
        <v>30.200</v>
      </c>
      <c r="E235" t="str">
        <f>"-400.00"</f>
        <v>-400.00</v>
      </c>
      <c r="F235" t="str">
        <f>"12062.92"</f>
        <v>12062.92</v>
      </c>
      <c r="G235" t="str">
        <f>"12351.89"</f>
        <v>12351.89</v>
      </c>
      <c r="H235" t="str">
        <f>"0.00"</f>
        <v>0.00</v>
      </c>
      <c r="I235" t="str">
        <f>"27"</f>
        <v>27</v>
      </c>
      <c r="J235" t="str">
        <f>"证券卖出(上海新阳)"</f>
        <v>证券卖出(上海新阳)</v>
      </c>
      <c r="K235" t="str">
        <f>"5.00"</f>
        <v>5.00</v>
      </c>
      <c r="L235" t="str">
        <f>"12.08"</f>
        <v>12.08</v>
      </c>
      <c r="M235" t="str">
        <f>"0.00"</f>
        <v>0.00</v>
      </c>
      <c r="N235" t="str">
        <f t="shared" si="83"/>
        <v>0.00</v>
      </c>
      <c r="O235" t="str">
        <f>"300236"</f>
        <v>300236</v>
      </c>
      <c r="P235" t="str">
        <f>"0153613480"</f>
        <v>0153613480</v>
      </c>
    </row>
    <row r="236" spans="1:16" x14ac:dyDescent="0.25">
      <c r="A236" t="str">
        <f t="shared" si="69"/>
        <v>人民币</v>
      </c>
      <c r="B236" t="str">
        <f>"庄园牧场"</f>
        <v>庄园牧场</v>
      </c>
      <c r="C236" t="str">
        <f>"20180724"</f>
        <v>20180724</v>
      </c>
      <c r="D236" t="str">
        <f>"22.490"</f>
        <v>22.490</v>
      </c>
      <c r="E236" t="str">
        <f>"300.00"</f>
        <v>300.00</v>
      </c>
      <c r="F236" t="str">
        <f>"-6752.00"</f>
        <v>-6752.00</v>
      </c>
      <c r="G236" t="str">
        <f>"5599.89"</f>
        <v>5599.89</v>
      </c>
      <c r="H236" t="str">
        <f>"800.00"</f>
        <v>800.00</v>
      </c>
      <c r="I236" t="str">
        <f>"30"</f>
        <v>30</v>
      </c>
      <c r="J236" t="str">
        <f>"证券买入(庄园牧场)"</f>
        <v>证券买入(庄园牧场)</v>
      </c>
      <c r="K236" t="str">
        <f>"5.00"</f>
        <v>5.00</v>
      </c>
      <c r="L236" t="str">
        <f>"0.00"</f>
        <v>0.00</v>
      </c>
      <c r="M236" t="str">
        <f>"0.00"</f>
        <v>0.00</v>
      </c>
      <c r="N236" t="str">
        <f t="shared" si="83"/>
        <v>0.00</v>
      </c>
      <c r="O236" t="str">
        <f>"002910"</f>
        <v>002910</v>
      </c>
      <c r="P236" t="str">
        <f>"0153613480"</f>
        <v>0153613480</v>
      </c>
    </row>
    <row r="237" spans="1:16" x14ac:dyDescent="0.25">
      <c r="A237" t="str">
        <f t="shared" si="69"/>
        <v>人民币</v>
      </c>
      <c r="B237" t="str">
        <f>" "</f>
        <v xml:space="preserve"> </v>
      </c>
      <c r="C237" t="str">
        <f>"20180726"</f>
        <v>20180726</v>
      </c>
      <c r="D237" t="str">
        <f>"---"</f>
        <v>---</v>
      </c>
      <c r="E237" t="str">
        <f>"---"</f>
        <v>---</v>
      </c>
      <c r="F237" t="str">
        <f>"-5000.00"</f>
        <v>-5000.00</v>
      </c>
      <c r="G237" t="str">
        <f>"599.89"</f>
        <v>599.89</v>
      </c>
      <c r="H237" t="str">
        <f>"---"</f>
        <v>---</v>
      </c>
      <c r="I237" t="str">
        <f>"---"</f>
        <v>---</v>
      </c>
      <c r="J237" t="str">
        <f>"银行转取"</f>
        <v>银行转取</v>
      </c>
      <c r="K237" t="str">
        <f t="shared" ref="K237:P237" si="84">"---"</f>
        <v>---</v>
      </c>
      <c r="L237" t="str">
        <f t="shared" si="84"/>
        <v>---</v>
      </c>
      <c r="M237" t="str">
        <f t="shared" si="84"/>
        <v>---</v>
      </c>
      <c r="N237" t="str">
        <f t="shared" si="84"/>
        <v>---</v>
      </c>
      <c r="O237" t="str">
        <f t="shared" si="84"/>
        <v>---</v>
      </c>
      <c r="P237" t="str">
        <f t="shared" si="84"/>
        <v>---</v>
      </c>
    </row>
    <row r="238" spans="1:16" x14ac:dyDescent="0.25">
      <c r="A238" t="str">
        <f t="shared" si="69"/>
        <v>人民币</v>
      </c>
      <c r="B238" t="str">
        <f>"庄园牧场"</f>
        <v>庄园牧场</v>
      </c>
      <c r="C238" t="str">
        <f>"20180730"</f>
        <v>20180730</v>
      </c>
      <c r="D238" t="str">
        <f>"24.000"</f>
        <v>24.000</v>
      </c>
      <c r="E238" t="str">
        <f>"-800.00"</f>
        <v>-800.00</v>
      </c>
      <c r="F238" t="str">
        <f>"19174.85"</f>
        <v>19174.85</v>
      </c>
      <c r="G238" t="str">
        <f>"19774.74"</f>
        <v>19774.74</v>
      </c>
      <c r="H238" t="str">
        <f>"0.00"</f>
        <v>0.00</v>
      </c>
      <c r="I238" t="str">
        <f>"37"</f>
        <v>37</v>
      </c>
      <c r="J238" t="str">
        <f>"证券卖出(庄园牧场)"</f>
        <v>证券卖出(庄园牧场)</v>
      </c>
      <c r="K238" t="str">
        <f>"5.95"</f>
        <v>5.95</v>
      </c>
      <c r="L238" t="str">
        <f>"19.20"</f>
        <v>19.20</v>
      </c>
      <c r="M238" t="str">
        <f t="shared" ref="M238:N242" si="85">"0.00"</f>
        <v>0.00</v>
      </c>
      <c r="N238" t="str">
        <f t="shared" si="85"/>
        <v>0.00</v>
      </c>
      <c r="O238" t="str">
        <f>"002910"</f>
        <v>002910</v>
      </c>
      <c r="P238" t="str">
        <f>"0153613480"</f>
        <v>0153613480</v>
      </c>
    </row>
    <row r="239" spans="1:16" x14ac:dyDescent="0.25">
      <c r="A239" t="str">
        <f t="shared" si="69"/>
        <v>人民币</v>
      </c>
      <c r="B239" t="str">
        <f>"江龙船艇"</f>
        <v>江龙船艇</v>
      </c>
      <c r="C239" t="str">
        <f>"20180731"</f>
        <v>20180731</v>
      </c>
      <c r="D239" t="str">
        <f>"13.530"</f>
        <v>13.530</v>
      </c>
      <c r="E239" t="str">
        <f>"500.00"</f>
        <v>500.00</v>
      </c>
      <c r="F239" t="str">
        <f>"-6770.00"</f>
        <v>-6770.00</v>
      </c>
      <c r="G239" t="str">
        <f>"13004.74"</f>
        <v>13004.74</v>
      </c>
      <c r="H239" t="str">
        <f>"2300.00"</f>
        <v>2300.00</v>
      </c>
      <c r="I239" t="str">
        <f>"41"</f>
        <v>41</v>
      </c>
      <c r="J239" t="str">
        <f>"证券买入(江龙船艇)"</f>
        <v>证券买入(江龙船艇)</v>
      </c>
      <c r="K239" t="str">
        <f>"5.00"</f>
        <v>5.00</v>
      </c>
      <c r="L239" t="str">
        <f>"0.00"</f>
        <v>0.00</v>
      </c>
      <c r="M239" t="str">
        <f t="shared" si="85"/>
        <v>0.00</v>
      </c>
      <c r="N239" t="str">
        <f t="shared" si="85"/>
        <v>0.00</v>
      </c>
      <c r="O239" t="str">
        <f>"300589"</f>
        <v>300589</v>
      </c>
      <c r="P239" t="str">
        <f>"0153613480"</f>
        <v>0153613480</v>
      </c>
    </row>
    <row r="240" spans="1:16" x14ac:dyDescent="0.25">
      <c r="A240" t="str">
        <f t="shared" si="69"/>
        <v>人民币</v>
      </c>
      <c r="B240" t="str">
        <f>"江龙船艇"</f>
        <v>江龙船艇</v>
      </c>
      <c r="C240" t="str">
        <f>"20180801"</f>
        <v>20180801</v>
      </c>
      <c r="D240" t="str">
        <f>"13.290"</f>
        <v>13.290</v>
      </c>
      <c r="E240" t="str">
        <f>"500.00"</f>
        <v>500.00</v>
      </c>
      <c r="F240" t="str">
        <f>"-6650.00"</f>
        <v>-6650.00</v>
      </c>
      <c r="G240" t="str">
        <f>"6354.74"</f>
        <v>6354.74</v>
      </c>
      <c r="H240" t="str">
        <f>"2800.00"</f>
        <v>2800.00</v>
      </c>
      <c r="I240" t="str">
        <f>"48"</f>
        <v>48</v>
      </c>
      <c r="J240" t="str">
        <f>"证券买入(江龙船艇)"</f>
        <v>证券买入(江龙船艇)</v>
      </c>
      <c r="K240" t="str">
        <f>"5.00"</f>
        <v>5.00</v>
      </c>
      <c r="L240" t="str">
        <f>"0.00"</f>
        <v>0.00</v>
      </c>
      <c r="M240" t="str">
        <f t="shared" si="85"/>
        <v>0.00</v>
      </c>
      <c r="N240" t="str">
        <f t="shared" si="85"/>
        <v>0.00</v>
      </c>
      <c r="O240" t="str">
        <f>"300589"</f>
        <v>300589</v>
      </c>
      <c r="P240" t="str">
        <f>"0153613480"</f>
        <v>0153613480</v>
      </c>
    </row>
    <row r="241" spans="1:16" x14ac:dyDescent="0.25">
      <c r="A241" t="str">
        <f t="shared" si="69"/>
        <v>人民币</v>
      </c>
      <c r="B241" t="str">
        <f>"捷佳伟创"</f>
        <v>捷佳伟创</v>
      </c>
      <c r="C241" t="str">
        <f>"20180801"</f>
        <v>20180801</v>
      </c>
      <c r="D241" t="str">
        <f>"0.000"</f>
        <v>0.000</v>
      </c>
      <c r="E241" t="str">
        <f>"8.00"</f>
        <v>8.00</v>
      </c>
      <c r="F241" t="str">
        <f>"0.00"</f>
        <v>0.00</v>
      </c>
      <c r="G241" t="str">
        <f>"6354.74"</f>
        <v>6354.74</v>
      </c>
      <c r="H241" t="str">
        <f>"0.00"</f>
        <v>0.00</v>
      </c>
      <c r="I241" t="str">
        <f>"46"</f>
        <v>46</v>
      </c>
      <c r="J241" t="str">
        <f>"申购配号(捷佳伟创)"</f>
        <v>申购配号(捷佳伟创)</v>
      </c>
      <c r="K241" t="str">
        <f>"0.00"</f>
        <v>0.00</v>
      </c>
      <c r="L241" t="str">
        <f>"0.00"</f>
        <v>0.00</v>
      </c>
      <c r="M241" t="str">
        <f t="shared" si="85"/>
        <v>0.00</v>
      </c>
      <c r="N241" t="str">
        <f t="shared" si="85"/>
        <v>0.00</v>
      </c>
      <c r="O241" t="str">
        <f>"300724"</f>
        <v>300724</v>
      </c>
      <c r="P241" t="str">
        <f>"0153613480"</f>
        <v>0153613480</v>
      </c>
    </row>
    <row r="242" spans="1:16" x14ac:dyDescent="0.25">
      <c r="A242" t="str">
        <f t="shared" si="69"/>
        <v>人民币</v>
      </c>
      <c r="B242" t="str">
        <f>"江龙船艇"</f>
        <v>江龙船艇</v>
      </c>
      <c r="C242" t="str">
        <f>"20180802"</f>
        <v>20180802</v>
      </c>
      <c r="D242" t="str">
        <f>"11.970"</f>
        <v>11.970</v>
      </c>
      <c r="E242" t="str">
        <f>"500.00"</f>
        <v>500.00</v>
      </c>
      <c r="F242" t="str">
        <f>"-5990.00"</f>
        <v>-5990.00</v>
      </c>
      <c r="G242" t="str">
        <f>"364.74"</f>
        <v>364.74</v>
      </c>
      <c r="H242" t="str">
        <f>"3300.00"</f>
        <v>3300.00</v>
      </c>
      <c r="I242" t="str">
        <f>"56"</f>
        <v>56</v>
      </c>
      <c r="J242" t="str">
        <f>"证券买入(江龙船艇)"</f>
        <v>证券买入(江龙船艇)</v>
      </c>
      <c r="K242" t="str">
        <f>"5.00"</f>
        <v>5.00</v>
      </c>
      <c r="L242" t="str">
        <f>"0.00"</f>
        <v>0.00</v>
      </c>
      <c r="M242" t="str">
        <f t="shared" si="85"/>
        <v>0.00</v>
      </c>
      <c r="N242" t="str">
        <f t="shared" si="85"/>
        <v>0.00</v>
      </c>
      <c r="O242" t="str">
        <f>"300589"</f>
        <v>300589</v>
      </c>
      <c r="P242" t="str">
        <f>"0153613480"</f>
        <v>0153613480</v>
      </c>
    </row>
    <row r="243" spans="1:16" x14ac:dyDescent="0.25">
      <c r="A243" t="str">
        <f t="shared" si="69"/>
        <v>人民币</v>
      </c>
      <c r="B243" t="str">
        <f>" "</f>
        <v xml:space="preserve"> </v>
      </c>
      <c r="C243" t="str">
        <f>"20180807"</f>
        <v>20180807</v>
      </c>
      <c r="D243" t="str">
        <f>"---"</f>
        <v>---</v>
      </c>
      <c r="E243" t="str">
        <f>"---"</f>
        <v>---</v>
      </c>
      <c r="F243" t="str">
        <f>"10000.00"</f>
        <v>10000.00</v>
      </c>
      <c r="G243" t="str">
        <f>"10364.74"</f>
        <v>10364.74</v>
      </c>
      <c r="H243" t="str">
        <f>"---"</f>
        <v>---</v>
      </c>
      <c r="I243" t="str">
        <f>"---"</f>
        <v>---</v>
      </c>
      <c r="J243" t="str">
        <f>"银行转存"</f>
        <v>银行转存</v>
      </c>
      <c r="K243" t="str">
        <f t="shared" ref="K243:P243" si="86">"---"</f>
        <v>---</v>
      </c>
      <c r="L243" t="str">
        <f t="shared" si="86"/>
        <v>---</v>
      </c>
      <c r="M243" t="str">
        <f t="shared" si="86"/>
        <v>---</v>
      </c>
      <c r="N243" t="str">
        <f t="shared" si="86"/>
        <v>---</v>
      </c>
      <c r="O243" t="str">
        <f t="shared" si="86"/>
        <v>---</v>
      </c>
      <c r="P243" t="str">
        <f t="shared" si="86"/>
        <v>---</v>
      </c>
    </row>
    <row r="244" spans="1:16" x14ac:dyDescent="0.25">
      <c r="A244" t="str">
        <f t="shared" si="69"/>
        <v>人民币</v>
      </c>
      <c r="B244" t="str">
        <f>"江龙船艇"</f>
        <v>江龙船艇</v>
      </c>
      <c r="C244" t="str">
        <f>"20180807"</f>
        <v>20180807</v>
      </c>
      <c r="D244" t="str">
        <f>"11.160"</f>
        <v>11.160</v>
      </c>
      <c r="E244" t="str">
        <f>"500.00"</f>
        <v>500.00</v>
      </c>
      <c r="F244" t="str">
        <f>"-5585.00"</f>
        <v>-5585.00</v>
      </c>
      <c r="G244" t="str">
        <f>"4779.74"</f>
        <v>4779.74</v>
      </c>
      <c r="H244" t="str">
        <f>"3800.00"</f>
        <v>3800.00</v>
      </c>
      <c r="I244" t="str">
        <f>"62"</f>
        <v>62</v>
      </c>
      <c r="J244" t="str">
        <f>"证券买入(江龙船艇)"</f>
        <v>证券买入(江龙船艇)</v>
      </c>
      <c r="K244" t="str">
        <f>"5.00"</f>
        <v>5.00</v>
      </c>
      <c r="L244" t="str">
        <f t="shared" ref="L244:N245" si="87">"0.00"</f>
        <v>0.00</v>
      </c>
      <c r="M244" t="str">
        <f t="shared" si="87"/>
        <v>0.00</v>
      </c>
      <c r="N244" t="str">
        <f t="shared" si="87"/>
        <v>0.00</v>
      </c>
      <c r="O244" t="str">
        <f>"300589"</f>
        <v>300589</v>
      </c>
      <c r="P244" t="str">
        <f>"0153613480"</f>
        <v>0153613480</v>
      </c>
    </row>
    <row r="245" spans="1:16" x14ac:dyDescent="0.25">
      <c r="A245" t="str">
        <f t="shared" si="69"/>
        <v>人民币</v>
      </c>
      <c r="B245" t="str">
        <f>"康辰配号"</f>
        <v>康辰配号</v>
      </c>
      <c r="C245" t="str">
        <f>"20180814"</f>
        <v>20180814</v>
      </c>
      <c r="D245" t="str">
        <f>"0.000"</f>
        <v>0.000</v>
      </c>
      <c r="E245" t="str">
        <f>"3.00"</f>
        <v>3.00</v>
      </c>
      <c r="F245" t="str">
        <f>"0.00"</f>
        <v>0.00</v>
      </c>
      <c r="G245" t="str">
        <f>"4779.74"</f>
        <v>4779.74</v>
      </c>
      <c r="H245" t="str">
        <f>"0.00"</f>
        <v>0.00</v>
      </c>
      <c r="I245" t="str">
        <f>"68"</f>
        <v>68</v>
      </c>
      <c r="J245" t="str">
        <f>"申购配号(康辰配号)"</f>
        <v>申购配号(康辰配号)</v>
      </c>
      <c r="K245" t="str">
        <f>"0.00"</f>
        <v>0.00</v>
      </c>
      <c r="L245" t="str">
        <f t="shared" si="87"/>
        <v>0.00</v>
      </c>
      <c r="M245" t="str">
        <f t="shared" si="87"/>
        <v>0.00</v>
      </c>
      <c r="N245" t="str">
        <f t="shared" si="87"/>
        <v>0.00</v>
      </c>
      <c r="O245" t="str">
        <f>"736590"</f>
        <v>736590</v>
      </c>
      <c r="P245" t="str">
        <f>"A400948245"</f>
        <v>A400948245</v>
      </c>
    </row>
    <row r="246" spans="1:16" x14ac:dyDescent="0.25">
      <c r="A246" t="str">
        <f t="shared" si="69"/>
        <v>人民币</v>
      </c>
      <c r="B246" t="str">
        <f>"江龙船艇"</f>
        <v>江龙船艇</v>
      </c>
      <c r="C246" t="str">
        <f>"20180814"</f>
        <v>20180814</v>
      </c>
      <c r="D246" t="str">
        <f>"12.180"</f>
        <v>12.180</v>
      </c>
      <c r="E246" t="str">
        <f>"-500.00"</f>
        <v>-500.00</v>
      </c>
      <c r="F246" t="str">
        <f>"6078.91"</f>
        <v>6078.91</v>
      </c>
      <c r="G246" t="str">
        <f>"10858.65"</f>
        <v>10858.65</v>
      </c>
      <c r="H246" t="str">
        <f>"3300.00"</f>
        <v>3300.00</v>
      </c>
      <c r="I246" t="str">
        <f>"70"</f>
        <v>70</v>
      </c>
      <c r="J246" t="str">
        <f>"证券卖出(江龙船艇)"</f>
        <v>证券卖出(江龙船艇)</v>
      </c>
      <c r="K246" t="str">
        <f>"5.00"</f>
        <v>5.00</v>
      </c>
      <c r="L246" t="str">
        <f>"6.09"</f>
        <v>6.09</v>
      </c>
      <c r="M246" t="str">
        <f>"0.00"</f>
        <v>0.00</v>
      </c>
      <c r="N246" t="str">
        <f>"0.00"</f>
        <v>0.00</v>
      </c>
      <c r="O246" t="str">
        <f>"300589"</f>
        <v>300589</v>
      </c>
      <c r="P246" t="str">
        <f>"0153613480"</f>
        <v>0153613480</v>
      </c>
    </row>
    <row r="247" spans="1:16" x14ac:dyDescent="0.25">
      <c r="A247" t="str">
        <f t="shared" si="69"/>
        <v>人民币</v>
      </c>
      <c r="B247" t="str">
        <f>" "</f>
        <v xml:space="preserve"> </v>
      </c>
      <c r="C247" t="str">
        <f>"20180815"</f>
        <v>20180815</v>
      </c>
      <c r="D247" t="str">
        <f>"---"</f>
        <v>---</v>
      </c>
      <c r="E247" t="str">
        <f>"---"</f>
        <v>---</v>
      </c>
      <c r="F247" t="str">
        <f>"-3000.00"</f>
        <v>-3000.00</v>
      </c>
      <c r="G247" t="str">
        <f>"7858.65"</f>
        <v>7858.65</v>
      </c>
      <c r="H247" t="str">
        <f>"---"</f>
        <v>---</v>
      </c>
      <c r="I247" t="str">
        <f>"---"</f>
        <v>---</v>
      </c>
      <c r="J247" t="str">
        <f>"银行转取"</f>
        <v>银行转取</v>
      </c>
      <c r="K247" t="str">
        <f t="shared" ref="K247:P247" si="88">"---"</f>
        <v>---</v>
      </c>
      <c r="L247" t="str">
        <f t="shared" si="88"/>
        <v>---</v>
      </c>
      <c r="M247" t="str">
        <f t="shared" si="88"/>
        <v>---</v>
      </c>
      <c r="N247" t="str">
        <f t="shared" si="88"/>
        <v>---</v>
      </c>
      <c r="O247" t="str">
        <f t="shared" si="88"/>
        <v>---</v>
      </c>
      <c r="P247" t="str">
        <f t="shared" si="88"/>
        <v>---</v>
      </c>
    </row>
    <row r="248" spans="1:16" x14ac:dyDescent="0.25">
      <c r="A248" t="str">
        <f t="shared" si="69"/>
        <v>人民币</v>
      </c>
      <c r="B248" t="str">
        <f>"七一二"</f>
        <v>七一二</v>
      </c>
      <c r="C248" t="str">
        <f>"20180815"</f>
        <v>20180815</v>
      </c>
      <c r="D248" t="str">
        <f>"22.960"</f>
        <v>22.960</v>
      </c>
      <c r="E248" t="str">
        <f>"300.00"</f>
        <v>300.00</v>
      </c>
      <c r="F248" t="str">
        <f>"-6893.14"</f>
        <v>-6893.14</v>
      </c>
      <c r="G248" t="str">
        <f>"965.51"</f>
        <v>965.51</v>
      </c>
      <c r="H248" t="str">
        <f>"1300.00"</f>
        <v>1300.00</v>
      </c>
      <c r="I248" t="str">
        <f>"77"</f>
        <v>77</v>
      </c>
      <c r="J248" t="str">
        <f>"证券买入(七一二)"</f>
        <v>证券买入(七一二)</v>
      </c>
      <c r="K248" t="str">
        <f>"5.00"</f>
        <v>5.00</v>
      </c>
      <c r="L248" t="str">
        <f>"0.00"</f>
        <v>0.00</v>
      </c>
      <c r="M248" t="str">
        <f>"0.14"</f>
        <v>0.14</v>
      </c>
      <c r="N248" t="str">
        <f>"0.00"</f>
        <v>0.00</v>
      </c>
      <c r="O248" t="str">
        <f>"603712"</f>
        <v>603712</v>
      </c>
      <c r="P248" t="str">
        <f>"A400948245"</f>
        <v>A400948245</v>
      </c>
    </row>
    <row r="249" spans="1:16" x14ac:dyDescent="0.25">
      <c r="A249" t="str">
        <f t="shared" si="69"/>
        <v>人民币</v>
      </c>
      <c r="B249" t="str">
        <f>"新兴装备"</f>
        <v>新兴装备</v>
      </c>
      <c r="C249" t="str">
        <f>"20180815"</f>
        <v>20180815</v>
      </c>
      <c r="D249" t="str">
        <f>"0.000"</f>
        <v>0.000</v>
      </c>
      <c r="E249" t="str">
        <f>"8.00"</f>
        <v>8.00</v>
      </c>
      <c r="F249" t="str">
        <f>"0.00"</f>
        <v>0.00</v>
      </c>
      <c r="G249" t="str">
        <f>"965.51"</f>
        <v>965.51</v>
      </c>
      <c r="H249" t="str">
        <f>"0.00"</f>
        <v>0.00</v>
      </c>
      <c r="I249" t="str">
        <f>"75"</f>
        <v>75</v>
      </c>
      <c r="J249" t="str">
        <f>"申购配号(新兴装备)"</f>
        <v>申购配号(新兴装备)</v>
      </c>
      <c r="K249" t="str">
        <f>"0.00"</f>
        <v>0.00</v>
      </c>
      <c r="L249" t="str">
        <f>"0.00"</f>
        <v>0.00</v>
      </c>
      <c r="M249" t="str">
        <f>"0.00"</f>
        <v>0.00</v>
      </c>
      <c r="N249" t="str">
        <f>"0.00"</f>
        <v>0.00</v>
      </c>
      <c r="O249" t="str">
        <f>"002933"</f>
        <v>002933</v>
      </c>
      <c r="P249" t="str">
        <f>"0153613480"</f>
        <v>0153613480</v>
      </c>
    </row>
    <row r="250" spans="1:16" x14ac:dyDescent="0.25">
      <c r="A250" t="str">
        <f t="shared" si="69"/>
        <v>人民币</v>
      </c>
      <c r="B250" t="str">
        <f>"中铝配号"</f>
        <v>中铝配号</v>
      </c>
      <c r="C250" t="str">
        <f>"20180821"</f>
        <v>20180821</v>
      </c>
      <c r="D250" t="str">
        <f>"0.000"</f>
        <v>0.000</v>
      </c>
      <c r="E250" t="str">
        <f>"3.00"</f>
        <v>3.00</v>
      </c>
      <c r="F250" t="str">
        <f>"0.00"</f>
        <v>0.00</v>
      </c>
      <c r="G250" t="str">
        <f>"965.51"</f>
        <v>965.51</v>
      </c>
      <c r="H250" t="str">
        <f>"0.00"</f>
        <v>0.00</v>
      </c>
      <c r="I250" t="str">
        <f>"83"</f>
        <v>83</v>
      </c>
      <c r="J250" t="str">
        <f>"申购配号(中铝配号)"</f>
        <v>申购配号(中铝配号)</v>
      </c>
      <c r="K250" t="str">
        <f>"0.00"</f>
        <v>0.00</v>
      </c>
      <c r="L250" t="str">
        <f>"0.00"</f>
        <v>0.00</v>
      </c>
      <c r="M250" t="str">
        <f>"0.00"</f>
        <v>0.00</v>
      </c>
      <c r="N250" t="str">
        <f>"0.00"</f>
        <v>0.00</v>
      </c>
      <c r="O250" t="str">
        <f>"791068"</f>
        <v>791068</v>
      </c>
      <c r="P250" t="str">
        <f>"A400948245"</f>
        <v>A400948245</v>
      </c>
    </row>
    <row r="251" spans="1:16" x14ac:dyDescent="0.25">
      <c r="A251" t="str">
        <f t="shared" si="69"/>
        <v>人民币</v>
      </c>
      <c r="B251" t="str">
        <f>" "</f>
        <v xml:space="preserve"> </v>
      </c>
      <c r="C251" t="str">
        <f>"20180824"</f>
        <v>20180824</v>
      </c>
      <c r="D251" t="str">
        <f>"---"</f>
        <v>---</v>
      </c>
      <c r="E251" t="str">
        <f>"---"</f>
        <v>---</v>
      </c>
      <c r="F251" t="str">
        <f>"10000.00"</f>
        <v>10000.00</v>
      </c>
      <c r="G251" t="str">
        <f>"10965.51"</f>
        <v>10965.51</v>
      </c>
      <c r="H251" t="str">
        <f>"---"</f>
        <v>---</v>
      </c>
      <c r="I251" t="str">
        <f>"---"</f>
        <v>---</v>
      </c>
      <c r="J251" t="str">
        <f>"银行转存"</f>
        <v>银行转存</v>
      </c>
      <c r="K251" t="str">
        <f t="shared" ref="K251:P251" si="89">"---"</f>
        <v>---</v>
      </c>
      <c r="L251" t="str">
        <f t="shared" si="89"/>
        <v>---</v>
      </c>
      <c r="M251" t="str">
        <f t="shared" si="89"/>
        <v>---</v>
      </c>
      <c r="N251" t="str">
        <f t="shared" si="89"/>
        <v>---</v>
      </c>
      <c r="O251" t="str">
        <f t="shared" si="89"/>
        <v>---</v>
      </c>
      <c r="P251" t="str">
        <f t="shared" si="89"/>
        <v>---</v>
      </c>
    </row>
    <row r="252" spans="1:16" x14ac:dyDescent="0.25">
      <c r="A252" t="str">
        <f t="shared" si="69"/>
        <v>人民币</v>
      </c>
      <c r="B252" t="str">
        <f>"中通国脉"</f>
        <v>中通国脉</v>
      </c>
      <c r="C252" t="str">
        <f>"20180824"</f>
        <v>20180824</v>
      </c>
      <c r="D252" t="str">
        <f>"25.110"</f>
        <v>25.110</v>
      </c>
      <c r="E252" t="str">
        <f>"400.00"</f>
        <v>400.00</v>
      </c>
      <c r="F252" t="str">
        <f>"-10049.20"</f>
        <v>-10049.20</v>
      </c>
      <c r="G252" t="str">
        <f>"916.31"</f>
        <v>916.31</v>
      </c>
      <c r="H252" t="str">
        <f>"1000.00"</f>
        <v>1000.00</v>
      </c>
      <c r="I252" t="str">
        <f>"87"</f>
        <v>87</v>
      </c>
      <c r="J252" t="str">
        <f>"证券买入(中通国脉)"</f>
        <v>证券买入(中通国脉)</v>
      </c>
      <c r="K252" t="str">
        <f>"5.00"</f>
        <v>5.00</v>
      </c>
      <c r="L252" t="str">
        <f>"0.00"</f>
        <v>0.00</v>
      </c>
      <c r="M252" t="str">
        <f>"0.20"</f>
        <v>0.20</v>
      </c>
      <c r="N252" t="str">
        <f>"0.00"</f>
        <v>0.00</v>
      </c>
      <c r="O252" t="str">
        <f>"603559"</f>
        <v>603559</v>
      </c>
      <c r="P252" t="str">
        <f>"A400948245"</f>
        <v>A400948245</v>
      </c>
    </row>
    <row r="253" spans="1:16" x14ac:dyDescent="0.25">
      <c r="A253" t="str">
        <f t="shared" si="69"/>
        <v>人民币</v>
      </c>
      <c r="B253" t="str">
        <f>"中通国脉"</f>
        <v>中通国脉</v>
      </c>
      <c r="C253" t="str">
        <f>"20180828"</f>
        <v>20180828</v>
      </c>
      <c r="D253" t="str">
        <f>"26.500"</f>
        <v>26.500</v>
      </c>
      <c r="E253" t="str">
        <f>"-400.00"</f>
        <v>-400.00</v>
      </c>
      <c r="F253" t="str">
        <f>"10584.19"</f>
        <v>10584.19</v>
      </c>
      <c r="G253" t="str">
        <f>"11500.50"</f>
        <v>11500.50</v>
      </c>
      <c r="H253" t="str">
        <f>"600.00"</f>
        <v>600.00</v>
      </c>
      <c r="I253" t="str">
        <f>"91"</f>
        <v>91</v>
      </c>
      <c r="J253" t="str">
        <f>"证券卖出(中通国脉)"</f>
        <v>证券卖出(中通国脉)</v>
      </c>
      <c r="K253" t="str">
        <f>"5.00"</f>
        <v>5.00</v>
      </c>
      <c r="L253" t="str">
        <f>"10.60"</f>
        <v>10.60</v>
      </c>
      <c r="M253" t="str">
        <f>"0.21"</f>
        <v>0.21</v>
      </c>
      <c r="N253" t="str">
        <f>"0.00"</f>
        <v>0.00</v>
      </c>
      <c r="O253" t="str">
        <f>"603559"</f>
        <v>603559</v>
      </c>
      <c r="P253" t="str">
        <f>"A400948245"</f>
        <v>A400948245</v>
      </c>
    </row>
    <row r="254" spans="1:16" x14ac:dyDescent="0.25">
      <c r="A254" t="str">
        <f t="shared" si="69"/>
        <v>人民币</v>
      </c>
      <c r="B254" t="str">
        <f>"七一二"</f>
        <v>七一二</v>
      </c>
      <c r="C254" t="str">
        <f>"20180828"</f>
        <v>20180828</v>
      </c>
      <c r="D254" t="str">
        <f>"21.870"</f>
        <v>21.870</v>
      </c>
      <c r="E254" t="str">
        <f>"200.00"</f>
        <v>200.00</v>
      </c>
      <c r="F254" t="str">
        <f>"-4379.09"</f>
        <v>-4379.09</v>
      </c>
      <c r="G254" t="str">
        <f>"7121.41"</f>
        <v>7121.41</v>
      </c>
      <c r="H254" t="str">
        <f>"1500.00"</f>
        <v>1500.00</v>
      </c>
      <c r="I254" t="str">
        <f>"94"</f>
        <v>94</v>
      </c>
      <c r="J254" t="str">
        <f>"证券买入(七一二)"</f>
        <v>证券买入(七一二)</v>
      </c>
      <c r="K254" t="str">
        <f>"5.00"</f>
        <v>5.00</v>
      </c>
      <c r="L254" t="str">
        <f>"0.00"</f>
        <v>0.00</v>
      </c>
      <c r="M254" t="str">
        <f>"0.09"</f>
        <v>0.09</v>
      </c>
      <c r="N254" t="str">
        <f>"0.00"</f>
        <v>0.00</v>
      </c>
      <c r="O254" t="str">
        <f>"603712"</f>
        <v>603712</v>
      </c>
      <c r="P254" t="str">
        <f>"A400948245"</f>
        <v>A400948245</v>
      </c>
    </row>
    <row r="255" spans="1:16" x14ac:dyDescent="0.25">
      <c r="A255" t="str">
        <f t="shared" si="69"/>
        <v>人民币</v>
      </c>
      <c r="B255" t="str">
        <f>"江龙船艇"</f>
        <v>江龙船艇</v>
      </c>
      <c r="C255" t="str">
        <f>"20180828"</f>
        <v>20180828</v>
      </c>
      <c r="D255" t="str">
        <f>"11.620"</f>
        <v>11.620</v>
      </c>
      <c r="E255" t="str">
        <f>"300.00"</f>
        <v>300.00</v>
      </c>
      <c r="F255" t="str">
        <f>"-3491.00"</f>
        <v>-3491.00</v>
      </c>
      <c r="G255" t="str">
        <f>"3630.41"</f>
        <v>3630.41</v>
      </c>
      <c r="H255" t="str">
        <f>"3600.00"</f>
        <v>3600.00</v>
      </c>
      <c r="I255" t="str">
        <f>"97"</f>
        <v>97</v>
      </c>
      <c r="J255" t="str">
        <f>"证券买入(江龙船艇)"</f>
        <v>证券买入(江龙船艇)</v>
      </c>
      <c r="K255" t="str">
        <f>"5.00"</f>
        <v>5.00</v>
      </c>
      <c r="L255" t="str">
        <f>"0.00"</f>
        <v>0.00</v>
      </c>
      <c r="M255" t="str">
        <f>"0.00"</f>
        <v>0.00</v>
      </c>
      <c r="N255" t="str">
        <f>"0.00"</f>
        <v>0.00</v>
      </c>
      <c r="O255" t="str">
        <f>"300589"</f>
        <v>300589</v>
      </c>
      <c r="P255" t="str">
        <f>"0153613480"</f>
        <v>0153613480</v>
      </c>
    </row>
    <row r="256" spans="1:16" x14ac:dyDescent="0.25">
      <c r="A256" t="str">
        <f t="shared" si="69"/>
        <v>人民币</v>
      </c>
      <c r="B256" t="str">
        <f>"中通国脉"</f>
        <v>中通国脉</v>
      </c>
      <c r="C256" t="str">
        <f>"20180829"</f>
        <v>20180829</v>
      </c>
      <c r="D256" t="str">
        <f>"0.000"</f>
        <v>0.000</v>
      </c>
      <c r="E256" t="str">
        <f>"0.00"</f>
        <v>0.00</v>
      </c>
      <c r="F256" t="str">
        <f>"-0.45"</f>
        <v>-0.45</v>
      </c>
      <c r="G256" t="str">
        <f>"3629.96"</f>
        <v>3629.96</v>
      </c>
      <c r="H256" t="str">
        <f>"600.00"</f>
        <v>600.00</v>
      </c>
      <c r="I256" t="str">
        <f>"---"</f>
        <v>---</v>
      </c>
      <c r="J256" t="str">
        <f>"红利差异税扣税(中通国脉)"</f>
        <v>红利差异税扣税(中通国脉)</v>
      </c>
      <c r="K256" t="str">
        <f t="shared" ref="K256:N258" si="90">"---"</f>
        <v>---</v>
      </c>
      <c r="L256" t="str">
        <f t="shared" si="90"/>
        <v>---</v>
      </c>
      <c r="M256" t="str">
        <f t="shared" si="90"/>
        <v>---</v>
      </c>
      <c r="N256" t="str">
        <f t="shared" si="90"/>
        <v>---</v>
      </c>
      <c r="O256" t="str">
        <f>"603559"</f>
        <v>603559</v>
      </c>
      <c r="P256" t="str">
        <f t="shared" ref="P256:P261" si="91">"A400948245"</f>
        <v>A400948245</v>
      </c>
    </row>
    <row r="257" spans="1:16" x14ac:dyDescent="0.25">
      <c r="A257" t="str">
        <f t="shared" si="69"/>
        <v>人民币</v>
      </c>
      <c r="B257" t="str">
        <f>"中通国脉"</f>
        <v>中通国脉</v>
      </c>
      <c r="C257" t="str">
        <f>"20180829"</f>
        <v>20180829</v>
      </c>
      <c r="D257" t="str">
        <f>"0.000"</f>
        <v>0.000</v>
      </c>
      <c r="E257" t="str">
        <f>"0.00"</f>
        <v>0.00</v>
      </c>
      <c r="F257" t="str">
        <f>"-0.45"</f>
        <v>-0.45</v>
      </c>
      <c r="G257" t="str">
        <f>"3629.51"</f>
        <v>3629.51</v>
      </c>
      <c r="H257" t="str">
        <f>"600.00"</f>
        <v>600.00</v>
      </c>
      <c r="I257" t="str">
        <f>"---"</f>
        <v>---</v>
      </c>
      <c r="J257" t="str">
        <f>"红利差异税扣税(中通国脉)"</f>
        <v>红利差异税扣税(中通国脉)</v>
      </c>
      <c r="K257" t="str">
        <f t="shared" si="90"/>
        <v>---</v>
      </c>
      <c r="L257" t="str">
        <f t="shared" si="90"/>
        <v>---</v>
      </c>
      <c r="M257" t="str">
        <f t="shared" si="90"/>
        <v>---</v>
      </c>
      <c r="N257" t="str">
        <f t="shared" si="90"/>
        <v>---</v>
      </c>
      <c r="O257" t="str">
        <f>"603559"</f>
        <v>603559</v>
      </c>
      <c r="P257" t="str">
        <f t="shared" si="91"/>
        <v>A400948245</v>
      </c>
    </row>
    <row r="258" spans="1:16" x14ac:dyDescent="0.25">
      <c r="A258" t="str">
        <f t="shared" ref="A258:A317" si="92">"人民币"</f>
        <v>人民币</v>
      </c>
      <c r="B258" t="str">
        <f>"中通国脉"</f>
        <v>中通国脉</v>
      </c>
      <c r="C258" t="str">
        <f>"20180829"</f>
        <v>20180829</v>
      </c>
      <c r="D258" t="str">
        <f>"0.000"</f>
        <v>0.000</v>
      </c>
      <c r="E258" t="str">
        <f>"0.00"</f>
        <v>0.00</v>
      </c>
      <c r="F258" t="str">
        <f>"-0.90"</f>
        <v>-0.90</v>
      </c>
      <c r="G258" t="str">
        <f>"3628.61"</f>
        <v>3628.61</v>
      </c>
      <c r="H258" t="str">
        <f>"600.00"</f>
        <v>600.00</v>
      </c>
      <c r="I258" t="str">
        <f>"---"</f>
        <v>---</v>
      </c>
      <c r="J258" t="str">
        <f>"红利差异税扣税(中通国脉)"</f>
        <v>红利差异税扣税(中通国脉)</v>
      </c>
      <c r="K258" t="str">
        <f t="shared" si="90"/>
        <v>---</v>
      </c>
      <c r="L258" t="str">
        <f t="shared" si="90"/>
        <v>---</v>
      </c>
      <c r="M258" t="str">
        <f t="shared" si="90"/>
        <v>---</v>
      </c>
      <c r="N258" t="str">
        <f t="shared" si="90"/>
        <v>---</v>
      </c>
      <c r="O258" t="str">
        <f>"603559"</f>
        <v>603559</v>
      </c>
      <c r="P258" t="str">
        <f t="shared" si="91"/>
        <v>A400948245</v>
      </c>
    </row>
    <row r="259" spans="1:16" x14ac:dyDescent="0.25">
      <c r="A259" t="str">
        <f t="shared" si="92"/>
        <v>人民币</v>
      </c>
      <c r="B259" t="str">
        <f>"永新配号"</f>
        <v>永新配号</v>
      </c>
      <c r="C259" t="str">
        <f>"20180829"</f>
        <v>20180829</v>
      </c>
      <c r="D259" t="str">
        <f>"0.000"</f>
        <v>0.000</v>
      </c>
      <c r="E259" t="str">
        <f>"3.00"</f>
        <v>3.00</v>
      </c>
      <c r="F259" t="str">
        <f>"0.00"</f>
        <v>0.00</v>
      </c>
      <c r="G259" t="str">
        <f>"3628.61"</f>
        <v>3628.61</v>
      </c>
      <c r="H259" t="str">
        <f>"0.00"</f>
        <v>0.00</v>
      </c>
      <c r="I259" t="str">
        <f>"4"</f>
        <v>4</v>
      </c>
      <c r="J259" t="str">
        <f>"申购配号(永新配号)"</f>
        <v>申购配号(永新配号)</v>
      </c>
      <c r="K259" t="str">
        <f>"0.00"</f>
        <v>0.00</v>
      </c>
      <c r="L259" t="str">
        <f>"0.00"</f>
        <v>0.00</v>
      </c>
      <c r="M259" t="str">
        <f>"0.00"</f>
        <v>0.00</v>
      </c>
      <c r="N259" t="str">
        <f>"0.00"</f>
        <v>0.00</v>
      </c>
      <c r="O259" t="str">
        <f>"736297"</f>
        <v>736297</v>
      </c>
      <c r="P259" t="str">
        <f t="shared" si="91"/>
        <v>A400948245</v>
      </c>
    </row>
    <row r="260" spans="1:16" x14ac:dyDescent="0.25">
      <c r="A260" t="str">
        <f t="shared" si="92"/>
        <v>人民币</v>
      </c>
      <c r="B260" t="str">
        <f>"中通国脉"</f>
        <v>中通国脉</v>
      </c>
      <c r="C260" t="str">
        <f>"20180829"</f>
        <v>20180829</v>
      </c>
      <c r="D260" t="str">
        <f>"25.400"</f>
        <v>25.400</v>
      </c>
      <c r="E260" t="str">
        <f>"100.00"</f>
        <v>100.00</v>
      </c>
      <c r="F260" t="str">
        <f>"-2545.05"</f>
        <v>-2545.05</v>
      </c>
      <c r="G260" t="str">
        <f>"1083.56"</f>
        <v>1083.56</v>
      </c>
      <c r="H260" t="str">
        <f>"700.00"</f>
        <v>700.00</v>
      </c>
      <c r="I260" t="str">
        <f>"6"</f>
        <v>6</v>
      </c>
      <c r="J260" t="str">
        <f>"证券买入(中通国脉)"</f>
        <v>证券买入(中通国脉)</v>
      </c>
      <c r="K260" t="str">
        <f>"5.00"</f>
        <v>5.00</v>
      </c>
      <c r="L260" t="str">
        <f>"0.00"</f>
        <v>0.00</v>
      </c>
      <c r="M260" t="str">
        <f>"0.05"</f>
        <v>0.05</v>
      </c>
      <c r="N260" t="str">
        <f>"0.00"</f>
        <v>0.00</v>
      </c>
      <c r="O260" t="str">
        <f>"603559"</f>
        <v>603559</v>
      </c>
      <c r="P260" t="str">
        <f t="shared" si="91"/>
        <v>A400948245</v>
      </c>
    </row>
    <row r="261" spans="1:16" x14ac:dyDescent="0.25">
      <c r="A261" t="str">
        <f t="shared" si="92"/>
        <v>人民币</v>
      </c>
      <c r="B261" t="str">
        <f>"雅运配号"</f>
        <v>雅运配号</v>
      </c>
      <c r="C261" t="str">
        <f>"20180830"</f>
        <v>20180830</v>
      </c>
      <c r="D261" t="str">
        <f>"0.000"</f>
        <v>0.000</v>
      </c>
      <c r="E261" t="str">
        <f>"3.00"</f>
        <v>3.00</v>
      </c>
      <c r="F261" t="str">
        <f>"0.00"</f>
        <v>0.00</v>
      </c>
      <c r="G261" t="str">
        <f>"1083.56"</f>
        <v>1083.56</v>
      </c>
      <c r="H261" t="str">
        <f>"0.00"</f>
        <v>0.00</v>
      </c>
      <c r="I261" t="str">
        <f>"11"</f>
        <v>11</v>
      </c>
      <c r="J261" t="str">
        <f>"申购配号(雅运配号)"</f>
        <v>申购配号(雅运配号)</v>
      </c>
      <c r="K261" t="str">
        <f>"0.00"</f>
        <v>0.00</v>
      </c>
      <c r="L261" t="str">
        <f>"0.00"</f>
        <v>0.00</v>
      </c>
      <c r="M261" t="str">
        <f>"0.00"</f>
        <v>0.00</v>
      </c>
      <c r="N261" t="str">
        <f>"0.00"</f>
        <v>0.00</v>
      </c>
      <c r="O261" t="str">
        <f>"736790"</f>
        <v>736790</v>
      </c>
      <c r="P261" t="str">
        <f t="shared" si="91"/>
        <v>A400948245</v>
      </c>
    </row>
    <row r="262" spans="1:16" x14ac:dyDescent="0.25">
      <c r="A262" t="str">
        <f t="shared" si="92"/>
        <v>人民币</v>
      </c>
      <c r="B262" t="str">
        <f>" "</f>
        <v xml:space="preserve"> </v>
      </c>
      <c r="C262" t="str">
        <f>"20180903"</f>
        <v>20180903</v>
      </c>
      <c r="D262" t="str">
        <f>"---"</f>
        <v>---</v>
      </c>
      <c r="E262" t="str">
        <f>"---"</f>
        <v>---</v>
      </c>
      <c r="F262" t="str">
        <f>"3000.00"</f>
        <v>3000.00</v>
      </c>
      <c r="G262" t="str">
        <f>"4083.56"</f>
        <v>4083.56</v>
      </c>
      <c r="H262" t="str">
        <f>"---"</f>
        <v>---</v>
      </c>
      <c r="I262" t="str">
        <f>"---"</f>
        <v>---</v>
      </c>
      <c r="J262" t="str">
        <f>"银行转存"</f>
        <v>银行转存</v>
      </c>
      <c r="K262" t="str">
        <f t="shared" ref="K262:P262" si="93">"---"</f>
        <v>---</v>
      </c>
      <c r="L262" t="str">
        <f t="shared" si="93"/>
        <v>---</v>
      </c>
      <c r="M262" t="str">
        <f t="shared" si="93"/>
        <v>---</v>
      </c>
      <c r="N262" t="str">
        <f t="shared" si="93"/>
        <v>---</v>
      </c>
      <c r="O262" t="str">
        <f t="shared" si="93"/>
        <v>---</v>
      </c>
      <c r="P262" t="str">
        <f t="shared" si="93"/>
        <v>---</v>
      </c>
    </row>
    <row r="263" spans="1:16" x14ac:dyDescent="0.25">
      <c r="A263" t="str">
        <f t="shared" si="92"/>
        <v>人民币</v>
      </c>
      <c r="B263" t="str">
        <f>"中通国脉"</f>
        <v>中通国脉</v>
      </c>
      <c r="C263" t="str">
        <f>"20180903"</f>
        <v>20180903</v>
      </c>
      <c r="D263" t="str">
        <f>"23.400"</f>
        <v>23.400</v>
      </c>
      <c r="E263" t="str">
        <f>"100.00"</f>
        <v>100.00</v>
      </c>
      <c r="F263" t="str">
        <f>"-2345.05"</f>
        <v>-2345.05</v>
      </c>
      <c r="G263" t="str">
        <f>"1738.51"</f>
        <v>1738.51</v>
      </c>
      <c r="H263" t="str">
        <f>"800.00"</f>
        <v>800.00</v>
      </c>
      <c r="I263" t="str">
        <f>"15"</f>
        <v>15</v>
      </c>
      <c r="J263" t="str">
        <f>"证券买入(中通国脉)"</f>
        <v>证券买入(中通国脉)</v>
      </c>
      <c r="K263" t="str">
        <f>"5.00"</f>
        <v>5.00</v>
      </c>
      <c r="L263" t="str">
        <f>"0.00"</f>
        <v>0.00</v>
      </c>
      <c r="M263" t="str">
        <f>"0.05"</f>
        <v>0.05</v>
      </c>
      <c r="N263" t="str">
        <f t="shared" ref="N263:N270" si="94">"0.00"</f>
        <v>0.00</v>
      </c>
      <c r="O263" t="str">
        <f>"603559"</f>
        <v>603559</v>
      </c>
      <c r="P263" t="str">
        <f>"A400948245"</f>
        <v>A400948245</v>
      </c>
    </row>
    <row r="264" spans="1:16" x14ac:dyDescent="0.25">
      <c r="A264" t="str">
        <f t="shared" si="92"/>
        <v>人民币</v>
      </c>
      <c r="B264" t="str">
        <f>"中通国脉"</f>
        <v>中通国脉</v>
      </c>
      <c r="C264" t="str">
        <f>"20180903"</f>
        <v>20180903</v>
      </c>
      <c r="D264" t="str">
        <f>"24.110"</f>
        <v>24.110</v>
      </c>
      <c r="E264" t="str">
        <f>"-100.00"</f>
        <v>-100.00</v>
      </c>
      <c r="F264" t="str">
        <f>"2403.54"</f>
        <v>2403.54</v>
      </c>
      <c r="G264" t="str">
        <f>"4142.05"</f>
        <v>4142.05</v>
      </c>
      <c r="H264" t="str">
        <f>"700.00"</f>
        <v>700.00</v>
      </c>
      <c r="I264" t="str">
        <f>"18"</f>
        <v>18</v>
      </c>
      <c r="J264" t="str">
        <f>"证券卖出(中通国脉)"</f>
        <v>证券卖出(中通国脉)</v>
      </c>
      <c r="K264" t="str">
        <f>"5.00"</f>
        <v>5.00</v>
      </c>
      <c r="L264" t="str">
        <f>"2.41"</f>
        <v>2.41</v>
      </c>
      <c r="M264" t="str">
        <f>"0.05"</f>
        <v>0.05</v>
      </c>
      <c r="N264" t="str">
        <f t="shared" si="94"/>
        <v>0.00</v>
      </c>
      <c r="O264" t="str">
        <f>"603559"</f>
        <v>603559</v>
      </c>
      <c r="P264" t="str">
        <f>"A400948245"</f>
        <v>A400948245</v>
      </c>
    </row>
    <row r="265" spans="1:16" x14ac:dyDescent="0.25">
      <c r="A265" t="str">
        <f t="shared" si="92"/>
        <v>人民币</v>
      </c>
      <c r="B265" t="str">
        <f>"江龙船艇"</f>
        <v>江龙船艇</v>
      </c>
      <c r="C265" t="str">
        <f>"20180904"</f>
        <v>20180904</v>
      </c>
      <c r="D265" t="str">
        <f>"12.100"</f>
        <v>12.100</v>
      </c>
      <c r="E265" t="str">
        <f>"300.00"</f>
        <v>300.00</v>
      </c>
      <c r="F265" t="str">
        <f>"-3635.00"</f>
        <v>-3635.00</v>
      </c>
      <c r="G265" t="str">
        <f>"507.05"</f>
        <v>507.05</v>
      </c>
      <c r="H265" t="str">
        <f>"3900.00"</f>
        <v>3900.00</v>
      </c>
      <c r="I265" t="str">
        <f>"23"</f>
        <v>23</v>
      </c>
      <c r="J265" t="str">
        <f>"证券买入(江龙船艇)"</f>
        <v>证券买入(江龙船艇)</v>
      </c>
      <c r="K265" t="str">
        <f>"5.00"</f>
        <v>5.00</v>
      </c>
      <c r="L265" t="str">
        <f t="shared" ref="L265:M267" si="95">"0.00"</f>
        <v>0.00</v>
      </c>
      <c r="M265" t="str">
        <f t="shared" si="95"/>
        <v>0.00</v>
      </c>
      <c r="N265" t="str">
        <f t="shared" si="94"/>
        <v>0.00</v>
      </c>
      <c r="O265" t="str">
        <f>"300589"</f>
        <v>300589</v>
      </c>
      <c r="P265" t="str">
        <f>"0153613480"</f>
        <v>0153613480</v>
      </c>
    </row>
    <row r="266" spans="1:16" x14ac:dyDescent="0.25">
      <c r="A266" t="str">
        <f t="shared" si="92"/>
        <v>人民币</v>
      </c>
      <c r="B266" t="str">
        <f>"鹏鼎控股"</f>
        <v>鹏鼎控股</v>
      </c>
      <c r="C266" t="str">
        <f>"20180905"</f>
        <v>20180905</v>
      </c>
      <c r="D266" t="str">
        <f>"0.000"</f>
        <v>0.000</v>
      </c>
      <c r="E266" t="str">
        <f>"8.00"</f>
        <v>8.00</v>
      </c>
      <c r="F266" t="str">
        <f>"0.00"</f>
        <v>0.00</v>
      </c>
      <c r="G266" t="str">
        <f>"507.05"</f>
        <v>507.05</v>
      </c>
      <c r="H266" t="str">
        <f>"0.00"</f>
        <v>0.00</v>
      </c>
      <c r="I266" t="str">
        <f>"27"</f>
        <v>27</v>
      </c>
      <c r="J266" t="str">
        <f>"申购配号(鹏鼎控股)"</f>
        <v>申购配号(鹏鼎控股)</v>
      </c>
      <c r="K266" t="str">
        <f>"0.00"</f>
        <v>0.00</v>
      </c>
      <c r="L266" t="str">
        <f t="shared" si="95"/>
        <v>0.00</v>
      </c>
      <c r="M266" t="str">
        <f t="shared" si="95"/>
        <v>0.00</v>
      </c>
      <c r="N266" t="str">
        <f t="shared" si="94"/>
        <v>0.00</v>
      </c>
      <c r="O266" t="str">
        <f>"002938"</f>
        <v>002938</v>
      </c>
      <c r="P266" t="str">
        <f>"0153613480"</f>
        <v>0153613480</v>
      </c>
    </row>
    <row r="267" spans="1:16" x14ac:dyDescent="0.25">
      <c r="A267" t="str">
        <f t="shared" si="92"/>
        <v>人民币</v>
      </c>
      <c r="B267" t="str">
        <f>"郑州银行"</f>
        <v>郑州银行</v>
      </c>
      <c r="C267" t="str">
        <f>"20180907"</f>
        <v>20180907</v>
      </c>
      <c r="D267" t="str">
        <f>"0.000"</f>
        <v>0.000</v>
      </c>
      <c r="E267" t="str">
        <f>"8.00"</f>
        <v>8.00</v>
      </c>
      <c r="F267" t="str">
        <f>"0.00"</f>
        <v>0.00</v>
      </c>
      <c r="G267" t="str">
        <f>"507.05"</f>
        <v>507.05</v>
      </c>
      <c r="H267" t="str">
        <f>"0.00"</f>
        <v>0.00</v>
      </c>
      <c r="I267" t="str">
        <f>"30"</f>
        <v>30</v>
      </c>
      <c r="J267" t="str">
        <f>"申购配号(郑州银行)"</f>
        <v>申购配号(郑州银行)</v>
      </c>
      <c r="K267" t="str">
        <f>"0.00"</f>
        <v>0.00</v>
      </c>
      <c r="L267" t="str">
        <f t="shared" si="95"/>
        <v>0.00</v>
      </c>
      <c r="M267" t="str">
        <f t="shared" si="95"/>
        <v>0.00</v>
      </c>
      <c r="N267" t="str">
        <f t="shared" si="94"/>
        <v>0.00</v>
      </c>
      <c r="O267" t="str">
        <f>"002936"</f>
        <v>002936</v>
      </c>
      <c r="P267" t="str">
        <f>"0153613480"</f>
        <v>0153613480</v>
      </c>
    </row>
    <row r="268" spans="1:16" x14ac:dyDescent="0.25">
      <c r="A268" t="str">
        <f t="shared" si="92"/>
        <v>人民币</v>
      </c>
      <c r="B268" t="str">
        <f>"七一二"</f>
        <v>七一二</v>
      </c>
      <c r="C268" t="str">
        <f>"20180913"</f>
        <v>20180913</v>
      </c>
      <c r="D268" t="str">
        <f>"23.930"</f>
        <v>23.930</v>
      </c>
      <c r="E268" t="str">
        <f>"-500.00"</f>
        <v>-500.00</v>
      </c>
      <c r="F268" t="str">
        <f>"11947.79"</f>
        <v>11947.79</v>
      </c>
      <c r="G268" t="str">
        <f>"12454.84"</f>
        <v>12454.84</v>
      </c>
      <c r="H268" t="str">
        <f>"1000.00"</f>
        <v>1000.00</v>
      </c>
      <c r="I268" t="str">
        <f>"38"</f>
        <v>38</v>
      </c>
      <c r="J268" t="str">
        <f>"证券卖出(七一二)"</f>
        <v>证券卖出(七一二)</v>
      </c>
      <c r="K268" t="str">
        <f>"5.00"</f>
        <v>5.00</v>
      </c>
      <c r="L268" t="str">
        <f>"11.97"</f>
        <v>11.97</v>
      </c>
      <c r="M268" t="str">
        <f>"0.24"</f>
        <v>0.24</v>
      </c>
      <c r="N268" t="str">
        <f t="shared" si="94"/>
        <v>0.00</v>
      </c>
      <c r="O268" t="str">
        <f>"603712"</f>
        <v>603712</v>
      </c>
      <c r="P268" t="str">
        <f>"A400948245"</f>
        <v>A400948245</v>
      </c>
    </row>
    <row r="269" spans="1:16" x14ac:dyDescent="0.25">
      <c r="A269" t="str">
        <f t="shared" si="92"/>
        <v>人民币</v>
      </c>
      <c r="B269" t="str">
        <f>"中通国脉"</f>
        <v>中通国脉</v>
      </c>
      <c r="C269" t="str">
        <f>"20180913"</f>
        <v>20180913</v>
      </c>
      <c r="D269" t="str">
        <f>"26.130"</f>
        <v>26.130</v>
      </c>
      <c r="E269" t="str">
        <f>"-100.00"</f>
        <v>-100.00</v>
      </c>
      <c r="F269" t="str">
        <f>"2605.34"</f>
        <v>2605.34</v>
      </c>
      <c r="G269" t="str">
        <f>"15060.18"</f>
        <v>15060.18</v>
      </c>
      <c r="H269" t="str">
        <f>"600.00"</f>
        <v>600.00</v>
      </c>
      <c r="I269" t="str">
        <f>"41"</f>
        <v>41</v>
      </c>
      <c r="J269" t="str">
        <f>"证券卖出(中通国脉)"</f>
        <v>证券卖出(中通国脉)</v>
      </c>
      <c r="K269" t="str">
        <f>"5.00"</f>
        <v>5.00</v>
      </c>
      <c r="L269" t="str">
        <f>"2.61"</f>
        <v>2.61</v>
      </c>
      <c r="M269" t="str">
        <f>"0.05"</f>
        <v>0.05</v>
      </c>
      <c r="N269" t="str">
        <f t="shared" si="94"/>
        <v>0.00</v>
      </c>
      <c r="O269" t="str">
        <f>"603559"</f>
        <v>603559</v>
      </c>
      <c r="P269" t="str">
        <f>"A400948245"</f>
        <v>A400948245</v>
      </c>
    </row>
    <row r="270" spans="1:16" x14ac:dyDescent="0.25">
      <c r="A270" t="str">
        <f t="shared" si="92"/>
        <v>人民币</v>
      </c>
      <c r="B270" t="str">
        <f>"顶固集创"</f>
        <v>顶固集创</v>
      </c>
      <c r="C270" t="str">
        <f>"20180913"</f>
        <v>20180913</v>
      </c>
      <c r="D270" t="str">
        <f>"0.000"</f>
        <v>0.000</v>
      </c>
      <c r="E270" t="str">
        <f>"8.00"</f>
        <v>8.00</v>
      </c>
      <c r="F270" t="str">
        <f>"0.00"</f>
        <v>0.00</v>
      </c>
      <c r="G270" t="str">
        <f>"15060.18"</f>
        <v>15060.18</v>
      </c>
      <c r="H270" t="str">
        <f>"0.00"</f>
        <v>0.00</v>
      </c>
      <c r="I270" t="str">
        <f>"33"</f>
        <v>33</v>
      </c>
      <c r="J270" t="str">
        <f>"申购配号(顶固集创)"</f>
        <v>申购配号(顶固集创)</v>
      </c>
      <c r="K270" t="str">
        <f>"0.00"</f>
        <v>0.00</v>
      </c>
      <c r="L270" t="str">
        <f>"0.00"</f>
        <v>0.00</v>
      </c>
      <c r="M270" t="str">
        <f>"0.00"</f>
        <v>0.00</v>
      </c>
      <c r="N270" t="str">
        <f t="shared" si="94"/>
        <v>0.00</v>
      </c>
      <c r="O270" t="str">
        <f>"300749"</f>
        <v>300749</v>
      </c>
      <c r="P270" t="str">
        <f>"0153613480"</f>
        <v>0153613480</v>
      </c>
    </row>
    <row r="271" spans="1:16" x14ac:dyDescent="0.25">
      <c r="A271" t="str">
        <f t="shared" si="92"/>
        <v>人民币</v>
      </c>
      <c r="B271" t="str">
        <f>"中通国脉"</f>
        <v>中通国脉</v>
      </c>
      <c r="C271" t="str">
        <f>"20180914"</f>
        <v>20180914</v>
      </c>
      <c r="D271" t="str">
        <f>"0.000"</f>
        <v>0.000</v>
      </c>
      <c r="E271" t="str">
        <f>"0.00"</f>
        <v>0.00</v>
      </c>
      <c r="F271" t="str">
        <f>"-0.45"</f>
        <v>-0.45</v>
      </c>
      <c r="G271" t="str">
        <f>"15059.73"</f>
        <v>15059.73</v>
      </c>
      <c r="H271" t="str">
        <f>"600.00"</f>
        <v>600.00</v>
      </c>
      <c r="I271" t="str">
        <f>"---"</f>
        <v>---</v>
      </c>
      <c r="J271" t="str">
        <f>"红利差异税扣税(中通国脉)"</f>
        <v>红利差异税扣税(中通国脉)</v>
      </c>
      <c r="K271" t="str">
        <f t="shared" ref="K271:N272" si="96">"---"</f>
        <v>---</v>
      </c>
      <c r="L271" t="str">
        <f t="shared" si="96"/>
        <v>---</v>
      </c>
      <c r="M271" t="str">
        <f t="shared" si="96"/>
        <v>---</v>
      </c>
      <c r="N271" t="str">
        <f t="shared" si="96"/>
        <v>---</v>
      </c>
      <c r="O271" t="str">
        <f>"603559"</f>
        <v>603559</v>
      </c>
      <c r="P271" t="str">
        <f>"A400948245"</f>
        <v>A400948245</v>
      </c>
    </row>
    <row r="272" spans="1:16" x14ac:dyDescent="0.25">
      <c r="A272" t="str">
        <f t="shared" si="92"/>
        <v>人民币</v>
      </c>
      <c r="B272" t="str">
        <f>" "</f>
        <v xml:space="preserve"> </v>
      </c>
      <c r="C272" t="str">
        <f>"20180914"</f>
        <v>20180914</v>
      </c>
      <c r="D272" t="str">
        <f>"---"</f>
        <v>---</v>
      </c>
      <c r="E272" t="str">
        <f>"---"</f>
        <v>---</v>
      </c>
      <c r="F272" t="str">
        <f>"-10000.00"</f>
        <v>-10000.00</v>
      </c>
      <c r="G272" t="str">
        <f>"5059.73"</f>
        <v>5059.73</v>
      </c>
      <c r="H272" t="str">
        <f>"---"</f>
        <v>---</v>
      </c>
      <c r="I272" t="str">
        <f>"---"</f>
        <v>---</v>
      </c>
      <c r="J272" t="str">
        <f>"银行转取"</f>
        <v>银行转取</v>
      </c>
      <c r="K272" t="str">
        <f t="shared" si="96"/>
        <v>---</v>
      </c>
      <c r="L272" t="str">
        <f t="shared" si="96"/>
        <v>---</v>
      </c>
      <c r="M272" t="str">
        <f t="shared" si="96"/>
        <v>---</v>
      </c>
      <c r="N272" t="str">
        <f t="shared" si="96"/>
        <v>---</v>
      </c>
      <c r="O272" t="str">
        <f>"---"</f>
        <v>---</v>
      </c>
      <c r="P272" t="str">
        <f>"---"</f>
        <v>---</v>
      </c>
    </row>
    <row r="273" spans="1:16" x14ac:dyDescent="0.25">
      <c r="A273" t="str">
        <f t="shared" si="92"/>
        <v>人民币</v>
      </c>
      <c r="B273" t="str">
        <f>"七一二"</f>
        <v>七一二</v>
      </c>
      <c r="C273" t="str">
        <f>"20180914"</f>
        <v>20180914</v>
      </c>
      <c r="D273" t="str">
        <f>"23.560"</f>
        <v>23.560</v>
      </c>
      <c r="E273" t="str">
        <f>"200.00"</f>
        <v>200.00</v>
      </c>
      <c r="F273" t="str">
        <f>"-4717.09"</f>
        <v>-4717.09</v>
      </c>
      <c r="G273" t="str">
        <f>"342.64"</f>
        <v>342.64</v>
      </c>
      <c r="H273" t="str">
        <f>"1200.00"</f>
        <v>1200.00</v>
      </c>
      <c r="I273" t="str">
        <f>"48"</f>
        <v>48</v>
      </c>
      <c r="J273" t="str">
        <f>"证券买入(七一二)"</f>
        <v>证券买入(七一二)</v>
      </c>
      <c r="K273" t="str">
        <f>"5.00"</f>
        <v>5.00</v>
      </c>
      <c r="L273" t="str">
        <f>"0.00"</f>
        <v>0.00</v>
      </c>
      <c r="M273" t="str">
        <f>"0.09"</f>
        <v>0.09</v>
      </c>
      <c r="N273" t="str">
        <f>"0.00"</f>
        <v>0.00</v>
      </c>
      <c r="O273" t="str">
        <f>"603712"</f>
        <v>603712</v>
      </c>
      <c r="P273" t="str">
        <f>"A400948245"</f>
        <v>A400948245</v>
      </c>
    </row>
    <row r="274" spans="1:16" x14ac:dyDescent="0.25">
      <c r="A274" t="str">
        <f t="shared" si="92"/>
        <v>人民币</v>
      </c>
      <c r="B274" t="str">
        <f>" "</f>
        <v xml:space="preserve"> </v>
      </c>
      <c r="C274" t="str">
        <f>"20180920"</f>
        <v>20180920</v>
      </c>
      <c r="D274" t="str">
        <f>"---"</f>
        <v>---</v>
      </c>
      <c r="E274" t="str">
        <f>"---"</f>
        <v>---</v>
      </c>
      <c r="F274" t="str">
        <f>"5.72"</f>
        <v>5.72</v>
      </c>
      <c r="G274" t="str">
        <f>"348.36"</f>
        <v>348.36</v>
      </c>
      <c r="H274" t="str">
        <f>"---"</f>
        <v>---</v>
      </c>
      <c r="I274" t="str">
        <f>"---"</f>
        <v>---</v>
      </c>
      <c r="J274" t="str">
        <f>"批量利息归本"</f>
        <v>批量利息归本</v>
      </c>
      <c r="K274" t="str">
        <f t="shared" ref="K274:P275" si="97">"---"</f>
        <v>---</v>
      </c>
      <c r="L274" t="str">
        <f t="shared" si="97"/>
        <v>---</v>
      </c>
      <c r="M274" t="str">
        <f t="shared" si="97"/>
        <v>---</v>
      </c>
      <c r="N274" t="str">
        <f t="shared" si="97"/>
        <v>---</v>
      </c>
      <c r="O274" t="str">
        <f t="shared" si="97"/>
        <v>---</v>
      </c>
      <c r="P274" t="str">
        <f t="shared" si="97"/>
        <v>---</v>
      </c>
    </row>
    <row r="275" spans="1:16" x14ac:dyDescent="0.25">
      <c r="A275" t="str">
        <f t="shared" si="92"/>
        <v>人民币</v>
      </c>
      <c r="B275" t="str">
        <f>" "</f>
        <v xml:space="preserve"> </v>
      </c>
      <c r="C275" t="str">
        <f>"20181011"</f>
        <v>20181011</v>
      </c>
      <c r="D275" t="str">
        <f>"---"</f>
        <v>---</v>
      </c>
      <c r="E275" t="str">
        <f>"---"</f>
        <v>---</v>
      </c>
      <c r="F275" t="str">
        <f>"10000.00"</f>
        <v>10000.00</v>
      </c>
      <c r="G275" t="str">
        <f>"10348.36"</f>
        <v>10348.36</v>
      </c>
      <c r="H275" t="str">
        <f>"---"</f>
        <v>---</v>
      </c>
      <c r="I275" t="str">
        <f>"---"</f>
        <v>---</v>
      </c>
      <c r="J275" t="str">
        <f>"银行转存"</f>
        <v>银行转存</v>
      </c>
      <c r="K275" t="str">
        <f t="shared" si="97"/>
        <v>---</v>
      </c>
      <c r="L275" t="str">
        <f t="shared" si="97"/>
        <v>---</v>
      </c>
      <c r="M275" t="str">
        <f t="shared" si="97"/>
        <v>---</v>
      </c>
      <c r="N275" t="str">
        <f t="shared" si="97"/>
        <v>---</v>
      </c>
      <c r="O275" t="str">
        <f t="shared" si="97"/>
        <v>---</v>
      </c>
      <c r="P275" t="str">
        <f t="shared" si="97"/>
        <v>---</v>
      </c>
    </row>
    <row r="276" spans="1:16" x14ac:dyDescent="0.25">
      <c r="A276" t="str">
        <f t="shared" si="92"/>
        <v>人民币</v>
      </c>
      <c r="B276" t="str">
        <f>"七一二"</f>
        <v>七一二</v>
      </c>
      <c r="C276" t="str">
        <f>"20181011"</f>
        <v>20181011</v>
      </c>
      <c r="D276" t="str">
        <f>"20.100"</f>
        <v>20.100</v>
      </c>
      <c r="E276" t="str">
        <f>"300.00"</f>
        <v>300.00</v>
      </c>
      <c r="F276" t="str">
        <f>"-6035.12"</f>
        <v>-6035.12</v>
      </c>
      <c r="G276" t="str">
        <f>"4313.24"</f>
        <v>4313.24</v>
      </c>
      <c r="H276" t="str">
        <f>"1500.00"</f>
        <v>1500.00</v>
      </c>
      <c r="I276" t="str">
        <f>"57"</f>
        <v>57</v>
      </c>
      <c r="J276" t="str">
        <f>"证券买入(七一二)"</f>
        <v>证券买入(七一二)</v>
      </c>
      <c r="K276" t="str">
        <f>"5.00"</f>
        <v>5.00</v>
      </c>
      <c r="L276" t="str">
        <f>"0.00"</f>
        <v>0.00</v>
      </c>
      <c r="M276" t="str">
        <f>"0.12"</f>
        <v>0.12</v>
      </c>
      <c r="N276" t="str">
        <f>"0.00"</f>
        <v>0.00</v>
      </c>
      <c r="O276" t="str">
        <f>"603712"</f>
        <v>603712</v>
      </c>
      <c r="P276" t="str">
        <f>"A400948245"</f>
        <v>A400948245</v>
      </c>
    </row>
    <row r="277" spans="1:16" x14ac:dyDescent="0.25">
      <c r="A277" t="str">
        <f t="shared" si="92"/>
        <v>人民币</v>
      </c>
      <c r="B277" t="str">
        <f>"中通国脉"</f>
        <v>中通国脉</v>
      </c>
      <c r="C277" t="str">
        <f>"20181011"</f>
        <v>20181011</v>
      </c>
      <c r="D277" t="str">
        <f>"21.750"</f>
        <v>21.750</v>
      </c>
      <c r="E277" t="str">
        <f>"100.00"</f>
        <v>100.00</v>
      </c>
      <c r="F277" t="str">
        <f>"-2180.04"</f>
        <v>-2180.04</v>
      </c>
      <c r="G277" t="str">
        <f>"2133.20"</f>
        <v>2133.20</v>
      </c>
      <c r="H277" t="str">
        <f>"700.00"</f>
        <v>700.00</v>
      </c>
      <c r="I277" t="str">
        <f>"61"</f>
        <v>61</v>
      </c>
      <c r="J277" t="str">
        <f>"证券买入(中通国脉)"</f>
        <v>证券买入(中通国脉)</v>
      </c>
      <c r="K277" t="str">
        <f>"5.00"</f>
        <v>5.00</v>
      </c>
      <c r="L277" t="str">
        <f>"0.00"</f>
        <v>0.00</v>
      </c>
      <c r="M277" t="str">
        <f>"0.04"</f>
        <v>0.04</v>
      </c>
      <c r="N277" t="str">
        <f>"0.00"</f>
        <v>0.00</v>
      </c>
      <c r="O277" t="str">
        <f>"603559"</f>
        <v>603559</v>
      </c>
      <c r="P277" t="str">
        <f>"A400948245"</f>
        <v>A400948245</v>
      </c>
    </row>
    <row r="278" spans="1:16" x14ac:dyDescent="0.25">
      <c r="A278" t="str">
        <f t="shared" si="92"/>
        <v>人民币</v>
      </c>
      <c r="B278" t="str">
        <f>"昂利康"</f>
        <v>昂利康</v>
      </c>
      <c r="C278" t="str">
        <f>"20181011"</f>
        <v>20181011</v>
      </c>
      <c r="D278" t="str">
        <f>"0.000"</f>
        <v>0.000</v>
      </c>
      <c r="E278" t="str">
        <f>"9.00"</f>
        <v>9.00</v>
      </c>
      <c r="F278" t="str">
        <f>"0.00"</f>
        <v>0.00</v>
      </c>
      <c r="G278" t="str">
        <f>"2133.20"</f>
        <v>2133.20</v>
      </c>
      <c r="H278" t="str">
        <f>"0.00"</f>
        <v>0.00</v>
      </c>
      <c r="I278" t="str">
        <f>"55"</f>
        <v>55</v>
      </c>
      <c r="J278" t="str">
        <f>"申购配号(昂利康)"</f>
        <v>申购配号(昂利康)</v>
      </c>
      <c r="K278" t="str">
        <f>"0.00"</f>
        <v>0.00</v>
      </c>
      <c r="L278" t="str">
        <f>"0.00"</f>
        <v>0.00</v>
      </c>
      <c r="M278" t="str">
        <f>"0.00"</f>
        <v>0.00</v>
      </c>
      <c r="N278" t="str">
        <f>"0.00"</f>
        <v>0.00</v>
      </c>
      <c r="O278" t="str">
        <f>"002940"</f>
        <v>002940</v>
      </c>
      <c r="P278" t="str">
        <f>"0153613480"</f>
        <v>0153613480</v>
      </c>
    </row>
    <row r="279" spans="1:16" x14ac:dyDescent="0.25">
      <c r="A279" t="str">
        <f t="shared" si="92"/>
        <v>人民币</v>
      </c>
      <c r="B279" t="str">
        <f>"江龙船艇"</f>
        <v>江龙船艇</v>
      </c>
      <c r="C279" t="str">
        <f>"20181012"</f>
        <v>20181012</v>
      </c>
      <c r="D279" t="str">
        <f>"13.320"</f>
        <v>13.320</v>
      </c>
      <c r="E279" t="str">
        <f>"-600.00"</f>
        <v>-600.00</v>
      </c>
      <c r="F279" t="str">
        <f>"7979.01"</f>
        <v>7979.01</v>
      </c>
      <c r="G279" t="str">
        <f>"10112.21"</f>
        <v>10112.21</v>
      </c>
      <c r="H279" t="str">
        <f>"3300.00"</f>
        <v>3300.00</v>
      </c>
      <c r="I279" t="str">
        <f>"1"</f>
        <v>1</v>
      </c>
      <c r="J279" t="str">
        <f>"证券卖出(江龙船艇)"</f>
        <v>证券卖出(江龙船艇)</v>
      </c>
      <c r="K279" t="str">
        <f>"5.00"</f>
        <v>5.00</v>
      </c>
      <c r="L279" t="str">
        <f>"7.99"</f>
        <v>7.99</v>
      </c>
      <c r="M279" t="str">
        <f>"0.00"</f>
        <v>0.00</v>
      </c>
      <c r="N279" t="str">
        <f>"0.00"</f>
        <v>0.00</v>
      </c>
      <c r="O279" t="str">
        <f>"300589"</f>
        <v>300589</v>
      </c>
      <c r="P279" t="str">
        <f>"0153613480"</f>
        <v>0153613480</v>
      </c>
    </row>
    <row r="280" spans="1:16" x14ac:dyDescent="0.25">
      <c r="A280" t="str">
        <f t="shared" si="92"/>
        <v>人民币</v>
      </c>
      <c r="B280" t="str">
        <f>"江龙船艇"</f>
        <v>江龙船艇</v>
      </c>
      <c r="C280" t="str">
        <f>"20181012"</f>
        <v>20181012</v>
      </c>
      <c r="D280" t="str">
        <f>"13.320"</f>
        <v>13.320</v>
      </c>
      <c r="E280" t="str">
        <f>"-500.00"</f>
        <v>-500.00</v>
      </c>
      <c r="F280" t="str">
        <f>"6648.34"</f>
        <v>6648.34</v>
      </c>
      <c r="G280" t="str">
        <f>"16760.55"</f>
        <v>16760.55</v>
      </c>
      <c r="H280" t="str">
        <f>"2800.00"</f>
        <v>2800.00</v>
      </c>
      <c r="I280" t="str">
        <f>"4"</f>
        <v>4</v>
      </c>
      <c r="J280" t="str">
        <f>"证券卖出(江龙船艇)"</f>
        <v>证券卖出(江龙船艇)</v>
      </c>
      <c r="K280" t="str">
        <f>"5.00"</f>
        <v>5.00</v>
      </c>
      <c r="L280" t="str">
        <f>"6.66"</f>
        <v>6.66</v>
      </c>
      <c r="M280" t="str">
        <f>"0.00"</f>
        <v>0.00</v>
      </c>
      <c r="N280" t="str">
        <f>"0.00"</f>
        <v>0.00</v>
      </c>
      <c r="O280" t="str">
        <f>"300589"</f>
        <v>300589</v>
      </c>
      <c r="P280" t="str">
        <f>"0153613480"</f>
        <v>0153613480</v>
      </c>
    </row>
    <row r="281" spans="1:16" x14ac:dyDescent="0.25">
      <c r="A281" t="str">
        <f t="shared" si="92"/>
        <v>人民币</v>
      </c>
      <c r="B281" t="str">
        <f>" "</f>
        <v xml:space="preserve"> </v>
      </c>
      <c r="C281" t="str">
        <f>"20181015"</f>
        <v>20181015</v>
      </c>
      <c r="D281" t="str">
        <f>"---"</f>
        <v>---</v>
      </c>
      <c r="E281" t="str">
        <f>"---"</f>
        <v>---</v>
      </c>
      <c r="F281" t="str">
        <f>"-10000.00"</f>
        <v>-10000.00</v>
      </c>
      <c r="G281" t="str">
        <f>"6760.55"</f>
        <v>6760.55</v>
      </c>
      <c r="H281" t="str">
        <f>"---"</f>
        <v>---</v>
      </c>
      <c r="I281" t="str">
        <f>"---"</f>
        <v>---</v>
      </c>
      <c r="J281" t="str">
        <f>"银行转取"</f>
        <v>银行转取</v>
      </c>
      <c r="K281" t="str">
        <f t="shared" ref="K281:P281" si="98">"---"</f>
        <v>---</v>
      </c>
      <c r="L281" t="str">
        <f t="shared" si="98"/>
        <v>---</v>
      </c>
      <c r="M281" t="str">
        <f t="shared" si="98"/>
        <v>---</v>
      </c>
      <c r="N281" t="str">
        <f t="shared" si="98"/>
        <v>---</v>
      </c>
      <c r="O281" t="str">
        <f t="shared" si="98"/>
        <v>---</v>
      </c>
      <c r="P281" t="str">
        <f t="shared" si="98"/>
        <v>---</v>
      </c>
    </row>
    <row r="282" spans="1:16" x14ac:dyDescent="0.25">
      <c r="A282" t="str">
        <f t="shared" si="92"/>
        <v>人民币</v>
      </c>
      <c r="B282" t="str">
        <f>"中通国脉"</f>
        <v>中通国脉</v>
      </c>
      <c r="C282" t="str">
        <f>"20181015"</f>
        <v>20181015</v>
      </c>
      <c r="D282" t="str">
        <f>"22.060"</f>
        <v>22.060</v>
      </c>
      <c r="E282" t="str">
        <f>"-100.00"</f>
        <v>-100.00</v>
      </c>
      <c r="F282" t="str">
        <f>"2198.75"</f>
        <v>2198.75</v>
      </c>
      <c r="G282" t="str">
        <f>"8959.30"</f>
        <v>8959.30</v>
      </c>
      <c r="H282" t="str">
        <f>"600.00"</f>
        <v>600.00</v>
      </c>
      <c r="I282" t="str">
        <f>"16"</f>
        <v>16</v>
      </c>
      <c r="J282" t="str">
        <f>"证券卖出(中通国脉)"</f>
        <v>证券卖出(中通国脉)</v>
      </c>
      <c r="K282" t="str">
        <f>"5.00"</f>
        <v>5.00</v>
      </c>
      <c r="L282" t="str">
        <f>"2.21"</f>
        <v>2.21</v>
      </c>
      <c r="M282" t="str">
        <f>"0.04"</f>
        <v>0.04</v>
      </c>
      <c r="N282" t="str">
        <f>"0.00"</f>
        <v>0.00</v>
      </c>
      <c r="O282" t="str">
        <f>"603559"</f>
        <v>603559</v>
      </c>
      <c r="P282" t="str">
        <f>"A400948245"</f>
        <v>A400948245</v>
      </c>
    </row>
    <row r="283" spans="1:16" x14ac:dyDescent="0.25">
      <c r="A283" t="str">
        <f t="shared" si="92"/>
        <v>人民币</v>
      </c>
      <c r="B283" t="str">
        <f>"江龙船艇"</f>
        <v>江龙船艇</v>
      </c>
      <c r="C283" t="str">
        <f>"20181015"</f>
        <v>20181015</v>
      </c>
      <c r="D283" t="str">
        <f>"12.790"</f>
        <v>12.790</v>
      </c>
      <c r="E283" t="str">
        <f>"500.00"</f>
        <v>500.00</v>
      </c>
      <c r="F283" t="str">
        <f>"-6400.00"</f>
        <v>-6400.00</v>
      </c>
      <c r="G283" t="str">
        <f>"2559.30"</f>
        <v>2559.30</v>
      </c>
      <c r="H283" t="str">
        <f>"3300.00"</f>
        <v>3300.00</v>
      </c>
      <c r="I283" t="str">
        <f>"9"</f>
        <v>9</v>
      </c>
      <c r="J283" t="str">
        <f>"证券买入(江龙船艇)"</f>
        <v>证券买入(江龙船艇)</v>
      </c>
      <c r="K283" t="str">
        <f>"5.00"</f>
        <v>5.00</v>
      </c>
      <c r="L283" t="str">
        <f>"0.00"</f>
        <v>0.00</v>
      </c>
      <c r="M283" t="str">
        <f>"0.00"</f>
        <v>0.00</v>
      </c>
      <c r="N283" t="str">
        <f>"0.00"</f>
        <v>0.00</v>
      </c>
      <c r="O283" t="str">
        <f>"300589"</f>
        <v>300589</v>
      </c>
      <c r="P283" t="str">
        <f>"0153613480"</f>
        <v>0153613480</v>
      </c>
    </row>
    <row r="284" spans="1:16" x14ac:dyDescent="0.25">
      <c r="A284" t="str">
        <f t="shared" si="92"/>
        <v>人民币</v>
      </c>
      <c r="B284" t="str">
        <f>"江龙船艇"</f>
        <v>江龙船艇</v>
      </c>
      <c r="C284" t="str">
        <f>"20181015"</f>
        <v>20181015</v>
      </c>
      <c r="D284" t="str">
        <f>"12.640"</f>
        <v>12.640</v>
      </c>
      <c r="E284" t="str">
        <f>"200.00"</f>
        <v>200.00</v>
      </c>
      <c r="F284" t="str">
        <f>"-2533.00"</f>
        <v>-2533.00</v>
      </c>
      <c r="G284" t="str">
        <f>"26.30"</f>
        <v>26.30</v>
      </c>
      <c r="H284" t="str">
        <f>"3500.00"</f>
        <v>3500.00</v>
      </c>
      <c r="I284" t="str">
        <f>"20"</f>
        <v>20</v>
      </c>
      <c r="J284" t="str">
        <f>"证券买入(江龙船艇)"</f>
        <v>证券买入(江龙船艇)</v>
      </c>
      <c r="K284" t="str">
        <f>"5.00"</f>
        <v>5.00</v>
      </c>
      <c r="L284" t="str">
        <f>"0.00"</f>
        <v>0.00</v>
      </c>
      <c r="M284" t="str">
        <f>"0.00"</f>
        <v>0.00</v>
      </c>
      <c r="N284" t="str">
        <f>"0.00"</f>
        <v>0.00</v>
      </c>
      <c r="O284" t="str">
        <f>"300589"</f>
        <v>300589</v>
      </c>
      <c r="P284" t="str">
        <f>"0153613480"</f>
        <v>0153613480</v>
      </c>
    </row>
    <row r="285" spans="1:16" x14ac:dyDescent="0.25">
      <c r="A285" t="str">
        <f t="shared" si="92"/>
        <v>人民币</v>
      </c>
      <c r="B285" t="str">
        <f>"江龙船艇"</f>
        <v>江龙船艇</v>
      </c>
      <c r="C285" t="str">
        <f>"20181016"</f>
        <v>20181016</v>
      </c>
      <c r="D285" t="str">
        <f>"13.300"</f>
        <v>13.300</v>
      </c>
      <c r="E285" t="str">
        <f>"-700.00"</f>
        <v>-700.00</v>
      </c>
      <c r="F285" t="str">
        <f>"9295.69"</f>
        <v>9295.69</v>
      </c>
      <c r="G285" t="str">
        <f>"9321.99"</f>
        <v>9321.99</v>
      </c>
      <c r="H285" t="str">
        <f>"2800.00"</f>
        <v>2800.00</v>
      </c>
      <c r="I285" t="str">
        <f>"26"</f>
        <v>26</v>
      </c>
      <c r="J285" t="str">
        <f>"证券卖出(江龙船艇)"</f>
        <v>证券卖出(江龙船艇)</v>
      </c>
      <c r="K285" t="str">
        <f>"5.00"</f>
        <v>5.00</v>
      </c>
      <c r="L285" t="str">
        <f>"9.31"</f>
        <v>9.31</v>
      </c>
      <c r="M285" t="str">
        <f>"0.00"</f>
        <v>0.00</v>
      </c>
      <c r="N285" t="str">
        <f>"0.00"</f>
        <v>0.00</v>
      </c>
      <c r="O285" t="str">
        <f>"300589"</f>
        <v>300589</v>
      </c>
      <c r="P285" t="str">
        <f>"0153613480"</f>
        <v>0153613480</v>
      </c>
    </row>
    <row r="286" spans="1:16" x14ac:dyDescent="0.25">
      <c r="A286" t="str">
        <f t="shared" si="92"/>
        <v>人民币</v>
      </c>
      <c r="B286" t="str">
        <f>"江龙船艇"</f>
        <v>江龙船艇</v>
      </c>
      <c r="C286" t="str">
        <f>"20181016"</f>
        <v>20181016</v>
      </c>
      <c r="D286" t="str">
        <f>"12.940"</f>
        <v>12.940</v>
      </c>
      <c r="E286" t="str">
        <f>"700.00"</f>
        <v>700.00</v>
      </c>
      <c r="F286" t="str">
        <f>"-9063.00"</f>
        <v>-9063.00</v>
      </c>
      <c r="G286" t="str">
        <f>"258.99"</f>
        <v>258.99</v>
      </c>
      <c r="H286" t="str">
        <f>"3500.00"</f>
        <v>3500.00</v>
      </c>
      <c r="I286" t="str">
        <f>"41"</f>
        <v>41</v>
      </c>
      <c r="J286" t="str">
        <f>"证券买入(江龙船艇)"</f>
        <v>证券买入(江龙船艇)</v>
      </c>
      <c r="K286" t="str">
        <f>"5.00"</f>
        <v>5.00</v>
      </c>
      <c r="L286" t="str">
        <f>"0.00"</f>
        <v>0.00</v>
      </c>
      <c r="M286" t="str">
        <f>"0.00"</f>
        <v>0.00</v>
      </c>
      <c r="N286" t="str">
        <f>"0.00"</f>
        <v>0.00</v>
      </c>
      <c r="O286" t="str">
        <f>"300589"</f>
        <v>300589</v>
      </c>
      <c r="P286" t="str">
        <f>"0153613480"</f>
        <v>0153613480</v>
      </c>
    </row>
    <row r="287" spans="1:16" x14ac:dyDescent="0.25">
      <c r="A287" t="str">
        <f t="shared" si="92"/>
        <v>人民币</v>
      </c>
      <c r="B287" t="str">
        <f>" "</f>
        <v xml:space="preserve"> </v>
      </c>
      <c r="C287" t="str">
        <f t="shared" ref="C287:C293" si="99">"20181017"</f>
        <v>20181017</v>
      </c>
      <c r="D287" t="str">
        <f>"---"</f>
        <v>---</v>
      </c>
      <c r="E287" t="str">
        <f>"---"</f>
        <v>---</v>
      </c>
      <c r="F287" t="str">
        <f>"10000.00"</f>
        <v>10000.00</v>
      </c>
      <c r="G287" t="str">
        <f>"10258.99"</f>
        <v>10258.99</v>
      </c>
      <c r="H287" t="str">
        <f>"---"</f>
        <v>---</v>
      </c>
      <c r="I287" t="str">
        <f>"---"</f>
        <v>---</v>
      </c>
      <c r="J287" t="str">
        <f>"银行转存"</f>
        <v>银行转存</v>
      </c>
      <c r="K287" t="str">
        <f t="shared" ref="K287:P287" si="100">"---"</f>
        <v>---</v>
      </c>
      <c r="L287" t="str">
        <f t="shared" si="100"/>
        <v>---</v>
      </c>
      <c r="M287" t="str">
        <f t="shared" si="100"/>
        <v>---</v>
      </c>
      <c r="N287" t="str">
        <f t="shared" si="100"/>
        <v>---</v>
      </c>
      <c r="O287" t="str">
        <f t="shared" si="100"/>
        <v>---</v>
      </c>
      <c r="P287" t="str">
        <f t="shared" si="100"/>
        <v>---</v>
      </c>
    </row>
    <row r="288" spans="1:16" x14ac:dyDescent="0.25">
      <c r="A288" t="str">
        <f t="shared" si="92"/>
        <v>人民币</v>
      </c>
      <c r="B288" t="str">
        <f>"中通国脉"</f>
        <v>中通国脉</v>
      </c>
      <c r="C288" t="str">
        <f t="shared" si="99"/>
        <v>20181017</v>
      </c>
      <c r="D288" t="str">
        <f>"21.000"</f>
        <v>21.000</v>
      </c>
      <c r="E288" t="str">
        <f>"300.00"</f>
        <v>300.00</v>
      </c>
      <c r="F288" t="str">
        <f>"-6305.13"</f>
        <v>-6305.13</v>
      </c>
      <c r="G288" t="str">
        <f>"3953.86"</f>
        <v>3953.86</v>
      </c>
      <c r="H288" t="str">
        <f>"900.00"</f>
        <v>900.00</v>
      </c>
      <c r="I288" t="str">
        <f>"59"</f>
        <v>59</v>
      </c>
      <c r="J288" t="str">
        <f>"证券买入(中通国脉)"</f>
        <v>证券买入(中通国脉)</v>
      </c>
      <c r="K288" t="str">
        <f>"5.00"</f>
        <v>5.00</v>
      </c>
      <c r="L288" t="str">
        <f>"0.00"</f>
        <v>0.00</v>
      </c>
      <c r="M288" t="str">
        <f>"0.13"</f>
        <v>0.13</v>
      </c>
      <c r="N288" t="str">
        <f t="shared" ref="N288:N296" si="101">"0.00"</f>
        <v>0.00</v>
      </c>
      <c r="O288" t="str">
        <f>"603559"</f>
        <v>603559</v>
      </c>
      <c r="P288" t="str">
        <f>"A400948245"</f>
        <v>A400948245</v>
      </c>
    </row>
    <row r="289" spans="1:16" x14ac:dyDescent="0.25">
      <c r="A289" t="str">
        <f t="shared" si="92"/>
        <v>人民币</v>
      </c>
      <c r="B289" t="str">
        <f>"中通国脉"</f>
        <v>中通国脉</v>
      </c>
      <c r="C289" t="str">
        <f t="shared" si="99"/>
        <v>20181017</v>
      </c>
      <c r="D289" t="str">
        <f>"20.800"</f>
        <v>20.800</v>
      </c>
      <c r="E289" t="str">
        <f>"200.00"</f>
        <v>200.00</v>
      </c>
      <c r="F289" t="str">
        <f>"-4165.08"</f>
        <v>-4165.08</v>
      </c>
      <c r="G289" t="str">
        <f>"-211.22"</f>
        <v>-211.22</v>
      </c>
      <c r="H289" t="str">
        <f>"1100.00"</f>
        <v>1100.00</v>
      </c>
      <c r="I289" t="str">
        <f>"62"</f>
        <v>62</v>
      </c>
      <c r="J289" t="str">
        <f>"证券买入(中通国脉)"</f>
        <v>证券买入(中通国脉)</v>
      </c>
      <c r="K289" t="str">
        <f>"5.00"</f>
        <v>5.00</v>
      </c>
      <c r="L289" t="str">
        <f>"0.00"</f>
        <v>0.00</v>
      </c>
      <c r="M289" t="str">
        <f>"0.08"</f>
        <v>0.08</v>
      </c>
      <c r="N289" t="str">
        <f t="shared" si="101"/>
        <v>0.00</v>
      </c>
      <c r="O289" t="str">
        <f>"603559"</f>
        <v>603559</v>
      </c>
      <c r="P289" t="str">
        <f>"A400948245"</f>
        <v>A400948245</v>
      </c>
    </row>
    <row r="290" spans="1:16" x14ac:dyDescent="0.25">
      <c r="A290" t="str">
        <f t="shared" si="92"/>
        <v>人民币</v>
      </c>
      <c r="B290" t="str">
        <f>"中通国脉"</f>
        <v>中通国脉</v>
      </c>
      <c r="C290" t="str">
        <f t="shared" si="99"/>
        <v>20181017</v>
      </c>
      <c r="D290" t="str">
        <f>"21.700"</f>
        <v>21.700</v>
      </c>
      <c r="E290" t="str">
        <f>"-500.00"</f>
        <v>-500.00</v>
      </c>
      <c r="F290" t="str">
        <f>"10833.93"</f>
        <v>10833.93</v>
      </c>
      <c r="G290" t="str">
        <f>"10622.71"</f>
        <v>10622.71</v>
      </c>
      <c r="H290" t="str">
        <f>"600.00"</f>
        <v>600.00</v>
      </c>
      <c r="I290" t="str">
        <f>"65"</f>
        <v>65</v>
      </c>
      <c r="J290" t="str">
        <f>"证券卖出(中通国脉)"</f>
        <v>证券卖出(中通国脉)</v>
      </c>
      <c r="K290" t="str">
        <f>"5.00"</f>
        <v>5.00</v>
      </c>
      <c r="L290" t="str">
        <f>"10.85"</f>
        <v>10.85</v>
      </c>
      <c r="M290" t="str">
        <f>"0.22"</f>
        <v>0.22</v>
      </c>
      <c r="N290" t="str">
        <f t="shared" si="101"/>
        <v>0.00</v>
      </c>
      <c r="O290" t="str">
        <f>"603559"</f>
        <v>603559</v>
      </c>
      <c r="P290" t="str">
        <f>"A400948245"</f>
        <v>A400948245</v>
      </c>
    </row>
    <row r="291" spans="1:16" x14ac:dyDescent="0.25">
      <c r="A291" t="str">
        <f t="shared" si="92"/>
        <v>人民币</v>
      </c>
      <c r="B291" t="str">
        <f>"江龙船艇"</f>
        <v>江龙船艇</v>
      </c>
      <c r="C291" t="str">
        <f t="shared" si="99"/>
        <v>20181017</v>
      </c>
      <c r="D291" t="str">
        <f>"12.220"</f>
        <v>12.220</v>
      </c>
      <c r="E291" t="str">
        <f>"500.00"</f>
        <v>500.00</v>
      </c>
      <c r="F291" t="str">
        <f>"-6115.00"</f>
        <v>-6115.00</v>
      </c>
      <c r="G291" t="str">
        <f>"4507.71"</f>
        <v>4507.71</v>
      </c>
      <c r="H291" t="str">
        <f>"4000.00"</f>
        <v>4000.00</v>
      </c>
      <c r="I291" t="str">
        <f>"49"</f>
        <v>49</v>
      </c>
      <c r="J291" t="str">
        <f>"证券买入(江龙船艇)"</f>
        <v>证券买入(江龙船艇)</v>
      </c>
      <c r="K291" t="str">
        <f>"5.00"</f>
        <v>5.00</v>
      </c>
      <c r="L291" t="str">
        <f>"0.00"</f>
        <v>0.00</v>
      </c>
      <c r="M291" t="str">
        <f>"0.00"</f>
        <v>0.00</v>
      </c>
      <c r="N291" t="str">
        <f t="shared" si="101"/>
        <v>0.00</v>
      </c>
      <c r="O291" t="str">
        <f>"300589"</f>
        <v>300589</v>
      </c>
      <c r="P291" t="str">
        <f>"0153613480"</f>
        <v>0153613480</v>
      </c>
    </row>
    <row r="292" spans="1:16" x14ac:dyDescent="0.25">
      <c r="A292" t="str">
        <f t="shared" si="92"/>
        <v>人民币</v>
      </c>
      <c r="B292" t="str">
        <f>"江龙船艇"</f>
        <v>江龙船艇</v>
      </c>
      <c r="C292" t="str">
        <f t="shared" si="99"/>
        <v>20181017</v>
      </c>
      <c r="D292" t="str">
        <f>"13.100"</f>
        <v>13.100</v>
      </c>
      <c r="E292" t="str">
        <f>"-500.00"</f>
        <v>-500.00</v>
      </c>
      <c r="F292" t="str">
        <f>"6538.45"</f>
        <v>6538.45</v>
      </c>
      <c r="G292" t="str">
        <f>"11046.16"</f>
        <v>11046.16</v>
      </c>
      <c r="H292" t="str">
        <f>"3500.00"</f>
        <v>3500.00</v>
      </c>
      <c r="I292" t="str">
        <f>"55"</f>
        <v>55</v>
      </c>
      <c r="J292" t="str">
        <f>"证券卖出(江龙船艇)"</f>
        <v>证券卖出(江龙船艇)</v>
      </c>
      <c r="K292" t="str">
        <f>"5.00"</f>
        <v>5.00</v>
      </c>
      <c r="L292" t="str">
        <f>"6.55"</f>
        <v>6.55</v>
      </c>
      <c r="M292" t="str">
        <f t="shared" ref="M292:M296" si="102">"0.00"</f>
        <v>0.00</v>
      </c>
      <c r="N292" t="str">
        <f t="shared" si="101"/>
        <v>0.00</v>
      </c>
      <c r="O292" t="str">
        <f>"300589"</f>
        <v>300589</v>
      </c>
      <c r="P292" t="str">
        <f>"0153613480"</f>
        <v>0153613480</v>
      </c>
    </row>
    <row r="293" spans="1:16" x14ac:dyDescent="0.25">
      <c r="A293" t="str">
        <f t="shared" si="92"/>
        <v>人民币</v>
      </c>
      <c r="B293" t="str">
        <f>"长城证券"</f>
        <v>长城证券</v>
      </c>
      <c r="C293" t="str">
        <f t="shared" si="99"/>
        <v>20181017</v>
      </c>
      <c r="D293" t="str">
        <f>"0.000"</f>
        <v>0.000</v>
      </c>
      <c r="E293" t="str">
        <f>"9.00"</f>
        <v>9.00</v>
      </c>
      <c r="F293" t="str">
        <f>"0.00"</f>
        <v>0.00</v>
      </c>
      <c r="G293" t="str">
        <f>"11046.16"</f>
        <v>11046.16</v>
      </c>
      <c r="H293" t="str">
        <f>"0.00"</f>
        <v>0.00</v>
      </c>
      <c r="I293" t="str">
        <f>"47"</f>
        <v>47</v>
      </c>
      <c r="J293" t="str">
        <f>"申购配号(长城证券)"</f>
        <v>申购配号(长城证券)</v>
      </c>
      <c r="K293" t="str">
        <f>"0.00"</f>
        <v>0.00</v>
      </c>
      <c r="L293" t="str">
        <f>"0.00"</f>
        <v>0.00</v>
      </c>
      <c r="M293" t="str">
        <f t="shared" si="102"/>
        <v>0.00</v>
      </c>
      <c r="N293" t="str">
        <f t="shared" si="101"/>
        <v>0.00</v>
      </c>
      <c r="O293" t="str">
        <f>"002939"</f>
        <v>002939</v>
      </c>
      <c r="P293" t="str">
        <f>"0153613480"</f>
        <v>0153613480</v>
      </c>
    </row>
    <row r="294" spans="1:16" x14ac:dyDescent="0.25">
      <c r="A294" t="str">
        <f t="shared" si="92"/>
        <v>人民币</v>
      </c>
      <c r="B294" t="str">
        <f>"江龙船艇"</f>
        <v>江龙船艇</v>
      </c>
      <c r="C294" t="str">
        <f>"20181018"</f>
        <v>20181018</v>
      </c>
      <c r="D294" t="str">
        <f>"11.870"</f>
        <v>11.870</v>
      </c>
      <c r="E294" t="str">
        <f>"900.00"</f>
        <v>900.00</v>
      </c>
      <c r="F294" t="str">
        <f>"-10688.00"</f>
        <v>-10688.00</v>
      </c>
      <c r="G294" t="str">
        <f>"358.16"</f>
        <v>358.16</v>
      </c>
      <c r="H294" t="str">
        <f>"4400.00"</f>
        <v>4400.00</v>
      </c>
      <c r="I294" t="str">
        <f>"77"</f>
        <v>77</v>
      </c>
      <c r="J294" t="str">
        <f>"证券买入(江龙船艇)"</f>
        <v>证券买入(江龙船艇)</v>
      </c>
      <c r="K294" t="str">
        <f>"5.00"</f>
        <v>5.00</v>
      </c>
      <c r="L294" t="str">
        <f>"0.00"</f>
        <v>0.00</v>
      </c>
      <c r="M294" t="str">
        <f t="shared" si="102"/>
        <v>0.00</v>
      </c>
      <c r="N294" t="str">
        <f t="shared" si="101"/>
        <v>0.00</v>
      </c>
      <c r="O294" t="str">
        <f>"300589"</f>
        <v>300589</v>
      </c>
      <c r="P294" t="str">
        <f>"0153613480"</f>
        <v>0153613480</v>
      </c>
    </row>
    <row r="295" spans="1:16" x14ac:dyDescent="0.25">
      <c r="A295" t="str">
        <f t="shared" si="92"/>
        <v>人民币</v>
      </c>
      <c r="B295" t="str">
        <f>"宇信科技"</f>
        <v>宇信科技</v>
      </c>
      <c r="C295" t="str">
        <f>"20181024"</f>
        <v>20181024</v>
      </c>
      <c r="D295" t="str">
        <f>"0.000"</f>
        <v>0.000</v>
      </c>
      <c r="E295" t="str">
        <f>"9.00"</f>
        <v>9.00</v>
      </c>
      <c r="F295" t="str">
        <f>"0.00"</f>
        <v>0.00</v>
      </c>
      <c r="G295" t="str">
        <f>"358.16"</f>
        <v>358.16</v>
      </c>
      <c r="H295" t="str">
        <f>"0.00"</f>
        <v>0.00</v>
      </c>
      <c r="I295" t="str">
        <f>"81"</f>
        <v>81</v>
      </c>
      <c r="J295" t="str">
        <f>"申购配号(宇信科技)"</f>
        <v>申购配号(宇信科技)</v>
      </c>
      <c r="K295" t="str">
        <f>"0.00"</f>
        <v>0.00</v>
      </c>
      <c r="L295" t="str">
        <f>"0.00"</f>
        <v>0.00</v>
      </c>
      <c r="M295" t="str">
        <f t="shared" si="102"/>
        <v>0.00</v>
      </c>
      <c r="N295" t="str">
        <f t="shared" si="101"/>
        <v>0.00</v>
      </c>
      <c r="O295" t="str">
        <f>"300674"</f>
        <v>300674</v>
      </c>
      <c r="P295" t="str">
        <f>"0153613480"</f>
        <v>0153613480</v>
      </c>
    </row>
    <row r="296" spans="1:16" x14ac:dyDescent="0.25">
      <c r="A296" t="str">
        <f t="shared" si="92"/>
        <v>人民币</v>
      </c>
      <c r="B296" t="str">
        <f>"贝通配号"</f>
        <v>贝通配号</v>
      </c>
      <c r="C296" t="str">
        <f>"20181106"</f>
        <v>20181106</v>
      </c>
      <c r="D296" t="str">
        <f>"0.000"</f>
        <v>0.000</v>
      </c>
      <c r="E296" t="str">
        <f>"3.00"</f>
        <v>3.00</v>
      </c>
      <c r="F296" t="str">
        <f>"0.00"</f>
        <v>0.00</v>
      </c>
      <c r="G296" t="str">
        <f>"358.16"</f>
        <v>358.16</v>
      </c>
      <c r="H296" t="str">
        <f>"0.00"</f>
        <v>0.00</v>
      </c>
      <c r="I296" t="str">
        <f>"86"</f>
        <v>86</v>
      </c>
      <c r="J296" t="str">
        <f>"申购配号(贝通配号)"</f>
        <v>申购配号(贝通配号)</v>
      </c>
      <c r="K296" t="str">
        <f>"0.00"</f>
        <v>0.00</v>
      </c>
      <c r="L296" t="str">
        <f>"0.00"</f>
        <v>0.00</v>
      </c>
      <c r="M296" t="str">
        <f t="shared" si="102"/>
        <v>0.00</v>
      </c>
      <c r="N296" t="str">
        <f t="shared" si="101"/>
        <v>0.00</v>
      </c>
      <c r="O296" t="str">
        <f>"736220"</f>
        <v>736220</v>
      </c>
      <c r="P296" t="str">
        <f>"A400948245"</f>
        <v>A400948245</v>
      </c>
    </row>
    <row r="297" spans="1:16" x14ac:dyDescent="0.25">
      <c r="A297" t="str">
        <f t="shared" si="92"/>
        <v>人民币</v>
      </c>
      <c r="B297" t="str">
        <f>" "</f>
        <v xml:space="preserve"> </v>
      </c>
      <c r="C297" t="str">
        <f>"20181108"</f>
        <v>20181108</v>
      </c>
      <c r="D297" t="str">
        <f>"---"</f>
        <v>---</v>
      </c>
      <c r="E297" t="str">
        <f>"---"</f>
        <v>---</v>
      </c>
      <c r="F297" t="str">
        <f>"4000.00"</f>
        <v>4000.00</v>
      </c>
      <c r="G297" t="str">
        <f>"4358.16"</f>
        <v>4358.16</v>
      </c>
      <c r="H297" t="str">
        <f>"---"</f>
        <v>---</v>
      </c>
      <c r="I297" t="str">
        <f>"---"</f>
        <v>---</v>
      </c>
      <c r="J297" t="str">
        <f>"银行转存"</f>
        <v>银行转存</v>
      </c>
      <c r="K297" t="str">
        <f t="shared" ref="K297:P297" si="103">"---"</f>
        <v>---</v>
      </c>
      <c r="L297" t="str">
        <f t="shared" si="103"/>
        <v>---</v>
      </c>
      <c r="M297" t="str">
        <f t="shared" si="103"/>
        <v>---</v>
      </c>
      <c r="N297" t="str">
        <f t="shared" si="103"/>
        <v>---</v>
      </c>
      <c r="O297" t="str">
        <f t="shared" si="103"/>
        <v>---</v>
      </c>
      <c r="P297" t="str">
        <f t="shared" si="103"/>
        <v>---</v>
      </c>
    </row>
    <row r="298" spans="1:16" x14ac:dyDescent="0.25">
      <c r="A298" t="str">
        <f t="shared" si="92"/>
        <v>人民币</v>
      </c>
      <c r="B298" t="s">
        <v>17</v>
      </c>
      <c r="C298" t="str">
        <f>"20181108"</f>
        <v>20181108</v>
      </c>
      <c r="D298" t="str">
        <f>"3.34"</f>
        <v>3.34</v>
      </c>
      <c r="E298" t="str">
        <f>"1000.00"</f>
        <v>1000.00</v>
      </c>
      <c r="F298" t="str">
        <f>"-3340.00"</f>
        <v>-3340.00</v>
      </c>
      <c r="G298" t="str">
        <f>"1018.16"</f>
        <v>1018.16</v>
      </c>
      <c r="H298" t="str">
        <f>"1000.00"</f>
        <v>1000.00</v>
      </c>
      <c r="I298" t="str">
        <f>"---"</f>
        <v>---</v>
      </c>
      <c r="J298" t="str">
        <f>"证券买入(中国人保)"</f>
        <v>证券买入(中国人保)</v>
      </c>
      <c r="K298" t="str">
        <f>"---"</f>
        <v>---</v>
      </c>
      <c r="L298" t="str">
        <f>"---"</f>
        <v>---</v>
      </c>
      <c r="M298" t="str">
        <f>"---"</f>
        <v>---</v>
      </c>
      <c r="N298" t="str">
        <f>"---"</f>
        <v>---</v>
      </c>
      <c r="O298" t="str">
        <f>"780319"</f>
        <v>780319</v>
      </c>
      <c r="P298" t="str">
        <f>"A400948245"</f>
        <v>A400948245</v>
      </c>
    </row>
    <row r="299" spans="1:16" x14ac:dyDescent="0.25">
      <c r="A299" t="str">
        <f t="shared" si="92"/>
        <v>人民币</v>
      </c>
      <c r="B299" t="str">
        <f>"新疆交建"</f>
        <v>新疆交建</v>
      </c>
      <c r="C299" t="str">
        <f>"20181115"</f>
        <v>20181115</v>
      </c>
      <c r="D299" t="str">
        <f>"0.000"</f>
        <v>0.000</v>
      </c>
      <c r="E299" t="str">
        <f>"10.00"</f>
        <v>10.00</v>
      </c>
      <c r="F299" t="str">
        <f>"0.00"</f>
        <v>0.00</v>
      </c>
      <c r="G299" t="str">
        <f>"1018.16"</f>
        <v>1018.16</v>
      </c>
      <c r="H299" t="str">
        <f>"0.00"</f>
        <v>0.00</v>
      </c>
      <c r="I299" t="str">
        <f>"94"</f>
        <v>94</v>
      </c>
      <c r="J299" t="str">
        <f>"申购配号(新疆交建)"</f>
        <v>申购配号(新疆交建)</v>
      </c>
      <c r="K299" t="str">
        <f t="shared" ref="K299:N307" si="104">"0.00"</f>
        <v>0.00</v>
      </c>
      <c r="L299" t="str">
        <f t="shared" si="104"/>
        <v>0.00</v>
      </c>
      <c r="M299" t="str">
        <f t="shared" si="104"/>
        <v>0.00</v>
      </c>
      <c r="N299" t="str">
        <f t="shared" si="104"/>
        <v>0.00</v>
      </c>
      <c r="O299" t="str">
        <f>"002941"</f>
        <v>002941</v>
      </c>
      <c r="P299" t="str">
        <f>"0153613480"</f>
        <v>0153613480</v>
      </c>
    </row>
    <row r="300" spans="1:16" x14ac:dyDescent="0.25">
      <c r="A300" t="str">
        <f t="shared" si="92"/>
        <v>人民币</v>
      </c>
      <c r="B300" t="str">
        <f>"海容配号"</f>
        <v>海容配号</v>
      </c>
      <c r="C300" t="str">
        <f>"20181119"</f>
        <v>20181119</v>
      </c>
      <c r="D300" t="str">
        <f>"0.000"</f>
        <v>0.000</v>
      </c>
      <c r="E300" t="str">
        <f>"4.00"</f>
        <v>4.00</v>
      </c>
      <c r="F300" t="str">
        <f>"0.00"</f>
        <v>0.00</v>
      </c>
      <c r="G300" t="str">
        <f>"1018.16"</f>
        <v>1018.16</v>
      </c>
      <c r="H300" t="str">
        <f>"0.00"</f>
        <v>0.00</v>
      </c>
      <c r="I300" t="str">
        <f>"98"</f>
        <v>98</v>
      </c>
      <c r="J300" t="str">
        <f>"申购配号(海容配号)"</f>
        <v>申购配号(海容配号)</v>
      </c>
      <c r="K300" t="str">
        <f t="shared" si="104"/>
        <v>0.00</v>
      </c>
      <c r="L300" t="str">
        <f t="shared" si="104"/>
        <v>0.00</v>
      </c>
      <c r="M300" t="str">
        <f t="shared" si="104"/>
        <v>0.00</v>
      </c>
      <c r="N300" t="str">
        <f t="shared" si="104"/>
        <v>0.00</v>
      </c>
      <c r="O300" t="str">
        <f>"736187"</f>
        <v>736187</v>
      </c>
      <c r="P300" t="str">
        <f>"A400948245"</f>
        <v>A400948245</v>
      </c>
    </row>
    <row r="301" spans="1:16" x14ac:dyDescent="0.25">
      <c r="A301" t="str">
        <f t="shared" si="92"/>
        <v>人民币</v>
      </c>
      <c r="B301" t="str">
        <f>"七一二"</f>
        <v>七一二</v>
      </c>
      <c r="C301" t="str">
        <f>"20181120"</f>
        <v>20181120</v>
      </c>
      <c r="D301" t="str">
        <f>"18.910"</f>
        <v>18.910</v>
      </c>
      <c r="E301" t="str">
        <f>"300.00"</f>
        <v>300.00</v>
      </c>
      <c r="F301" t="str">
        <f>"-5678.11"</f>
        <v>-5678.11</v>
      </c>
      <c r="G301" t="str">
        <f>"-4659.95"</f>
        <v>-4659.95</v>
      </c>
      <c r="H301" t="str">
        <f>"1800.00"</f>
        <v>1800.00</v>
      </c>
      <c r="I301" t="str">
        <f>"106"</f>
        <v>106</v>
      </c>
      <c r="J301" t="str">
        <f>"证券买入(七一二)"</f>
        <v>证券买入(七一二)</v>
      </c>
      <c r="K301" t="str">
        <f>"5.00"</f>
        <v>5.00</v>
      </c>
      <c r="L301" t="str">
        <f>"0.00"</f>
        <v>0.00</v>
      </c>
      <c r="M301" t="str">
        <f>"0.11"</f>
        <v>0.11</v>
      </c>
      <c r="N301" t="str">
        <f t="shared" si="104"/>
        <v>0.00</v>
      </c>
      <c r="O301" t="str">
        <f>"603712"</f>
        <v>603712</v>
      </c>
      <c r="P301" t="str">
        <f>"A400948245"</f>
        <v>A400948245</v>
      </c>
    </row>
    <row r="302" spans="1:16" x14ac:dyDescent="0.25">
      <c r="A302" t="str">
        <f t="shared" si="92"/>
        <v>人民币</v>
      </c>
      <c r="B302" t="str">
        <f>"江龙船艇"</f>
        <v>江龙船艇</v>
      </c>
      <c r="C302" t="str">
        <f>"20181120"</f>
        <v>20181120</v>
      </c>
      <c r="D302" t="str">
        <f>"12.430"</f>
        <v>12.430</v>
      </c>
      <c r="E302" t="str">
        <f>"-900.00"</f>
        <v>-900.00</v>
      </c>
      <c r="F302" t="str">
        <f>"11170.82"</f>
        <v>11170.82</v>
      </c>
      <c r="G302" t="str">
        <f>"6510.87"</f>
        <v>6510.87</v>
      </c>
      <c r="H302" t="str">
        <f>"3500.00"</f>
        <v>3500.00</v>
      </c>
      <c r="I302" t="str">
        <f>"103"</f>
        <v>103</v>
      </c>
      <c r="J302" t="str">
        <f>"证券卖出(江龙船艇)"</f>
        <v>证券卖出(江龙船艇)</v>
      </c>
      <c r="K302" t="str">
        <f>"5.00"</f>
        <v>5.00</v>
      </c>
      <c r="L302" t="str">
        <f>"11.18"</f>
        <v>11.18</v>
      </c>
      <c r="M302" t="str">
        <f>"0.00"</f>
        <v>0.00</v>
      </c>
      <c r="N302" t="str">
        <f t="shared" si="104"/>
        <v>0.00</v>
      </c>
      <c r="O302" t="str">
        <f>"300589"</f>
        <v>300589</v>
      </c>
      <c r="P302" t="str">
        <f>"0153613480"</f>
        <v>0153613480</v>
      </c>
    </row>
    <row r="303" spans="1:16" x14ac:dyDescent="0.25">
      <c r="A303" t="str">
        <f t="shared" si="92"/>
        <v>人民币</v>
      </c>
      <c r="B303" t="str">
        <f>"宇晶股份"</f>
        <v>宇晶股份</v>
      </c>
      <c r="C303" t="str">
        <f>"20181120"</f>
        <v>20181120</v>
      </c>
      <c r="D303" t="str">
        <f>"0.000"</f>
        <v>0.000</v>
      </c>
      <c r="E303" t="str">
        <f>"10.00"</f>
        <v>10.00</v>
      </c>
      <c r="F303" t="str">
        <f>"0.00"</f>
        <v>0.00</v>
      </c>
      <c r="G303" t="str">
        <f>"6510.87"</f>
        <v>6510.87</v>
      </c>
      <c r="H303" t="str">
        <f>"0.00"</f>
        <v>0.00</v>
      </c>
      <c r="I303" t="str">
        <f>"101"</f>
        <v>101</v>
      </c>
      <c r="J303" t="str">
        <f>"申购配号(宇晶股份)"</f>
        <v>申购配号(宇晶股份)</v>
      </c>
      <c r="K303" t="str">
        <f>"0.00"</f>
        <v>0.00</v>
      </c>
      <c r="L303" t="str">
        <f>"0.00"</f>
        <v>0.00</v>
      </c>
      <c r="M303" t="str">
        <f>"0.00"</f>
        <v>0.00</v>
      </c>
      <c r="N303" t="str">
        <f t="shared" si="104"/>
        <v>0.00</v>
      </c>
      <c r="O303" t="str">
        <f>"002943"</f>
        <v>002943</v>
      </c>
      <c r="P303" t="str">
        <f>"0153613480"</f>
        <v>0153613480</v>
      </c>
    </row>
    <row r="304" spans="1:16" x14ac:dyDescent="0.25">
      <c r="A304" t="str">
        <f t="shared" si="92"/>
        <v>人民币</v>
      </c>
      <c r="B304" t="str">
        <f>"七一二"</f>
        <v>七一二</v>
      </c>
      <c r="C304" t="str">
        <f>"20181121"</f>
        <v>20181121</v>
      </c>
      <c r="D304" t="str">
        <f>"17.850"</f>
        <v>17.850</v>
      </c>
      <c r="E304" t="str">
        <f>"300.00"</f>
        <v>300.00</v>
      </c>
      <c r="F304" t="str">
        <f>"-5360.11"</f>
        <v>-5360.11</v>
      </c>
      <c r="G304" t="str">
        <f>"1150.76"</f>
        <v>1150.76</v>
      </c>
      <c r="H304" t="str">
        <f>"2100.00"</f>
        <v>2100.00</v>
      </c>
      <c r="I304" t="str">
        <f>"3"</f>
        <v>3</v>
      </c>
      <c r="J304" t="str">
        <f>"证券买入(七一二)"</f>
        <v>证券买入(七一二)</v>
      </c>
      <c r="K304" t="str">
        <f>"5.00"</f>
        <v>5.00</v>
      </c>
      <c r="L304" t="str">
        <f>"0.00"</f>
        <v>0.00</v>
      </c>
      <c r="M304" t="str">
        <f>"0.11"</f>
        <v>0.11</v>
      </c>
      <c r="N304" t="str">
        <f t="shared" si="104"/>
        <v>0.00</v>
      </c>
      <c r="O304" t="str">
        <f>"603712"</f>
        <v>603712</v>
      </c>
      <c r="P304" t="str">
        <f>"A400948245"</f>
        <v>A400948245</v>
      </c>
    </row>
    <row r="305" spans="1:16" x14ac:dyDescent="0.25">
      <c r="A305" t="str">
        <f t="shared" si="92"/>
        <v>人民币</v>
      </c>
      <c r="B305" t="str">
        <f>"隆利科技"</f>
        <v>隆利科技</v>
      </c>
      <c r="C305" t="str">
        <f>"20181121"</f>
        <v>20181121</v>
      </c>
      <c r="D305" t="str">
        <f>"0.000"</f>
        <v>0.000</v>
      </c>
      <c r="E305" t="str">
        <f>"10.00"</f>
        <v>10.00</v>
      </c>
      <c r="F305" t="str">
        <f>"0.00"</f>
        <v>0.00</v>
      </c>
      <c r="G305" t="str">
        <f>"1150.76"</f>
        <v>1150.76</v>
      </c>
      <c r="H305" t="str">
        <f>"0.00"</f>
        <v>0.00</v>
      </c>
      <c r="I305" t="str">
        <f>"1"</f>
        <v>1</v>
      </c>
      <c r="J305" t="str">
        <f>"申购配号(隆利科技)"</f>
        <v>申购配号(隆利科技)</v>
      </c>
      <c r="K305" t="str">
        <f>"0.00"</f>
        <v>0.00</v>
      </c>
      <c r="L305" t="str">
        <f>"0.00"</f>
        <v>0.00</v>
      </c>
      <c r="M305" t="str">
        <f>"0.00"</f>
        <v>0.00</v>
      </c>
      <c r="N305" t="str">
        <f t="shared" si="104"/>
        <v>0.00</v>
      </c>
      <c r="O305" t="str">
        <f>"300752"</f>
        <v>300752</v>
      </c>
      <c r="P305" t="str">
        <f>"0153613480"</f>
        <v>0153613480</v>
      </c>
    </row>
    <row r="306" spans="1:16" x14ac:dyDescent="0.25">
      <c r="A306" t="str">
        <f t="shared" si="92"/>
        <v>人民币</v>
      </c>
      <c r="B306" t="str">
        <f>"新农股份"</f>
        <v>新农股份</v>
      </c>
      <c r="C306" t="str">
        <f>"20181122"</f>
        <v>20181122</v>
      </c>
      <c r="D306" t="str">
        <f>"0.000"</f>
        <v>0.000</v>
      </c>
      <c r="E306" t="str">
        <f>"10.00"</f>
        <v>10.00</v>
      </c>
      <c r="F306" t="str">
        <f>"0.00"</f>
        <v>0.00</v>
      </c>
      <c r="G306" t="str">
        <f>"1150.76"</f>
        <v>1150.76</v>
      </c>
      <c r="H306" t="str">
        <f>"0.00"</f>
        <v>0.00</v>
      </c>
      <c r="I306" t="str">
        <f>"8"</f>
        <v>8</v>
      </c>
      <c r="J306" t="str">
        <f>"申购配号(新农股份)"</f>
        <v>申购配号(新农股份)</v>
      </c>
      <c r="K306" t="str">
        <f>"0.00"</f>
        <v>0.00</v>
      </c>
      <c r="L306" t="str">
        <f>"0.00"</f>
        <v>0.00</v>
      </c>
      <c r="M306" t="str">
        <f>"0.00"</f>
        <v>0.00</v>
      </c>
      <c r="N306" t="str">
        <f t="shared" si="104"/>
        <v>0.00</v>
      </c>
      <c r="O306" t="str">
        <f>"002942"</f>
        <v>002942</v>
      </c>
      <c r="P306" t="str">
        <f>"0153613480"</f>
        <v>0153613480</v>
      </c>
    </row>
    <row r="307" spans="1:16" x14ac:dyDescent="0.25">
      <c r="A307" t="str">
        <f t="shared" si="92"/>
        <v>人民币</v>
      </c>
      <c r="B307" t="str">
        <f>"中国人保"</f>
        <v>中国人保</v>
      </c>
      <c r="C307" t="str">
        <f>"20181123"</f>
        <v>20181123</v>
      </c>
      <c r="D307" t="str">
        <f>"7.650"</f>
        <v>7.650</v>
      </c>
      <c r="E307" t="str">
        <f>"-1000.00"</f>
        <v>-1000.00</v>
      </c>
      <c r="F307" t="str">
        <f>"7637.20"</f>
        <v>7637.20</v>
      </c>
      <c r="G307" t="str">
        <f>"8787.96"</f>
        <v>8787.96</v>
      </c>
      <c r="H307" t="str">
        <f>"0.00"</f>
        <v>0.00</v>
      </c>
      <c r="I307" t="str">
        <f>"11"</f>
        <v>11</v>
      </c>
      <c r="J307" t="str">
        <f>"证券卖出(中国人保)"</f>
        <v>证券卖出(中国人保)</v>
      </c>
      <c r="K307" t="str">
        <f>"5.00"</f>
        <v>5.00</v>
      </c>
      <c r="L307" t="str">
        <f>"7.65"</f>
        <v>7.65</v>
      </c>
      <c r="M307" t="str">
        <f>"0.15"</f>
        <v>0.15</v>
      </c>
      <c r="N307" t="str">
        <f t="shared" si="104"/>
        <v>0.00</v>
      </c>
      <c r="O307" t="str">
        <f>"601319"</f>
        <v>601319</v>
      </c>
      <c r="P307" t="str">
        <f>"A400948245"</f>
        <v>A400948245</v>
      </c>
    </row>
    <row r="308" spans="1:16" x14ac:dyDescent="0.25">
      <c r="A308" t="str">
        <f t="shared" si="92"/>
        <v>人民币</v>
      </c>
      <c r="B308" t="str">
        <f>" "</f>
        <v xml:space="preserve"> </v>
      </c>
      <c r="C308" t="str">
        <f>"20181126"</f>
        <v>20181126</v>
      </c>
      <c r="D308" t="str">
        <f>"---"</f>
        <v>---</v>
      </c>
      <c r="E308" t="str">
        <f>"---"</f>
        <v>---</v>
      </c>
      <c r="F308" t="str">
        <f>"-8000.00"</f>
        <v>-8000.00</v>
      </c>
      <c r="G308" t="str">
        <f>"787.96"</f>
        <v>787.96</v>
      </c>
      <c r="H308" t="str">
        <f>"---"</f>
        <v>---</v>
      </c>
      <c r="I308" t="str">
        <f>"---"</f>
        <v>---</v>
      </c>
      <c r="J308" t="str">
        <f>"银行转取"</f>
        <v>银行转取</v>
      </c>
      <c r="K308" t="str">
        <f t="shared" ref="K308:P309" si="105">"---"</f>
        <v>---</v>
      </c>
      <c r="L308" t="str">
        <f t="shared" si="105"/>
        <v>---</v>
      </c>
      <c r="M308" t="str">
        <f t="shared" si="105"/>
        <v>---</v>
      </c>
      <c r="N308" t="str">
        <f t="shared" si="105"/>
        <v>---</v>
      </c>
      <c r="O308" t="str">
        <f t="shared" si="105"/>
        <v>---</v>
      </c>
      <c r="P308" t="str">
        <f t="shared" si="105"/>
        <v>---</v>
      </c>
    </row>
    <row r="309" spans="1:16" x14ac:dyDescent="0.25">
      <c r="A309" t="str">
        <f t="shared" si="92"/>
        <v>人民币</v>
      </c>
      <c r="B309" t="str">
        <f>" "</f>
        <v xml:space="preserve"> </v>
      </c>
      <c r="C309" t="str">
        <f>"20181126"</f>
        <v>20181126</v>
      </c>
      <c r="D309" t="str">
        <f>"---"</f>
        <v>---</v>
      </c>
      <c r="E309" t="str">
        <f>"---"</f>
        <v>---</v>
      </c>
      <c r="F309" t="str">
        <f>"3000.00"</f>
        <v>3000.00</v>
      </c>
      <c r="G309" t="str">
        <f>"3787.96"</f>
        <v>3787.96</v>
      </c>
      <c r="H309" t="str">
        <f>"---"</f>
        <v>---</v>
      </c>
      <c r="I309" t="str">
        <f>"---"</f>
        <v>---</v>
      </c>
      <c r="J309" t="str">
        <f>"银行转存"</f>
        <v>银行转存</v>
      </c>
      <c r="K309" t="str">
        <f t="shared" si="105"/>
        <v>---</v>
      </c>
      <c r="L309" t="str">
        <f t="shared" si="105"/>
        <v>---</v>
      </c>
      <c r="M309" t="str">
        <f t="shared" si="105"/>
        <v>---</v>
      </c>
      <c r="N309" t="str">
        <f t="shared" si="105"/>
        <v>---</v>
      </c>
      <c r="O309" t="str">
        <f t="shared" si="105"/>
        <v>---</v>
      </c>
      <c r="P309" t="str">
        <f t="shared" si="105"/>
        <v>---</v>
      </c>
    </row>
    <row r="310" spans="1:16" x14ac:dyDescent="0.25">
      <c r="A310" t="str">
        <f t="shared" si="92"/>
        <v>人民币</v>
      </c>
      <c r="B310" t="str">
        <f>"七一二"</f>
        <v>七一二</v>
      </c>
      <c r="C310" t="str">
        <f>"20181127"</f>
        <v>20181127</v>
      </c>
      <c r="D310" t="str">
        <f>"16.700"</f>
        <v>16.700</v>
      </c>
      <c r="E310" t="str">
        <f>"200.00"</f>
        <v>200.00</v>
      </c>
      <c r="F310" t="str">
        <f>"-3345.06"</f>
        <v>-3345.06</v>
      </c>
      <c r="G310" t="str">
        <f>"442.90"</f>
        <v>442.90</v>
      </c>
      <c r="H310" t="str">
        <f>"2300.00"</f>
        <v>2300.00</v>
      </c>
      <c r="I310" t="str">
        <f>"17"</f>
        <v>17</v>
      </c>
      <c r="J310" t="str">
        <f>"证券买入(七一二)"</f>
        <v>证券买入(七一二)</v>
      </c>
      <c r="K310" t="str">
        <f>"5.00"</f>
        <v>5.00</v>
      </c>
      <c r="L310" t="str">
        <f>"0.00"</f>
        <v>0.00</v>
      </c>
      <c r="M310" t="str">
        <f>"0.06"</f>
        <v>0.06</v>
      </c>
      <c r="N310" t="str">
        <f>"0.00"</f>
        <v>0.00</v>
      </c>
      <c r="O310" t="str">
        <f>"603712"</f>
        <v>603712</v>
      </c>
      <c r="P310" t="str">
        <f>"A400948245"</f>
        <v>A400948245</v>
      </c>
    </row>
    <row r="311" spans="1:16" x14ac:dyDescent="0.25">
      <c r="A311" t="str">
        <f t="shared" si="92"/>
        <v>人民币</v>
      </c>
      <c r="B311" t="str">
        <f>" "</f>
        <v xml:space="preserve"> </v>
      </c>
      <c r="C311" t="str">
        <f>"20181128"</f>
        <v>20181128</v>
      </c>
      <c r="D311" t="str">
        <f>"---"</f>
        <v>---</v>
      </c>
      <c r="E311" t="str">
        <f>"---"</f>
        <v>---</v>
      </c>
      <c r="F311" t="str">
        <f>"10000.00"</f>
        <v>10000.00</v>
      </c>
      <c r="G311" t="str">
        <f>"10442.90"</f>
        <v>10442.90</v>
      </c>
      <c r="H311" t="str">
        <f>"---"</f>
        <v>---</v>
      </c>
      <c r="I311" t="str">
        <f>"---"</f>
        <v>---</v>
      </c>
      <c r="J311" t="str">
        <f>"银行转存"</f>
        <v>银行转存</v>
      </c>
      <c r="K311" t="str">
        <f t="shared" ref="K311:P311" si="106">"---"</f>
        <v>---</v>
      </c>
      <c r="L311" t="str">
        <f t="shared" si="106"/>
        <v>---</v>
      </c>
      <c r="M311" t="str">
        <f t="shared" si="106"/>
        <v>---</v>
      </c>
      <c r="N311" t="str">
        <f t="shared" si="106"/>
        <v>---</v>
      </c>
      <c r="O311" t="str">
        <f t="shared" si="106"/>
        <v>---</v>
      </c>
      <c r="P311" t="str">
        <f t="shared" si="106"/>
        <v>---</v>
      </c>
    </row>
    <row r="312" spans="1:16" x14ac:dyDescent="0.25">
      <c r="A312" t="str">
        <f t="shared" si="92"/>
        <v>人民币</v>
      </c>
      <c r="B312" t="str">
        <f>"江龙船艇"</f>
        <v>江龙船艇</v>
      </c>
      <c r="C312" t="str">
        <f>"20181128"</f>
        <v>20181128</v>
      </c>
      <c r="D312" t="str">
        <f>"11.200"</f>
        <v>11.200</v>
      </c>
      <c r="E312" t="str">
        <f>"500.00"</f>
        <v>500.00</v>
      </c>
      <c r="F312" t="str">
        <f>"-5605.00"</f>
        <v>-5605.00</v>
      </c>
      <c r="G312" t="str">
        <f>"4837.90"</f>
        <v>4837.90</v>
      </c>
      <c r="H312" t="str">
        <f>"4000.00"</f>
        <v>4000.00</v>
      </c>
      <c r="I312" t="str">
        <f>"24"</f>
        <v>24</v>
      </c>
      <c r="J312" t="str">
        <f>"证券买入(江龙船艇)"</f>
        <v>证券买入(江龙船艇)</v>
      </c>
      <c r="K312" t="str">
        <f t="shared" ref="K312:K317" si="107">"5.00"</f>
        <v>5.00</v>
      </c>
      <c r="L312" t="str">
        <f>"0.00"</f>
        <v>0.00</v>
      </c>
      <c r="M312" t="str">
        <f>"0.00"</f>
        <v>0.00</v>
      </c>
      <c r="N312" t="str">
        <f>"0.00"</f>
        <v>0.00</v>
      </c>
      <c r="O312" t="str">
        <f>"300589"</f>
        <v>300589</v>
      </c>
      <c r="P312" t="str">
        <f>"0153613480"</f>
        <v>0153613480</v>
      </c>
    </row>
    <row r="313" spans="1:16" x14ac:dyDescent="0.25">
      <c r="A313" t="str">
        <f t="shared" si="92"/>
        <v>人民币</v>
      </c>
      <c r="B313" t="str">
        <f>"江龙船艇"</f>
        <v>江龙船艇</v>
      </c>
      <c r="C313" t="str">
        <f>"20181128"</f>
        <v>20181128</v>
      </c>
      <c r="D313" t="str">
        <f>"11.410"</f>
        <v>11.410</v>
      </c>
      <c r="E313" t="str">
        <f>"-500.00"</f>
        <v>-500.00</v>
      </c>
      <c r="F313" t="str">
        <f>"5694.29"</f>
        <v>5694.29</v>
      </c>
      <c r="G313" t="str">
        <f>"10532.19"</f>
        <v>10532.19</v>
      </c>
      <c r="H313" t="str">
        <f>"3500.00"</f>
        <v>3500.00</v>
      </c>
      <c r="I313" t="str">
        <f>"27"</f>
        <v>27</v>
      </c>
      <c r="J313" t="str">
        <f>"证券卖出(江龙船艇)"</f>
        <v>证券卖出(江龙船艇)</v>
      </c>
      <c r="K313" t="str">
        <f t="shared" si="107"/>
        <v>5.00</v>
      </c>
      <c r="L313" t="str">
        <f>"5.71"</f>
        <v>5.71</v>
      </c>
      <c r="M313" t="str">
        <f t="shared" ref="M313:N315" si="108">"0.00"</f>
        <v>0.00</v>
      </c>
      <c r="N313" t="str">
        <f t="shared" si="108"/>
        <v>0.00</v>
      </c>
      <c r="O313" t="str">
        <f>"300589"</f>
        <v>300589</v>
      </c>
      <c r="P313" t="str">
        <f>"0153613480"</f>
        <v>0153613480</v>
      </c>
    </row>
    <row r="314" spans="1:16" x14ac:dyDescent="0.25">
      <c r="A314" t="str">
        <f t="shared" si="92"/>
        <v>人民币</v>
      </c>
      <c r="B314" t="str">
        <f>"江龙船艇"</f>
        <v>江龙船艇</v>
      </c>
      <c r="C314" t="str">
        <f>"20181128"</f>
        <v>20181128</v>
      </c>
      <c r="D314" t="str">
        <f>"11.400"</f>
        <v>11.400</v>
      </c>
      <c r="E314" t="str">
        <f>"500.00"</f>
        <v>500.00</v>
      </c>
      <c r="F314" t="str">
        <f>"-5705.00"</f>
        <v>-5705.00</v>
      </c>
      <c r="G314" t="str">
        <f>"4827.19"</f>
        <v>4827.19</v>
      </c>
      <c r="H314" t="str">
        <f>"4000.00"</f>
        <v>4000.00</v>
      </c>
      <c r="I314" t="str">
        <f>"30"</f>
        <v>30</v>
      </c>
      <c r="J314" t="str">
        <f>"证券买入(江龙船艇)"</f>
        <v>证券买入(江龙船艇)</v>
      </c>
      <c r="K314" t="str">
        <f t="shared" si="107"/>
        <v>5.00</v>
      </c>
      <c r="L314" t="str">
        <f>"0.00"</f>
        <v>0.00</v>
      </c>
      <c r="M314" t="str">
        <f t="shared" si="108"/>
        <v>0.00</v>
      </c>
      <c r="N314" t="str">
        <f t="shared" si="108"/>
        <v>0.00</v>
      </c>
      <c r="O314" t="str">
        <f>"300589"</f>
        <v>300589</v>
      </c>
      <c r="P314" t="str">
        <f>"0153613480"</f>
        <v>0153613480</v>
      </c>
    </row>
    <row r="315" spans="1:16" x14ac:dyDescent="0.25">
      <c r="A315" t="str">
        <f t="shared" si="92"/>
        <v>人民币</v>
      </c>
      <c r="B315" t="str">
        <f>"江龙船艇"</f>
        <v>江龙船艇</v>
      </c>
      <c r="C315" t="str">
        <f>"20181129"</f>
        <v>20181129</v>
      </c>
      <c r="D315" t="str">
        <f>"11.380"</f>
        <v>11.380</v>
      </c>
      <c r="E315" t="str">
        <f>"400.00"</f>
        <v>400.00</v>
      </c>
      <c r="F315" t="str">
        <f>"-4557.00"</f>
        <v>-4557.00</v>
      </c>
      <c r="G315" t="str">
        <f>"270.19"</f>
        <v>270.19</v>
      </c>
      <c r="H315" t="str">
        <f>"4400.00"</f>
        <v>4400.00</v>
      </c>
      <c r="I315" t="str">
        <f>"42"</f>
        <v>42</v>
      </c>
      <c r="J315" t="str">
        <f>"证券买入(江龙船艇)"</f>
        <v>证券买入(江龙船艇)</v>
      </c>
      <c r="K315" t="str">
        <f t="shared" si="107"/>
        <v>5.00</v>
      </c>
      <c r="L315" t="str">
        <f>"0.00"</f>
        <v>0.00</v>
      </c>
      <c r="M315" t="str">
        <f t="shared" si="108"/>
        <v>0.00</v>
      </c>
      <c r="N315" t="str">
        <f t="shared" si="108"/>
        <v>0.00</v>
      </c>
      <c r="O315" t="str">
        <f>"300589"</f>
        <v>300589</v>
      </c>
      <c r="P315" t="str">
        <f>"0153613480"</f>
        <v>0153613480</v>
      </c>
    </row>
    <row r="316" spans="1:16" x14ac:dyDescent="0.25">
      <c r="A316" t="str">
        <f t="shared" si="92"/>
        <v>人民币</v>
      </c>
      <c r="B316" t="str">
        <f>"七一二"</f>
        <v>七一二</v>
      </c>
      <c r="C316" t="str">
        <f>"20181204"</f>
        <v>20181204</v>
      </c>
      <c r="D316" t="str">
        <f>"17.070"</f>
        <v>17.070</v>
      </c>
      <c r="E316" t="str">
        <f>"-200.00"</f>
        <v>-200.00</v>
      </c>
      <c r="F316" t="str">
        <f>"3405.52"</f>
        <v>3405.52</v>
      </c>
      <c r="G316" t="str">
        <f>"3675.71"</f>
        <v>3675.71</v>
      </c>
      <c r="H316" t="str">
        <f>"2100.00"</f>
        <v>2100.00</v>
      </c>
      <c r="I316" t="str">
        <f>"56"</f>
        <v>56</v>
      </c>
      <c r="J316" t="str">
        <f>"证券卖出(七一二)"</f>
        <v>证券卖出(七一二)</v>
      </c>
      <c r="K316" t="str">
        <f t="shared" si="107"/>
        <v>5.00</v>
      </c>
      <c r="L316" t="str">
        <f>"3.41"</f>
        <v>3.41</v>
      </c>
      <c r="M316" t="str">
        <f>"0.07"</f>
        <v>0.07</v>
      </c>
      <c r="N316" t="str">
        <f>"0.00"</f>
        <v>0.00</v>
      </c>
      <c r="O316" t="str">
        <f>"603712"</f>
        <v>603712</v>
      </c>
      <c r="P316" t="str">
        <f>"A400948245"</f>
        <v>A400948245</v>
      </c>
    </row>
    <row r="317" spans="1:16" x14ac:dyDescent="0.25">
      <c r="A317" t="str">
        <f t="shared" si="92"/>
        <v>人民币</v>
      </c>
      <c r="B317" t="str">
        <f>"江龙船艇"</f>
        <v>江龙船艇</v>
      </c>
      <c r="C317" t="str">
        <f>"20181204"</f>
        <v>20181204</v>
      </c>
      <c r="D317" t="str">
        <f>"11.530"</f>
        <v>11.530</v>
      </c>
      <c r="E317" t="str">
        <f>"-900.00"</f>
        <v>-900.00</v>
      </c>
      <c r="F317" t="str">
        <f>"10361.62"</f>
        <v>10361.62</v>
      </c>
      <c r="G317" t="str">
        <f>"14037.33"</f>
        <v>14037.33</v>
      </c>
      <c r="H317" t="str">
        <f>"3500.00"</f>
        <v>3500.00</v>
      </c>
      <c r="I317" t="str">
        <f>"59"</f>
        <v>59</v>
      </c>
      <c r="J317" t="str">
        <f>"证券卖出(江龙船艇)"</f>
        <v>证券卖出(江龙船艇)</v>
      </c>
      <c r="K317" t="str">
        <f t="shared" si="107"/>
        <v>5.00</v>
      </c>
      <c r="L317" t="str">
        <f>"10.38"</f>
        <v>10.38</v>
      </c>
      <c r="M317" t="str">
        <f>"0.00"</f>
        <v>0.00</v>
      </c>
      <c r="N317" t="str">
        <f>"0.00"</f>
        <v>0.00</v>
      </c>
      <c r="O317" t="str">
        <f>"300589"</f>
        <v>300589</v>
      </c>
      <c r="P317" t="str">
        <f>"0153613480"</f>
        <v>0153613480</v>
      </c>
    </row>
    <row r="318" spans="1:16" x14ac:dyDescent="0.25">
      <c r="A318" t="str">
        <f t="shared" ref="A318:A338" si="109">"人民币"</f>
        <v>人民币</v>
      </c>
      <c r="B318" t="str">
        <f>"爱朋医疗"</f>
        <v>爱朋医疗</v>
      </c>
      <c r="C318" t="str">
        <f>"20181204"</f>
        <v>20181204</v>
      </c>
      <c r="D318" t="str">
        <f>"0.000"</f>
        <v>0.000</v>
      </c>
      <c r="E318" t="str">
        <f>"9.00"</f>
        <v>9.00</v>
      </c>
      <c r="F318" t="str">
        <f>"0.00"</f>
        <v>0.00</v>
      </c>
      <c r="G318" t="str">
        <f>"14037.33"</f>
        <v>14037.33</v>
      </c>
      <c r="H318" t="str">
        <f>"0.00"</f>
        <v>0.00</v>
      </c>
      <c r="I318" t="str">
        <f>"54"</f>
        <v>54</v>
      </c>
      <c r="J318" t="str">
        <f>"申购配号(爱朋医疗)"</f>
        <v>申购配号(爱朋医疗)</v>
      </c>
      <c r="K318" t="str">
        <f>"0.00"</f>
        <v>0.00</v>
      </c>
      <c r="L318" t="str">
        <f>"0.00"</f>
        <v>0.00</v>
      </c>
      <c r="M318" t="str">
        <f>"0.00"</f>
        <v>0.00</v>
      </c>
      <c r="N318" t="str">
        <f>"0.00"</f>
        <v>0.00</v>
      </c>
      <c r="O318" t="str">
        <f>"300753"</f>
        <v>300753</v>
      </c>
      <c r="P318" t="str">
        <f>"0153613480"</f>
        <v>0153613480</v>
      </c>
    </row>
    <row r="319" spans="1:16" x14ac:dyDescent="0.25">
      <c r="A319" t="str">
        <f t="shared" si="109"/>
        <v>人民币</v>
      </c>
      <c r="B319" t="str">
        <f>"九典制药"</f>
        <v>九典制药</v>
      </c>
      <c r="C319" t="str">
        <f>"20181205"</f>
        <v>20181205</v>
      </c>
      <c r="D319" t="str">
        <f>"13.742"</f>
        <v>13.742</v>
      </c>
      <c r="E319" t="str">
        <f>"500.00"</f>
        <v>500.00</v>
      </c>
      <c r="F319" t="str">
        <f>"-6876.00"</f>
        <v>-6876.00</v>
      </c>
      <c r="G319" t="str">
        <f>"7161.33"</f>
        <v>7161.33</v>
      </c>
      <c r="H319" t="str">
        <f>"500.00"</f>
        <v>500.00</v>
      </c>
      <c r="I319" t="str">
        <f>"65"</f>
        <v>65</v>
      </c>
      <c r="J319" t="str">
        <f>"证券买入(九典制药)"</f>
        <v>证券买入(九典制药)</v>
      </c>
      <c r="K319" t="str">
        <f>"5.00"</f>
        <v>5.00</v>
      </c>
      <c r="L319" t="str">
        <f>"0.00"</f>
        <v>0.00</v>
      </c>
      <c r="M319" t="str">
        <f>"0.00"</f>
        <v>0.00</v>
      </c>
      <c r="N319" t="str">
        <f>"0.00"</f>
        <v>0.00</v>
      </c>
      <c r="O319" t="str">
        <f>"300705"</f>
        <v>300705</v>
      </c>
      <c r="P319" t="str">
        <f>"0153613480"</f>
        <v>0153613480</v>
      </c>
    </row>
    <row r="320" spans="1:16" x14ac:dyDescent="0.25">
      <c r="A320" t="str">
        <f t="shared" si="109"/>
        <v>人民币</v>
      </c>
      <c r="B320" t="str">
        <f>"九典制药"</f>
        <v>九典制药</v>
      </c>
      <c r="C320" t="str">
        <f>"20181205"</f>
        <v>20181205</v>
      </c>
      <c r="D320" t="str">
        <f>"13.640"</f>
        <v>13.640</v>
      </c>
      <c r="E320" t="str">
        <f>"500.00"</f>
        <v>500.00</v>
      </c>
      <c r="F320" t="str">
        <f>"-6825.00"</f>
        <v>-6825.00</v>
      </c>
      <c r="G320" t="str">
        <f>"336.33"</f>
        <v>336.33</v>
      </c>
      <c r="H320" t="str">
        <f>"1000.00"</f>
        <v>1000.00</v>
      </c>
      <c r="I320" t="str">
        <f>"69"</f>
        <v>69</v>
      </c>
      <c r="J320" t="str">
        <f>"证券买入(九典制药)"</f>
        <v>证券买入(九典制药)</v>
      </c>
      <c r="K320" t="str">
        <f>"5.00"</f>
        <v>5.00</v>
      </c>
      <c r="L320" t="str">
        <f>"0.00"</f>
        <v>0.00</v>
      </c>
      <c r="M320" t="str">
        <f>"0.00"</f>
        <v>0.00</v>
      </c>
      <c r="N320" t="str">
        <f>"0.00"</f>
        <v>0.00</v>
      </c>
      <c r="O320" t="str">
        <f>"300705"</f>
        <v>300705</v>
      </c>
      <c r="P320" t="str">
        <f>"0153613480"</f>
        <v>0153613480</v>
      </c>
    </row>
    <row r="321" spans="1:16" x14ac:dyDescent="0.25">
      <c r="A321" t="str">
        <f t="shared" si="109"/>
        <v>人民币</v>
      </c>
      <c r="B321" t="str">
        <f>" "</f>
        <v xml:space="preserve"> </v>
      </c>
      <c r="C321" t="str">
        <f>"20181211"</f>
        <v>20181211</v>
      </c>
      <c r="D321" t="str">
        <f>"---"</f>
        <v>---</v>
      </c>
      <c r="E321" t="str">
        <f>"---"</f>
        <v>---</v>
      </c>
      <c r="F321" t="str">
        <f>"5000.00"</f>
        <v>5000.00</v>
      </c>
      <c r="G321" t="str">
        <f>"5336.33"</f>
        <v>5336.33</v>
      </c>
      <c r="H321" t="str">
        <f>"---"</f>
        <v>---</v>
      </c>
      <c r="I321" t="str">
        <f>"---"</f>
        <v>---</v>
      </c>
      <c r="J321" t="str">
        <f>"银行转存"</f>
        <v>银行转存</v>
      </c>
      <c r="K321" t="str">
        <f t="shared" ref="K321:P321" si="110">"---"</f>
        <v>---</v>
      </c>
      <c r="L321" t="str">
        <f t="shared" si="110"/>
        <v>---</v>
      </c>
      <c r="M321" t="str">
        <f t="shared" si="110"/>
        <v>---</v>
      </c>
      <c r="N321" t="str">
        <f t="shared" si="110"/>
        <v>---</v>
      </c>
      <c r="O321" t="str">
        <f t="shared" si="110"/>
        <v>---</v>
      </c>
      <c r="P321" t="str">
        <f t="shared" si="110"/>
        <v>---</v>
      </c>
    </row>
    <row r="322" spans="1:16" x14ac:dyDescent="0.25">
      <c r="A322" t="str">
        <f t="shared" si="109"/>
        <v>人民币</v>
      </c>
      <c r="B322" t="str">
        <f>"九典制药"</f>
        <v>九典制药</v>
      </c>
      <c r="C322" t="str">
        <f>"20181211"</f>
        <v>20181211</v>
      </c>
      <c r="D322" t="str">
        <f>"12.540"</f>
        <v>12.540</v>
      </c>
      <c r="E322" t="str">
        <f>"400.00"</f>
        <v>400.00</v>
      </c>
      <c r="F322" t="str">
        <f>"-5021.00"</f>
        <v>-5021.00</v>
      </c>
      <c r="G322" t="str">
        <f>"315.33"</f>
        <v>315.33</v>
      </c>
      <c r="H322" t="str">
        <f>"1400.00"</f>
        <v>1400.00</v>
      </c>
      <c r="I322" t="str">
        <f>"76"</f>
        <v>76</v>
      </c>
      <c r="J322" t="str">
        <f>"证券买入(九典制药)"</f>
        <v>证券买入(九典制药)</v>
      </c>
      <c r="K322" t="str">
        <f>"5.00"</f>
        <v>5.00</v>
      </c>
      <c r="L322" t="str">
        <f t="shared" ref="L322:N323" si="111">"0.00"</f>
        <v>0.00</v>
      </c>
      <c r="M322" t="str">
        <f t="shared" si="111"/>
        <v>0.00</v>
      </c>
      <c r="N322" t="str">
        <f t="shared" si="111"/>
        <v>0.00</v>
      </c>
      <c r="O322" t="str">
        <f>"300705"</f>
        <v>300705</v>
      </c>
      <c r="P322" t="str">
        <f>"0153613480"</f>
        <v>0153613480</v>
      </c>
    </row>
    <row r="323" spans="1:16" x14ac:dyDescent="0.25">
      <c r="A323" t="str">
        <f t="shared" si="109"/>
        <v>人民币</v>
      </c>
      <c r="B323" t="str">
        <f>"利通配号"</f>
        <v>利通配号</v>
      </c>
      <c r="C323" t="str">
        <f>"20181212"</f>
        <v>20181212</v>
      </c>
      <c r="D323" t="str">
        <f>"0.000"</f>
        <v>0.000</v>
      </c>
      <c r="E323" t="str">
        <f>"4.00"</f>
        <v>4.00</v>
      </c>
      <c r="F323" t="str">
        <f>"0.00"</f>
        <v>0.00</v>
      </c>
      <c r="G323" t="str">
        <f>"315.33"</f>
        <v>315.33</v>
      </c>
      <c r="H323" t="str">
        <f>"0.00"</f>
        <v>0.00</v>
      </c>
      <c r="I323" t="str">
        <f>"81"</f>
        <v>81</v>
      </c>
      <c r="J323" t="str">
        <f>"申购配号(利通配号)"</f>
        <v>申购配号(利通配号)</v>
      </c>
      <c r="K323" t="str">
        <f>"0.00"</f>
        <v>0.00</v>
      </c>
      <c r="L323" t="str">
        <f t="shared" si="111"/>
        <v>0.00</v>
      </c>
      <c r="M323" t="str">
        <f t="shared" si="111"/>
        <v>0.00</v>
      </c>
      <c r="N323" t="str">
        <f t="shared" si="111"/>
        <v>0.00</v>
      </c>
      <c r="O323" t="str">
        <f>"736629"</f>
        <v>736629</v>
      </c>
      <c r="P323" t="str">
        <f>"A400948245"</f>
        <v>A400948245</v>
      </c>
    </row>
    <row r="324" spans="1:16" x14ac:dyDescent="0.25">
      <c r="A324" t="str">
        <f t="shared" si="109"/>
        <v>人民币</v>
      </c>
      <c r="B324" t="str">
        <f>" "</f>
        <v xml:space="preserve"> </v>
      </c>
      <c r="C324" t="str">
        <f>"20181218"</f>
        <v>20181218</v>
      </c>
      <c r="D324" t="str">
        <f>"---"</f>
        <v>---</v>
      </c>
      <c r="E324" t="str">
        <f>"---"</f>
        <v>---</v>
      </c>
      <c r="F324" t="str">
        <f>"10000.00"</f>
        <v>10000.00</v>
      </c>
      <c r="G324" t="str">
        <f>"10315.33"</f>
        <v>10315.33</v>
      </c>
      <c r="H324" t="str">
        <f>"---"</f>
        <v>---</v>
      </c>
      <c r="I324" t="str">
        <f>"---"</f>
        <v>---</v>
      </c>
      <c r="J324" t="str">
        <f>"银行转存"</f>
        <v>银行转存</v>
      </c>
      <c r="K324" t="str">
        <f t="shared" ref="K324:P324" si="112">"---"</f>
        <v>---</v>
      </c>
      <c r="L324" t="str">
        <f t="shared" si="112"/>
        <v>---</v>
      </c>
      <c r="M324" t="str">
        <f t="shared" si="112"/>
        <v>---</v>
      </c>
      <c r="N324" t="str">
        <f t="shared" si="112"/>
        <v>---</v>
      </c>
      <c r="O324" t="str">
        <f t="shared" si="112"/>
        <v>---</v>
      </c>
      <c r="P324" t="str">
        <f t="shared" si="112"/>
        <v>---</v>
      </c>
    </row>
    <row r="325" spans="1:16" x14ac:dyDescent="0.25">
      <c r="A325" t="str">
        <f t="shared" si="109"/>
        <v>人民币</v>
      </c>
      <c r="B325" t="str">
        <f>"紫银配号"</f>
        <v>紫银配号</v>
      </c>
      <c r="C325" t="str">
        <f>"20181218"</f>
        <v>20181218</v>
      </c>
      <c r="D325" t="str">
        <f>"0.000"</f>
        <v>0.000</v>
      </c>
      <c r="E325" t="str">
        <f>"5.00"</f>
        <v>5.00</v>
      </c>
      <c r="F325" t="str">
        <f>"0.00"</f>
        <v>0.00</v>
      </c>
      <c r="G325" t="str">
        <f>"10315.33"</f>
        <v>10315.33</v>
      </c>
      <c r="H325" t="str">
        <f>"0.00"</f>
        <v>0.00</v>
      </c>
      <c r="I325" t="str">
        <f>"85"</f>
        <v>85</v>
      </c>
      <c r="J325" t="str">
        <f>"申购配号(紫银配号)"</f>
        <v>申购配号(紫银配号)</v>
      </c>
      <c r="K325" t="str">
        <f>"0.00"</f>
        <v>0.00</v>
      </c>
      <c r="L325" t="str">
        <f>"0.00"</f>
        <v>0.00</v>
      </c>
      <c r="M325" t="str">
        <f>"0.00"</f>
        <v>0.00</v>
      </c>
      <c r="N325" t="str">
        <f>"0.00"</f>
        <v>0.00</v>
      </c>
      <c r="O325" t="str">
        <f>"791860"</f>
        <v>791860</v>
      </c>
      <c r="P325" t="str">
        <f>"A400948245"</f>
        <v>A400948245</v>
      </c>
    </row>
    <row r="326" spans="1:16" x14ac:dyDescent="0.25">
      <c r="A326" t="str">
        <f t="shared" si="109"/>
        <v>人民币</v>
      </c>
      <c r="B326" t="str">
        <f>"七一二"</f>
        <v>七一二</v>
      </c>
      <c r="C326" t="str">
        <f>"20181218"</f>
        <v>20181218</v>
      </c>
      <c r="D326" t="str">
        <f>"16.530"</f>
        <v>16.530</v>
      </c>
      <c r="E326" t="str">
        <f>"400.00"</f>
        <v>400.00</v>
      </c>
      <c r="F326" t="str">
        <f>"-6617.13"</f>
        <v>-6617.13</v>
      </c>
      <c r="G326" t="str">
        <f>"3698.20"</f>
        <v>3698.20</v>
      </c>
      <c r="H326" t="str">
        <f>"2500.00"</f>
        <v>2500.00</v>
      </c>
      <c r="I326" t="str">
        <f>"87"</f>
        <v>87</v>
      </c>
      <c r="J326" t="str">
        <f>"证券买入(七一二)"</f>
        <v>证券买入(七一二)</v>
      </c>
      <c r="K326" t="str">
        <f>"5.00"</f>
        <v>5.00</v>
      </c>
      <c r="L326" t="str">
        <f>"0.00"</f>
        <v>0.00</v>
      </c>
      <c r="M326" t="str">
        <f>"0.13"</f>
        <v>0.13</v>
      </c>
      <c r="N326" t="str">
        <f>"0.00"</f>
        <v>0.00</v>
      </c>
      <c r="O326" t="str">
        <f>"603712"</f>
        <v>603712</v>
      </c>
      <c r="P326" t="str">
        <f>"A400948245"</f>
        <v>A400948245</v>
      </c>
    </row>
    <row r="327" spans="1:16" x14ac:dyDescent="0.25">
      <c r="A327" t="str">
        <f t="shared" si="109"/>
        <v>人民币</v>
      </c>
      <c r="B327" t="str">
        <f>"上机配号"</f>
        <v>上机配号</v>
      </c>
      <c r="C327" t="str">
        <f>"20181219"</f>
        <v>20181219</v>
      </c>
      <c r="D327" t="str">
        <f>"0.000"</f>
        <v>0.000</v>
      </c>
      <c r="E327" t="str">
        <f>"5.00"</f>
        <v>5.00</v>
      </c>
      <c r="F327" t="str">
        <f>"0.00"</f>
        <v>0.00</v>
      </c>
      <c r="G327" t="str">
        <f>"3698.20"</f>
        <v>3698.20</v>
      </c>
      <c r="H327" t="str">
        <f>"0.00"</f>
        <v>0.00</v>
      </c>
      <c r="I327" t="str">
        <f>"92"</f>
        <v>92</v>
      </c>
      <c r="J327" t="str">
        <f>"申购配号(上机配号)"</f>
        <v>申购配号(上机配号)</v>
      </c>
      <c r="K327" t="str">
        <f>"0.00"</f>
        <v>0.00</v>
      </c>
      <c r="L327" t="str">
        <f>"0.00"</f>
        <v>0.00</v>
      </c>
      <c r="M327" t="str">
        <f>"0.00"</f>
        <v>0.00</v>
      </c>
      <c r="N327" t="str">
        <f>"0.00"</f>
        <v>0.00</v>
      </c>
      <c r="O327" t="str">
        <f>"736185"</f>
        <v>736185</v>
      </c>
      <c r="P327" t="str">
        <f>"A400948245"</f>
        <v>A400948245</v>
      </c>
    </row>
    <row r="328" spans="1:16" x14ac:dyDescent="0.25">
      <c r="A328" t="str">
        <f t="shared" si="109"/>
        <v>人民币</v>
      </c>
      <c r="B328" t="str">
        <f>"七一二"</f>
        <v>七一二</v>
      </c>
      <c r="C328" t="str">
        <f>"20181219"</f>
        <v>20181219</v>
      </c>
      <c r="D328" t="str">
        <f>"17.120"</f>
        <v>17.120</v>
      </c>
      <c r="E328" t="str">
        <f>"-400.00"</f>
        <v>-400.00</v>
      </c>
      <c r="F328" t="str">
        <f>"6836.01"</f>
        <v>6836.01</v>
      </c>
      <c r="G328" t="str">
        <f>"10534.21"</f>
        <v>10534.21</v>
      </c>
      <c r="H328" t="str">
        <f>"2100.00"</f>
        <v>2100.00</v>
      </c>
      <c r="I328" t="str">
        <f>"96"</f>
        <v>96</v>
      </c>
      <c r="J328" t="str">
        <f>"证券卖出(七一二)"</f>
        <v>证券卖出(七一二)</v>
      </c>
      <c r="K328" t="str">
        <f>"5.00"</f>
        <v>5.00</v>
      </c>
      <c r="L328" t="str">
        <f>"6.85"</f>
        <v>6.85</v>
      </c>
      <c r="M328" t="str">
        <f>"0.14"</f>
        <v>0.14</v>
      </c>
      <c r="N328" t="str">
        <f>"0.00"</f>
        <v>0.00</v>
      </c>
      <c r="O328" t="str">
        <f>"603712"</f>
        <v>603712</v>
      </c>
      <c r="P328" t="str">
        <f>"A400948245"</f>
        <v>A400948245</v>
      </c>
    </row>
    <row r="329" spans="1:16" x14ac:dyDescent="0.25">
      <c r="A329" t="str">
        <f t="shared" si="109"/>
        <v>人民币</v>
      </c>
      <c r="B329" t="str">
        <f>"江龙船艇"</f>
        <v>江龙船艇</v>
      </c>
      <c r="C329" t="str">
        <f>"20181219"</f>
        <v>20181219</v>
      </c>
      <c r="D329" t="str">
        <f>"11.990"</f>
        <v>11.990</v>
      </c>
      <c r="E329" t="str">
        <f>"500.00"</f>
        <v>500.00</v>
      </c>
      <c r="F329" t="str">
        <f>"-6000.00"</f>
        <v>-6000.00</v>
      </c>
      <c r="G329" t="str">
        <f>"4534.21"</f>
        <v>4534.21</v>
      </c>
      <c r="H329" t="str">
        <f>"4000.00"</f>
        <v>4000.00</v>
      </c>
      <c r="I329" t="str">
        <f>"99"</f>
        <v>99</v>
      </c>
      <c r="J329" t="str">
        <f>"证券买入(江龙船艇)"</f>
        <v>证券买入(江龙船艇)</v>
      </c>
      <c r="K329" t="str">
        <f>"5.00"</f>
        <v>5.00</v>
      </c>
      <c r="L329" t="str">
        <f>"0.00"</f>
        <v>0.00</v>
      </c>
      <c r="M329" t="str">
        <f>"0.00"</f>
        <v>0.00</v>
      </c>
      <c r="N329" t="str">
        <f>"0.00"</f>
        <v>0.00</v>
      </c>
      <c r="O329" t="str">
        <f>"300589"</f>
        <v>300589</v>
      </c>
      <c r="P329" t="str">
        <f>"0153613480"</f>
        <v>0153613480</v>
      </c>
    </row>
    <row r="330" spans="1:16" x14ac:dyDescent="0.25">
      <c r="A330" t="str">
        <f t="shared" si="109"/>
        <v>人民币</v>
      </c>
      <c r="B330" t="str">
        <f>"中山金马"</f>
        <v>中山金马</v>
      </c>
      <c r="C330" t="str">
        <f>"20181219"</f>
        <v>20181219</v>
      </c>
      <c r="D330" t="str">
        <f>"0.000"</f>
        <v>0.000</v>
      </c>
      <c r="E330" t="str">
        <f>"9.00"</f>
        <v>9.00</v>
      </c>
      <c r="F330" t="str">
        <f>"0.00"</f>
        <v>0.00</v>
      </c>
      <c r="G330" t="str">
        <f>"4534.21"</f>
        <v>4534.21</v>
      </c>
      <c r="H330" t="str">
        <f>"0.00"</f>
        <v>0.00</v>
      </c>
      <c r="I330" t="str">
        <f>"94"</f>
        <v>94</v>
      </c>
      <c r="J330" t="str">
        <f>"申购配号(中山金马)"</f>
        <v>申购配号(中山金马)</v>
      </c>
      <c r="K330" t="str">
        <f>"0.00"</f>
        <v>0.00</v>
      </c>
      <c r="L330" t="str">
        <f>"0.00"</f>
        <v>0.00</v>
      </c>
      <c r="M330" t="str">
        <f>"0.00"</f>
        <v>0.00</v>
      </c>
      <c r="N330" t="str">
        <f>"0.00"</f>
        <v>0.00</v>
      </c>
      <c r="O330" t="str">
        <f>"300756"</f>
        <v>300756</v>
      </c>
      <c r="P330" t="str">
        <f>"0153613480"</f>
        <v>0153613480</v>
      </c>
    </row>
    <row r="331" spans="1:16" x14ac:dyDescent="0.25">
      <c r="A331" t="str">
        <f t="shared" si="109"/>
        <v>人民币</v>
      </c>
      <c r="B331" t="str">
        <f>" "</f>
        <v xml:space="preserve"> </v>
      </c>
      <c r="C331" t="str">
        <f>"20181220"</f>
        <v>20181220</v>
      </c>
      <c r="D331" t="str">
        <f>"---"</f>
        <v>---</v>
      </c>
      <c r="E331" t="str">
        <f>"---"</f>
        <v>---</v>
      </c>
      <c r="F331" t="str">
        <f>"1.58"</f>
        <v>1.58</v>
      </c>
      <c r="G331" t="str">
        <f>"4535.79"</f>
        <v>4535.79</v>
      </c>
      <c r="H331" t="str">
        <f>"---"</f>
        <v>---</v>
      </c>
      <c r="I331" t="str">
        <f>"---"</f>
        <v>---</v>
      </c>
      <c r="J331" t="str">
        <f>"批量利息归本"</f>
        <v>批量利息归本</v>
      </c>
      <c r="K331" t="str">
        <f t="shared" ref="K331:P331" si="113">"---"</f>
        <v>---</v>
      </c>
      <c r="L331" t="str">
        <f t="shared" si="113"/>
        <v>---</v>
      </c>
      <c r="M331" t="str">
        <f t="shared" si="113"/>
        <v>---</v>
      </c>
      <c r="N331" t="str">
        <f t="shared" si="113"/>
        <v>---</v>
      </c>
      <c r="O331" t="str">
        <f t="shared" si="113"/>
        <v>---</v>
      </c>
      <c r="P331" t="str">
        <f t="shared" si="113"/>
        <v>---</v>
      </c>
    </row>
    <row r="332" spans="1:16" x14ac:dyDescent="0.25">
      <c r="A332" t="str">
        <f t="shared" si="109"/>
        <v>人民币</v>
      </c>
      <c r="B332" t="str">
        <f>"江龙船艇"</f>
        <v>江龙船艇</v>
      </c>
      <c r="C332" t="str">
        <f>"20181220"</f>
        <v>20181220</v>
      </c>
      <c r="D332" t="str">
        <f>"11.340"</f>
        <v>11.340</v>
      </c>
      <c r="E332" t="str">
        <f>"300.00"</f>
        <v>300.00</v>
      </c>
      <c r="F332" t="str">
        <f>"-3407.00"</f>
        <v>-3407.00</v>
      </c>
      <c r="G332" t="str">
        <f>"1128.79"</f>
        <v>1128.79</v>
      </c>
      <c r="H332" t="str">
        <f>"4300.00"</f>
        <v>4300.00</v>
      </c>
      <c r="I332" t="str">
        <f>"112"</f>
        <v>112</v>
      </c>
      <c r="J332" t="str">
        <f>"证券买入(江龙船艇)"</f>
        <v>证券买入(江龙船艇)</v>
      </c>
      <c r="K332" t="str">
        <f>"5.00"</f>
        <v>5.00</v>
      </c>
      <c r="L332" t="str">
        <f>"0.00"</f>
        <v>0.00</v>
      </c>
      <c r="M332" t="str">
        <f>"0.00"</f>
        <v>0.00</v>
      </c>
      <c r="N332" t="str">
        <f>"0.00"</f>
        <v>0.00</v>
      </c>
      <c r="O332" t="str">
        <f>"300589"</f>
        <v>300589</v>
      </c>
      <c r="P332" t="str">
        <f>"0153613480"</f>
        <v>0153613480</v>
      </c>
    </row>
    <row r="333" spans="1:16" x14ac:dyDescent="0.25">
      <c r="A333" t="str">
        <f t="shared" si="109"/>
        <v>人民币</v>
      </c>
      <c r="B333" t="str">
        <f>"七一二"</f>
        <v>七一二</v>
      </c>
      <c r="C333" t="str">
        <f>"20181225"</f>
        <v>20181225</v>
      </c>
      <c r="D333" t="str">
        <f>"19.170"</f>
        <v>19.170</v>
      </c>
      <c r="E333" t="str">
        <f>"-300.00"</f>
        <v>-300.00</v>
      </c>
      <c r="F333" t="str">
        <f>"5739.38"</f>
        <v>5739.38</v>
      </c>
      <c r="G333" t="str">
        <f>"6868.17"</f>
        <v>6868.17</v>
      </c>
      <c r="H333" t="str">
        <f>"1800.00"</f>
        <v>1800.00</v>
      </c>
      <c r="I333" t="str">
        <f>"120"</f>
        <v>120</v>
      </c>
      <c r="J333" t="str">
        <f>"证券卖出(七一二)"</f>
        <v>证券卖出(七一二)</v>
      </c>
      <c r="K333" t="str">
        <f>"5.75"</f>
        <v>5.75</v>
      </c>
      <c r="L333" t="str">
        <f>"5.75"</f>
        <v>5.75</v>
      </c>
      <c r="M333" t="str">
        <f>"0.12"</f>
        <v>0.12</v>
      </c>
      <c r="N333" t="str">
        <f>"0.00"</f>
        <v>0.00</v>
      </c>
      <c r="O333" t="str">
        <f>"603712"</f>
        <v>603712</v>
      </c>
      <c r="P333" t="str">
        <f>"A400948245"</f>
        <v>A400948245</v>
      </c>
    </row>
    <row r="334" spans="1:16" x14ac:dyDescent="0.25">
      <c r="A334" t="str">
        <f t="shared" si="109"/>
        <v>人民币</v>
      </c>
      <c r="B334" t="str">
        <f>" "</f>
        <v xml:space="preserve"> </v>
      </c>
      <c r="C334" t="str">
        <f>"20181226"</f>
        <v>20181226</v>
      </c>
      <c r="D334" t="str">
        <f>"---"</f>
        <v>---</v>
      </c>
      <c r="E334" t="str">
        <f>"---"</f>
        <v>---</v>
      </c>
      <c r="F334" t="str">
        <f>"5000.00"</f>
        <v>5000.00</v>
      </c>
      <c r="G334" t="str">
        <f>"11868.17"</f>
        <v>11868.17</v>
      </c>
      <c r="H334" t="str">
        <f>"---"</f>
        <v>---</v>
      </c>
      <c r="I334" t="str">
        <f>"---"</f>
        <v>---</v>
      </c>
      <c r="J334" t="str">
        <f>"银行转存"</f>
        <v>银行转存</v>
      </c>
      <c r="K334" t="str">
        <f t="shared" ref="K334:P334" si="114">"---"</f>
        <v>---</v>
      </c>
      <c r="L334" t="str">
        <f t="shared" si="114"/>
        <v>---</v>
      </c>
      <c r="M334" t="str">
        <f t="shared" si="114"/>
        <v>---</v>
      </c>
      <c r="N334" t="str">
        <f t="shared" si="114"/>
        <v>---</v>
      </c>
      <c r="O334" t="str">
        <f t="shared" si="114"/>
        <v>---</v>
      </c>
      <c r="P334" t="str">
        <f t="shared" si="114"/>
        <v>---</v>
      </c>
    </row>
    <row r="335" spans="1:16" x14ac:dyDescent="0.25">
      <c r="A335" t="str">
        <f t="shared" si="109"/>
        <v>人民币</v>
      </c>
      <c r="B335" t="str">
        <f>"七一二"</f>
        <v>七一二</v>
      </c>
      <c r="C335" t="str">
        <f>"20181226"</f>
        <v>20181226</v>
      </c>
      <c r="D335" t="str">
        <f>"18.540"</f>
        <v>18.540</v>
      </c>
      <c r="E335" t="str">
        <f>"300.00"</f>
        <v>300.00</v>
      </c>
      <c r="F335" t="str">
        <f>"-5567.67"</f>
        <v>-5567.67</v>
      </c>
      <c r="G335" t="str">
        <f>"6300.50"</f>
        <v>6300.50</v>
      </c>
      <c r="H335" t="str">
        <f>"2100.00"</f>
        <v>2100.00</v>
      </c>
      <c r="I335" t="str">
        <f>"126"</f>
        <v>126</v>
      </c>
      <c r="J335" t="str">
        <f>"证券买入(七一二)"</f>
        <v>证券买入(七一二)</v>
      </c>
      <c r="K335" t="str">
        <f>"5.56"</f>
        <v>5.56</v>
      </c>
      <c r="L335" t="str">
        <f>"0.00"</f>
        <v>0.00</v>
      </c>
      <c r="M335" t="str">
        <f>"0.11"</f>
        <v>0.11</v>
      </c>
      <c r="N335" t="str">
        <f>"0.00"</f>
        <v>0.00</v>
      </c>
      <c r="O335" t="str">
        <f>"603712"</f>
        <v>603712</v>
      </c>
      <c r="P335" t="str">
        <f>"A400948245"</f>
        <v>A400948245</v>
      </c>
    </row>
    <row r="336" spans="1:16" x14ac:dyDescent="0.25">
      <c r="A336" t="str">
        <f t="shared" si="109"/>
        <v>人民币</v>
      </c>
      <c r="B336" t="str">
        <f>"七一二"</f>
        <v>七一二</v>
      </c>
      <c r="C336" t="str">
        <f>"20181226"</f>
        <v>20181226</v>
      </c>
      <c r="D336" t="str">
        <f>"18.160"</f>
        <v>18.160</v>
      </c>
      <c r="E336" t="str">
        <f>"300.00"</f>
        <v>300.00</v>
      </c>
      <c r="F336" t="str">
        <f>"-5453.56"</f>
        <v>-5453.56</v>
      </c>
      <c r="G336" t="str">
        <f>"846.94"</f>
        <v>846.94</v>
      </c>
      <c r="H336" t="str">
        <f>"2400.00"</f>
        <v>2400.00</v>
      </c>
      <c r="I336" t="str">
        <f>"131"</f>
        <v>131</v>
      </c>
      <c r="J336" t="str">
        <f>"证券买入(七一二)"</f>
        <v>证券买入(七一二)</v>
      </c>
      <c r="K336" t="str">
        <f>"5.45"</f>
        <v>5.45</v>
      </c>
      <c r="L336" t="str">
        <f>"0.00"</f>
        <v>0.00</v>
      </c>
      <c r="M336" t="str">
        <f>"0.11"</f>
        <v>0.11</v>
      </c>
      <c r="N336" t="str">
        <f>"0.00"</f>
        <v>0.00</v>
      </c>
      <c r="O336" t="str">
        <f>"603712"</f>
        <v>603712</v>
      </c>
      <c r="P336" t="str">
        <f>"A400948245"</f>
        <v>A400948245</v>
      </c>
    </row>
    <row r="337" spans="1:16" x14ac:dyDescent="0.25">
      <c r="A337" t="str">
        <f t="shared" si="109"/>
        <v>人民币</v>
      </c>
      <c r="B337" t="str">
        <f>"罗博特科"</f>
        <v>罗博特科</v>
      </c>
      <c r="C337" t="str">
        <f>"20181226"</f>
        <v>20181226</v>
      </c>
      <c r="D337" t="str">
        <f>"0.000"</f>
        <v>0.000</v>
      </c>
      <c r="E337" t="str">
        <f>"10.00"</f>
        <v>10.00</v>
      </c>
      <c r="F337" t="str">
        <f>"0.00"</f>
        <v>0.00</v>
      </c>
      <c r="G337" t="str">
        <f>"846.94"</f>
        <v>846.94</v>
      </c>
      <c r="H337" t="str">
        <f>"0.00"</f>
        <v>0.00</v>
      </c>
      <c r="I337" t="str">
        <f>"124"</f>
        <v>124</v>
      </c>
      <c r="J337" t="str">
        <f>"申购配号(罗博特科)"</f>
        <v>申购配号(罗博特科)</v>
      </c>
      <c r="K337" t="str">
        <f>"0.00"</f>
        <v>0.00</v>
      </c>
      <c r="L337" t="str">
        <f>"0.00"</f>
        <v>0.00</v>
      </c>
      <c r="M337" t="str">
        <f>"0.00"</f>
        <v>0.00</v>
      </c>
      <c r="N337" t="str">
        <f>"0.00"</f>
        <v>0.00</v>
      </c>
      <c r="O337" t="str">
        <f>"300757"</f>
        <v>300757</v>
      </c>
      <c r="P337" t="str">
        <f>"0153613480"</f>
        <v>0153613480</v>
      </c>
    </row>
    <row r="338" spans="1:16" x14ac:dyDescent="0.25">
      <c r="A338" t="str">
        <f t="shared" si="109"/>
        <v>人民币</v>
      </c>
      <c r="B338" t="str">
        <f>"华培配号"</f>
        <v>华培配号</v>
      </c>
      <c r="C338" t="str">
        <f>"20181227"</f>
        <v>20181227</v>
      </c>
      <c r="D338" t="str">
        <f>"0.000"</f>
        <v>0.000</v>
      </c>
      <c r="E338" t="str">
        <f>"4.00"</f>
        <v>4.00</v>
      </c>
      <c r="F338" t="str">
        <f>"0.00"</f>
        <v>0.00</v>
      </c>
      <c r="G338" t="str">
        <f>"846.94"</f>
        <v>846.94</v>
      </c>
      <c r="H338" t="str">
        <f>"0.00"</f>
        <v>0.00</v>
      </c>
      <c r="I338" t="str">
        <f>"137"</f>
        <v>137</v>
      </c>
      <c r="J338" t="str">
        <f>"申购配号(华培配号)"</f>
        <v>申购配号(华培配号)</v>
      </c>
      <c r="K338" t="str">
        <f>"0.00"</f>
        <v>0.00</v>
      </c>
      <c r="L338" t="str">
        <f>"0.00"</f>
        <v>0.00</v>
      </c>
      <c r="M338" t="str">
        <f>"0.00"</f>
        <v>0.00</v>
      </c>
      <c r="N338" t="str">
        <f>"0.00"</f>
        <v>0.00</v>
      </c>
      <c r="O338" t="str">
        <f>"736121"</f>
        <v>736121</v>
      </c>
      <c r="P338" t="str">
        <f>"A400948245"</f>
        <v>A400948245</v>
      </c>
    </row>
  </sheetData>
  <autoFilter ref="A1:P338"/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4"/>
  <sheetViews>
    <sheetView tabSelected="1" topLeftCell="A604" workbookViewId="0">
      <selection activeCell="A625" sqref="A625:XFD625"/>
    </sheetView>
  </sheetViews>
  <sheetFormatPr defaultRowHeight="13.8" x14ac:dyDescent="0.25"/>
  <cols>
    <col min="2" max="2" width="17" customWidth="1"/>
    <col min="10" max="10" width="26.6640625" customWidth="1"/>
  </cols>
  <sheetData>
    <row r="1" spans="1:16" x14ac:dyDescent="0.25">
      <c r="A1" t="str">
        <f>"币种"</f>
        <v>币种</v>
      </c>
      <c r="B1" t="str">
        <f>"证券名称"</f>
        <v>证券名称</v>
      </c>
      <c r="C1" t="str">
        <f>"成交日期"</f>
        <v>成交日期</v>
      </c>
      <c r="D1" t="str">
        <f>"成交价格"</f>
        <v>成交价格</v>
      </c>
      <c r="E1" t="str">
        <f>"成交数量"</f>
        <v>成交数量</v>
      </c>
      <c r="F1" t="str">
        <f>"发生金额"</f>
        <v>发生金额</v>
      </c>
      <c r="G1" t="str">
        <f>"资金余额"</f>
        <v>资金余额</v>
      </c>
      <c r="H1" t="str">
        <f>"剩余数量"</f>
        <v>剩余数量</v>
      </c>
      <c r="I1" t="str">
        <f>"合同编号"</f>
        <v>合同编号</v>
      </c>
      <c r="J1" t="str">
        <f>"业务名称"</f>
        <v>业务名称</v>
      </c>
      <c r="K1" t="str">
        <f>"手续费"</f>
        <v>手续费</v>
      </c>
      <c r="L1" t="str">
        <f>"印花税"</f>
        <v>印花税</v>
      </c>
      <c r="M1" t="str">
        <f>"过户费"</f>
        <v>过户费</v>
      </c>
      <c r="N1" t="str">
        <f>"结算费"</f>
        <v>结算费</v>
      </c>
      <c r="O1" t="str">
        <f>"证券代码"</f>
        <v>证券代码</v>
      </c>
      <c r="P1" t="str">
        <f>"股东代码"</f>
        <v>股东代码</v>
      </c>
    </row>
    <row r="2" spans="1:16" x14ac:dyDescent="0.25">
      <c r="A2" t="str">
        <f t="shared" ref="A2:A65" si="0">"人民币"</f>
        <v>人民币</v>
      </c>
      <c r="B2" t="str">
        <f>"江龙船艇"</f>
        <v>江龙船艇</v>
      </c>
      <c r="C2" t="str">
        <f>"20190103"</f>
        <v>20190103</v>
      </c>
      <c r="D2" t="str">
        <f>"12.389"</f>
        <v>12.389</v>
      </c>
      <c r="E2" t="str">
        <f>"-800.00"</f>
        <v>-800.00</v>
      </c>
      <c r="F2" t="str">
        <f>"9891.18"</f>
        <v>9891.18</v>
      </c>
      <c r="G2" t="str">
        <f>"17579.94"</f>
        <v>17579.94</v>
      </c>
      <c r="H2" t="str">
        <f>"3500.00"</f>
        <v>3500.00</v>
      </c>
      <c r="I2" t="str">
        <f>"142"</f>
        <v>142</v>
      </c>
      <c r="J2" t="str">
        <f>"证券卖出(江龙船艇)"</f>
        <v>证券卖出(江龙船艇)</v>
      </c>
      <c r="K2" t="str">
        <f>"9.91"</f>
        <v>9.91</v>
      </c>
      <c r="L2" t="str">
        <f>"9.91"</f>
        <v>9.91</v>
      </c>
      <c r="M2" t="str">
        <f>"0.00"</f>
        <v>0.00</v>
      </c>
      <c r="N2" t="str">
        <f>"0.00"</f>
        <v>0.00</v>
      </c>
      <c r="O2" t="str">
        <f>"300589"</f>
        <v>300589</v>
      </c>
      <c r="P2" t="str">
        <f>"0153613480"</f>
        <v>0153613480</v>
      </c>
    </row>
    <row r="3" spans="1:16" x14ac:dyDescent="0.25">
      <c r="A3" t="str">
        <f t="shared" si="0"/>
        <v>人民币</v>
      </c>
      <c r="B3" t="str">
        <f>"蔚蓝配号"</f>
        <v>蔚蓝配号</v>
      </c>
      <c r="C3" t="str">
        <f>"20190103"</f>
        <v>20190103</v>
      </c>
      <c r="D3" t="str">
        <f>"0.000"</f>
        <v>0.000</v>
      </c>
      <c r="E3" t="str">
        <f>"5.00"</f>
        <v>5.00</v>
      </c>
      <c r="F3" t="str">
        <f>"0.00"</f>
        <v>0.00</v>
      </c>
      <c r="G3" t="str">
        <f>"846.94"</f>
        <v>846.94</v>
      </c>
      <c r="H3" t="str">
        <f>"0.00"</f>
        <v>0.00</v>
      </c>
      <c r="I3" t="str">
        <f>"140"</f>
        <v>140</v>
      </c>
      <c r="J3" t="str">
        <f>"申购配号(蔚蓝配号)"</f>
        <v>申购配号(蔚蓝配号)</v>
      </c>
      <c r="K3" t="str">
        <f>"0.00"</f>
        <v>0.00</v>
      </c>
      <c r="L3" t="str">
        <f>"0.00"</f>
        <v>0.00</v>
      </c>
      <c r="M3" t="str">
        <f>"0.00"</f>
        <v>0.00</v>
      </c>
      <c r="N3" t="str">
        <f>"0.00"</f>
        <v>0.00</v>
      </c>
      <c r="O3" t="str">
        <f>"736739"</f>
        <v>736739</v>
      </c>
      <c r="P3" t="str">
        <f>"A400948245"</f>
        <v>A400948245</v>
      </c>
    </row>
    <row r="4" spans="1:16" x14ac:dyDescent="0.25">
      <c r="A4" t="str">
        <f t="shared" si="0"/>
        <v>人民币</v>
      </c>
      <c r="B4" t="str">
        <f>"中通国脉"</f>
        <v>中通国脉</v>
      </c>
      <c r="C4" t="str">
        <f>"20190103"</f>
        <v>20190103</v>
      </c>
      <c r="D4" t="str">
        <f>"22.810"</f>
        <v>22.810</v>
      </c>
      <c r="E4" t="str">
        <f>"200.00"</f>
        <v>200.00</v>
      </c>
      <c r="F4" t="str">
        <f>"-4567.09"</f>
        <v>-4567.09</v>
      </c>
      <c r="G4" t="str">
        <f>"7688.76"</f>
        <v>7688.76</v>
      </c>
      <c r="H4" t="str">
        <f>"800.00"</f>
        <v>800.00</v>
      </c>
      <c r="I4" t="str">
        <f>"149"</f>
        <v>149</v>
      </c>
      <c r="J4" t="str">
        <f>"证券买入(中通国脉)"</f>
        <v>证券买入(中通国脉)</v>
      </c>
      <c r="K4" t="str">
        <f>"5.00"</f>
        <v>5.00</v>
      </c>
      <c r="L4" t="str">
        <f>"0.00"</f>
        <v>0.00</v>
      </c>
      <c r="M4" t="str">
        <f>"0.09"</f>
        <v>0.09</v>
      </c>
      <c r="N4" t="str">
        <f t="shared" ref="N4:N11" si="1">"0.00"</f>
        <v>0.00</v>
      </c>
      <c r="O4" t="str">
        <f>"603559"</f>
        <v>603559</v>
      </c>
      <c r="P4" t="str">
        <f>"A400948245"</f>
        <v>A400948245</v>
      </c>
    </row>
    <row r="5" spans="1:16" x14ac:dyDescent="0.25">
      <c r="A5" t="str">
        <f t="shared" si="0"/>
        <v>人民币</v>
      </c>
      <c r="B5" t="str">
        <f>"七一二"</f>
        <v>七一二</v>
      </c>
      <c r="C5" t="str">
        <f>"20190103"</f>
        <v>20190103</v>
      </c>
      <c r="D5" t="str">
        <f>"19.053"</f>
        <v>19.053</v>
      </c>
      <c r="E5" t="str">
        <f>"-600.00"</f>
        <v>-600.00</v>
      </c>
      <c r="F5" t="str">
        <f>"11408.91"</f>
        <v>11408.91</v>
      </c>
      <c r="G5" t="str">
        <f>"12255.85"</f>
        <v>12255.85</v>
      </c>
      <c r="H5" t="str">
        <f>"1800.00"</f>
        <v>1800.00</v>
      </c>
      <c r="I5" t="str">
        <f>"145"</f>
        <v>145</v>
      </c>
      <c r="J5" t="str">
        <f>"证券卖出(七一二)"</f>
        <v>证券卖出(七一二)</v>
      </c>
      <c r="K5" t="str">
        <f>"11.43"</f>
        <v>11.43</v>
      </c>
      <c r="L5" t="str">
        <f>"11.43"</f>
        <v>11.43</v>
      </c>
      <c r="M5" t="str">
        <f>"0.23"</f>
        <v>0.23</v>
      </c>
      <c r="N5" t="str">
        <f t="shared" si="1"/>
        <v>0.00</v>
      </c>
      <c r="O5" t="str">
        <f>"603712"</f>
        <v>603712</v>
      </c>
      <c r="P5" t="str">
        <f>"A400948245"</f>
        <v>A400948245</v>
      </c>
    </row>
    <row r="6" spans="1:16" x14ac:dyDescent="0.25">
      <c r="A6" t="str">
        <f t="shared" si="0"/>
        <v>人民币</v>
      </c>
      <c r="B6" t="str">
        <f>"青岛银行"</f>
        <v>青岛银行</v>
      </c>
      <c r="C6" t="str">
        <f t="shared" ref="C6:C14" si="2">"20190104"</f>
        <v>20190104</v>
      </c>
      <c r="D6" t="str">
        <f>"0.000"</f>
        <v>0.000</v>
      </c>
      <c r="E6" t="str">
        <f>"11.00"</f>
        <v>11.00</v>
      </c>
      <c r="F6" t="str">
        <f>"0.00"</f>
        <v>0.00</v>
      </c>
      <c r="G6" t="str">
        <f>"2967.10"</f>
        <v>2967.10</v>
      </c>
      <c r="H6" t="str">
        <f>"0.00"</f>
        <v>0.00</v>
      </c>
      <c r="I6" t="str">
        <f>"7"</f>
        <v>7</v>
      </c>
      <c r="J6" t="str">
        <f>"申购配号(青岛银行)"</f>
        <v>申购配号(青岛银行)</v>
      </c>
      <c r="K6" t="str">
        <f>"0.00"</f>
        <v>0.00</v>
      </c>
      <c r="L6" t="str">
        <f>"0.00"</f>
        <v>0.00</v>
      </c>
      <c r="M6" t="str">
        <f>"0.00"</f>
        <v>0.00</v>
      </c>
      <c r="N6" t="str">
        <f t="shared" si="1"/>
        <v>0.00</v>
      </c>
      <c r="O6" t="str">
        <f>"002948"</f>
        <v>002948</v>
      </c>
      <c r="P6" t="str">
        <f>"0153613480"</f>
        <v>0153613480</v>
      </c>
    </row>
    <row r="7" spans="1:16" x14ac:dyDescent="0.25">
      <c r="A7" t="str">
        <f t="shared" si="0"/>
        <v>人民币</v>
      </c>
      <c r="B7" t="str">
        <f>"江龙船艇"</f>
        <v>江龙船艇</v>
      </c>
      <c r="C7" t="str">
        <f t="shared" si="2"/>
        <v>20190104</v>
      </c>
      <c r="D7" t="str">
        <f>"12.130"</f>
        <v>12.130</v>
      </c>
      <c r="E7" t="str">
        <f>"-500.00"</f>
        <v>-500.00</v>
      </c>
      <c r="F7" t="str">
        <f>"6052.86"</f>
        <v>6052.86</v>
      </c>
      <c r="G7" t="str">
        <f>"2967.10"</f>
        <v>2967.10</v>
      </c>
      <c r="H7" t="str">
        <f>"3500.00"</f>
        <v>3500.00</v>
      </c>
      <c r="I7" t="str">
        <f>"17"</f>
        <v>17</v>
      </c>
      <c r="J7" t="str">
        <f>"证券卖出(江龙船艇)"</f>
        <v>证券卖出(江龙船艇)</v>
      </c>
      <c r="K7" t="str">
        <f>"6.07"</f>
        <v>6.07</v>
      </c>
      <c r="L7" t="str">
        <f>"6.07"</f>
        <v>6.07</v>
      </c>
      <c r="M7" t="str">
        <f>"0.00"</f>
        <v>0.00</v>
      </c>
      <c r="N7" t="str">
        <f t="shared" si="1"/>
        <v>0.00</v>
      </c>
      <c r="O7" t="str">
        <f>"300589"</f>
        <v>300589</v>
      </c>
      <c r="P7" t="str">
        <f>"0153613480"</f>
        <v>0153613480</v>
      </c>
    </row>
    <row r="8" spans="1:16" x14ac:dyDescent="0.25">
      <c r="A8" t="str">
        <f t="shared" si="0"/>
        <v>人民币</v>
      </c>
      <c r="B8" t="str">
        <f>"江龙船艇"</f>
        <v>江龙船艇</v>
      </c>
      <c r="C8" t="str">
        <f t="shared" si="2"/>
        <v>20190104</v>
      </c>
      <c r="D8" t="str">
        <f>"11.670"</f>
        <v>11.670</v>
      </c>
      <c r="E8" t="str">
        <f>"500.00"</f>
        <v>500.00</v>
      </c>
      <c r="F8" t="str">
        <f>"-5840.84"</f>
        <v>-5840.84</v>
      </c>
      <c r="G8" t="str">
        <f>"-3085.76"</f>
        <v>-3085.76</v>
      </c>
      <c r="H8" t="str">
        <f>"4000.00"</f>
        <v>4000.00</v>
      </c>
      <c r="I8" t="str">
        <f>"11"</f>
        <v>11</v>
      </c>
      <c r="J8" t="str">
        <f>"证券买入(江龙船艇)"</f>
        <v>证券买入(江龙船艇)</v>
      </c>
      <c r="K8" t="str">
        <f>"5.84"</f>
        <v>5.84</v>
      </c>
      <c r="L8" t="str">
        <f>"0.00"</f>
        <v>0.00</v>
      </c>
      <c r="M8" t="str">
        <f>"0.00"</f>
        <v>0.00</v>
      </c>
      <c r="N8" t="str">
        <f t="shared" si="1"/>
        <v>0.00</v>
      </c>
      <c r="O8" t="str">
        <f>"300589"</f>
        <v>300589</v>
      </c>
      <c r="P8" t="str">
        <f>"0153613480"</f>
        <v>0153613480</v>
      </c>
    </row>
    <row r="9" spans="1:16" x14ac:dyDescent="0.25">
      <c r="A9" t="str">
        <f t="shared" si="0"/>
        <v>人民币</v>
      </c>
      <c r="B9" t="str">
        <f>"七一二"</f>
        <v>七一二</v>
      </c>
      <c r="C9" t="str">
        <f t="shared" si="2"/>
        <v>20190104</v>
      </c>
      <c r="D9" t="str">
        <f>"18.710"</f>
        <v>18.710</v>
      </c>
      <c r="E9" t="str">
        <f>"-300.00"</f>
        <v>-300.00</v>
      </c>
      <c r="F9" t="str">
        <f>"5601.67"</f>
        <v>5601.67</v>
      </c>
      <c r="G9" t="str">
        <f>"2755.08"</f>
        <v>2755.08</v>
      </c>
      <c r="H9" t="str">
        <f>"1800.00"</f>
        <v>1800.00</v>
      </c>
      <c r="I9" t="str">
        <f>"14"</f>
        <v>14</v>
      </c>
      <c r="J9" t="str">
        <f>"证券卖出(七一二)"</f>
        <v>证券卖出(七一二)</v>
      </c>
      <c r="K9" t="str">
        <f>"5.61"</f>
        <v>5.61</v>
      </c>
      <c r="L9" t="str">
        <f>"5.61"</f>
        <v>5.61</v>
      </c>
      <c r="M9" t="str">
        <f>"0.11"</f>
        <v>0.11</v>
      </c>
      <c r="N9" t="str">
        <f t="shared" si="1"/>
        <v>0.00</v>
      </c>
      <c r="O9" t="str">
        <f>"603712"</f>
        <v>603712</v>
      </c>
      <c r="P9" t="str">
        <f>"A400948245"</f>
        <v>A400948245</v>
      </c>
    </row>
    <row r="10" spans="1:16" x14ac:dyDescent="0.25">
      <c r="A10" t="str">
        <f t="shared" si="0"/>
        <v>人民币</v>
      </c>
      <c r="B10" t="str">
        <f>"龙杰配号"</f>
        <v>龙杰配号</v>
      </c>
      <c r="C10" t="str">
        <f t="shared" si="2"/>
        <v>20190104</v>
      </c>
      <c r="D10" t="str">
        <f>"0.000"</f>
        <v>0.000</v>
      </c>
      <c r="E10" t="str">
        <f>"5.00"</f>
        <v>5.00</v>
      </c>
      <c r="F10" t="str">
        <f>"0.00"</f>
        <v>0.00</v>
      </c>
      <c r="G10" t="str">
        <f>"-2846.59"</f>
        <v>-2846.59</v>
      </c>
      <c r="H10" t="str">
        <f>"0.00"</f>
        <v>0.00</v>
      </c>
      <c r="I10" t="str">
        <f>"9"</f>
        <v>9</v>
      </c>
      <c r="J10" t="str">
        <f>"申购配号(龙杰配号)"</f>
        <v>申购配号(龙杰配号)</v>
      </c>
      <c r="K10" t="str">
        <f>"0.00"</f>
        <v>0.00</v>
      </c>
      <c r="L10" t="str">
        <f>"0.00"</f>
        <v>0.00</v>
      </c>
      <c r="M10" t="str">
        <f>"0.00"</f>
        <v>0.00</v>
      </c>
      <c r="N10" t="str">
        <f t="shared" si="1"/>
        <v>0.00</v>
      </c>
      <c r="O10" t="str">
        <f>"736332"</f>
        <v>736332</v>
      </c>
      <c r="P10" t="str">
        <f>"A400948245"</f>
        <v>A400948245</v>
      </c>
    </row>
    <row r="11" spans="1:16" x14ac:dyDescent="0.25">
      <c r="A11" t="str">
        <f t="shared" si="0"/>
        <v>人民币</v>
      </c>
      <c r="B11" t="str">
        <f>"七一二"</f>
        <v>七一二</v>
      </c>
      <c r="C11" t="str">
        <f t="shared" si="2"/>
        <v>20190104</v>
      </c>
      <c r="D11" t="str">
        <f>"18.070"</f>
        <v>18.070</v>
      </c>
      <c r="E11" t="str">
        <f>"300.00"</f>
        <v>300.00</v>
      </c>
      <c r="F11" t="str">
        <f>"-5426.53"</f>
        <v>-5426.53</v>
      </c>
      <c r="G11" t="str">
        <f>"-2846.59"</f>
        <v>-2846.59</v>
      </c>
      <c r="H11" t="str">
        <f>"2100.00"</f>
        <v>2100.00</v>
      </c>
      <c r="I11" t="str">
        <f>"3"</f>
        <v>3</v>
      </c>
      <c r="J11" t="str">
        <f>"证券买入(七一二)"</f>
        <v>证券买入(七一二)</v>
      </c>
      <c r="K11" t="str">
        <f>"5.42"</f>
        <v>5.42</v>
      </c>
      <c r="L11" t="str">
        <f>"0.00"</f>
        <v>0.00</v>
      </c>
      <c r="M11" t="str">
        <f>"0.11"</f>
        <v>0.11</v>
      </c>
      <c r="N11" t="str">
        <f t="shared" si="1"/>
        <v>0.00</v>
      </c>
      <c r="O11" t="str">
        <f>"603712"</f>
        <v>603712</v>
      </c>
      <c r="P11" t="str">
        <f>"A400948245"</f>
        <v>A400948245</v>
      </c>
    </row>
    <row r="12" spans="1:16" x14ac:dyDescent="0.25">
      <c r="A12" t="str">
        <f t="shared" si="0"/>
        <v>人民币</v>
      </c>
      <c r="B12" t="str">
        <f>""</f>
        <v/>
      </c>
      <c r="C12" t="str">
        <f t="shared" si="2"/>
        <v>20190104</v>
      </c>
      <c r="D12" t="str">
        <f t="shared" ref="D12:E14" si="3">"---"</f>
        <v>---</v>
      </c>
      <c r="E12" t="str">
        <f t="shared" si="3"/>
        <v>---</v>
      </c>
      <c r="F12" t="str">
        <f>"-10000.00"</f>
        <v>-10000.00</v>
      </c>
      <c r="G12" t="str">
        <f>"2579.94"</f>
        <v>2579.94</v>
      </c>
      <c r="H12" t="str">
        <f t="shared" ref="H12:I14" si="4">"---"</f>
        <v>---</v>
      </c>
      <c r="I12" t="str">
        <f t="shared" si="4"/>
        <v>---</v>
      </c>
      <c r="J12" t="str">
        <f>"银行转取"</f>
        <v>银行转取</v>
      </c>
      <c r="K12" t="str">
        <f t="shared" ref="K12:P14" si="5">"---"</f>
        <v>---</v>
      </c>
      <c r="L12" t="str">
        <f t="shared" si="5"/>
        <v>---</v>
      </c>
      <c r="M12" t="str">
        <f t="shared" si="5"/>
        <v>---</v>
      </c>
      <c r="N12" t="str">
        <f t="shared" si="5"/>
        <v>---</v>
      </c>
      <c r="O12" t="str">
        <f t="shared" si="5"/>
        <v>---</v>
      </c>
      <c r="P12" t="str">
        <f t="shared" si="5"/>
        <v>---</v>
      </c>
    </row>
    <row r="13" spans="1:16" x14ac:dyDescent="0.25">
      <c r="A13" t="str">
        <f t="shared" si="0"/>
        <v>人民币</v>
      </c>
      <c r="B13" t="str">
        <f>""</f>
        <v/>
      </c>
      <c r="C13" t="str">
        <f t="shared" si="2"/>
        <v>20190104</v>
      </c>
      <c r="D13" t="str">
        <f t="shared" si="3"/>
        <v>---</v>
      </c>
      <c r="E13" t="str">
        <f t="shared" si="3"/>
        <v>---</v>
      </c>
      <c r="F13" t="str">
        <f>"10000.00"</f>
        <v>10000.00</v>
      </c>
      <c r="G13" t="str">
        <f>"12579.94"</f>
        <v>12579.94</v>
      </c>
      <c r="H13" t="str">
        <f t="shared" si="4"/>
        <v>---</v>
      </c>
      <c r="I13" t="str">
        <f t="shared" si="4"/>
        <v>---</v>
      </c>
      <c r="J13" t="str">
        <f>"银行转存"</f>
        <v>银行转存</v>
      </c>
      <c r="K13" t="str">
        <f t="shared" si="5"/>
        <v>---</v>
      </c>
      <c r="L13" t="str">
        <f t="shared" si="5"/>
        <v>---</v>
      </c>
      <c r="M13" t="str">
        <f t="shared" si="5"/>
        <v>---</v>
      </c>
      <c r="N13" t="str">
        <f t="shared" si="5"/>
        <v>---</v>
      </c>
      <c r="O13" t="str">
        <f t="shared" si="5"/>
        <v>---</v>
      </c>
      <c r="P13" t="str">
        <f t="shared" si="5"/>
        <v>---</v>
      </c>
    </row>
    <row r="14" spans="1:16" x14ac:dyDescent="0.25">
      <c r="A14" t="str">
        <f t="shared" si="0"/>
        <v>人民币</v>
      </c>
      <c r="B14" t="str">
        <f>""</f>
        <v/>
      </c>
      <c r="C14" t="str">
        <f t="shared" si="2"/>
        <v>20190104</v>
      </c>
      <c r="D14" t="str">
        <f t="shared" si="3"/>
        <v>---</v>
      </c>
      <c r="E14" t="str">
        <f t="shared" si="3"/>
        <v>---</v>
      </c>
      <c r="F14" t="str">
        <f>"-15000.00"</f>
        <v>-15000.00</v>
      </c>
      <c r="G14" t="str">
        <f>"2579.94"</f>
        <v>2579.94</v>
      </c>
      <c r="H14" t="str">
        <f t="shared" si="4"/>
        <v>---</v>
      </c>
      <c r="I14" t="str">
        <f t="shared" si="4"/>
        <v>---</v>
      </c>
      <c r="J14" t="str">
        <f>"银行转取"</f>
        <v>银行转取</v>
      </c>
      <c r="K14" t="str">
        <f t="shared" si="5"/>
        <v>---</v>
      </c>
      <c r="L14" t="str">
        <f t="shared" si="5"/>
        <v>---</v>
      </c>
      <c r="M14" t="str">
        <f t="shared" si="5"/>
        <v>---</v>
      </c>
      <c r="N14" t="str">
        <f t="shared" si="5"/>
        <v>---</v>
      </c>
      <c r="O14" t="str">
        <f t="shared" si="5"/>
        <v>---</v>
      </c>
      <c r="P14" t="str">
        <f t="shared" si="5"/>
        <v>---</v>
      </c>
    </row>
    <row r="15" spans="1:16" x14ac:dyDescent="0.25">
      <c r="A15" t="str">
        <f t="shared" si="0"/>
        <v>人民币</v>
      </c>
      <c r="B15" t="str">
        <f>"江龙船艇"</f>
        <v>江龙船艇</v>
      </c>
      <c r="C15" t="str">
        <f>"20190107"</f>
        <v>20190107</v>
      </c>
      <c r="D15" t="str">
        <f>"12.660"</f>
        <v>12.660</v>
      </c>
      <c r="E15" t="str">
        <f>"-500.00"</f>
        <v>-500.00</v>
      </c>
      <c r="F15" t="str">
        <f>"6317.34"</f>
        <v>6317.34</v>
      </c>
      <c r="G15" t="str">
        <f>"14161.55"</f>
        <v>14161.55</v>
      </c>
      <c r="H15" t="str">
        <f>"3500.00"</f>
        <v>3500.00</v>
      </c>
      <c r="I15" t="str">
        <f>"42"</f>
        <v>42</v>
      </c>
      <c r="J15" t="str">
        <f>"证券卖出(江龙船艇)"</f>
        <v>证券卖出(江龙船艇)</v>
      </c>
      <c r="K15" t="str">
        <f>"6.33"</f>
        <v>6.33</v>
      </c>
      <c r="L15" t="str">
        <f>"6.33"</f>
        <v>6.33</v>
      </c>
      <c r="M15" t="str">
        <f>"0.00"</f>
        <v>0.00</v>
      </c>
      <c r="N15" t="str">
        <f>"0.00"</f>
        <v>0.00</v>
      </c>
      <c r="O15" t="str">
        <f>"300589"</f>
        <v>300589</v>
      </c>
      <c r="P15" t="str">
        <f>"0153613480"</f>
        <v>0153613480</v>
      </c>
    </row>
    <row r="16" spans="1:16" x14ac:dyDescent="0.25">
      <c r="A16" t="str">
        <f t="shared" si="0"/>
        <v>人民币</v>
      </c>
      <c r="B16" t="str">
        <f>"江龙船艇"</f>
        <v>江龙船艇</v>
      </c>
      <c r="C16" t="str">
        <f>"20190107"</f>
        <v>20190107</v>
      </c>
      <c r="D16" t="str">
        <f>"12.020"</f>
        <v>12.020</v>
      </c>
      <c r="E16" t="str">
        <f>"500.00"</f>
        <v>500.00</v>
      </c>
      <c r="F16" t="str">
        <f>"-6016.01"</f>
        <v>-6016.01</v>
      </c>
      <c r="G16" t="str">
        <f>"7844.21"</f>
        <v>7844.21</v>
      </c>
      <c r="H16" t="str">
        <f>"4000.00"</f>
        <v>4000.00</v>
      </c>
      <c r="I16" t="str">
        <f>"31"</f>
        <v>31</v>
      </c>
      <c r="J16" t="str">
        <f>"证券买入(江龙船艇)"</f>
        <v>证券买入(江龙船艇)</v>
      </c>
      <c r="K16" t="str">
        <f>"6.01"</f>
        <v>6.01</v>
      </c>
      <c r="L16" t="str">
        <f>"0.00"</f>
        <v>0.00</v>
      </c>
      <c r="M16" t="str">
        <f>"0.00"</f>
        <v>0.00</v>
      </c>
      <c r="N16" t="str">
        <f>"0.00"</f>
        <v>0.00</v>
      </c>
      <c r="O16" t="str">
        <f>"300589"</f>
        <v>300589</v>
      </c>
      <c r="P16" t="str">
        <f>"0153613480"</f>
        <v>0153613480</v>
      </c>
    </row>
    <row r="17" spans="1:16" x14ac:dyDescent="0.25">
      <c r="A17" t="str">
        <f t="shared" si="0"/>
        <v>人民币</v>
      </c>
      <c r="B17" t="str">
        <f>"七一二"</f>
        <v>七一二</v>
      </c>
      <c r="C17" t="str">
        <f>"20190107"</f>
        <v>20190107</v>
      </c>
      <c r="D17" t="str">
        <f>"19.030"</f>
        <v>19.030</v>
      </c>
      <c r="E17" t="str">
        <f>"200.00"</f>
        <v>200.00</v>
      </c>
      <c r="F17" t="str">
        <f>"-3811.08"</f>
        <v>-3811.08</v>
      </c>
      <c r="G17" t="str">
        <f>"13860.22"</f>
        <v>13860.22</v>
      </c>
      <c r="H17" t="str">
        <f>"2000.00"</f>
        <v>2000.00</v>
      </c>
      <c r="I17" t="str">
        <f>"37"</f>
        <v>37</v>
      </c>
      <c r="J17" t="str">
        <f>"证券买入(七一二)"</f>
        <v>证券买入(七一二)</v>
      </c>
      <c r="K17" t="str">
        <f>"5.00"</f>
        <v>5.00</v>
      </c>
      <c r="L17" t="str">
        <f>"0.00"</f>
        <v>0.00</v>
      </c>
      <c r="M17" t="str">
        <f>"0.08"</f>
        <v>0.08</v>
      </c>
      <c r="N17" t="str">
        <f>"0.00"</f>
        <v>0.00</v>
      </c>
      <c r="O17" t="str">
        <f>"603712"</f>
        <v>603712</v>
      </c>
      <c r="P17" t="str">
        <f>"A400948245"</f>
        <v>A400948245</v>
      </c>
    </row>
    <row r="18" spans="1:16" x14ac:dyDescent="0.25">
      <c r="A18" t="str">
        <f t="shared" si="0"/>
        <v>人民币</v>
      </c>
      <c r="B18" t="str">
        <f>"中通国脉"</f>
        <v>中通国脉</v>
      </c>
      <c r="C18" t="str">
        <f>"20190107"</f>
        <v>20190107</v>
      </c>
      <c r="D18" t="str">
        <f>"23.570"</f>
        <v>23.570</v>
      </c>
      <c r="E18" t="str">
        <f>"-200.00"</f>
        <v>-200.00</v>
      </c>
      <c r="F18" t="str">
        <f>"4704.20"</f>
        <v>4704.20</v>
      </c>
      <c r="G18" t="str">
        <f>"17671.30"</f>
        <v>17671.30</v>
      </c>
      <c r="H18" t="str">
        <f>"600.00"</f>
        <v>600.00</v>
      </c>
      <c r="I18" t="str">
        <f>"34"</f>
        <v>34</v>
      </c>
      <c r="J18" t="str">
        <f>"证券卖出(中通国脉)"</f>
        <v>证券卖出(中通国脉)</v>
      </c>
      <c r="K18" t="str">
        <f>"5.00"</f>
        <v>5.00</v>
      </c>
      <c r="L18" t="str">
        <f>"4.71"</f>
        <v>4.71</v>
      </c>
      <c r="M18" t="str">
        <f>"0.09"</f>
        <v>0.09</v>
      </c>
      <c r="N18" t="str">
        <f>"0.00"</f>
        <v>0.00</v>
      </c>
      <c r="O18" t="str">
        <f>"603559"</f>
        <v>603559</v>
      </c>
      <c r="P18" t="str">
        <f>"A400948245"</f>
        <v>A400948245</v>
      </c>
    </row>
    <row r="19" spans="1:16" x14ac:dyDescent="0.25">
      <c r="A19" t="str">
        <f t="shared" si="0"/>
        <v>人民币</v>
      </c>
      <c r="B19" t="str">
        <f>""</f>
        <v/>
      </c>
      <c r="C19" t="str">
        <f>"20190107"</f>
        <v>20190107</v>
      </c>
      <c r="D19" t="str">
        <f>"---"</f>
        <v>---</v>
      </c>
      <c r="E19" t="str">
        <f>"---"</f>
        <v>---</v>
      </c>
      <c r="F19" t="str">
        <f>"10000.00"</f>
        <v>10000.00</v>
      </c>
      <c r="G19" t="str">
        <f>"12967.10"</f>
        <v>12967.10</v>
      </c>
      <c r="H19" t="str">
        <f>"---"</f>
        <v>---</v>
      </c>
      <c r="I19" t="str">
        <f>"---"</f>
        <v>---</v>
      </c>
      <c r="J19" t="str">
        <f>"银行转存"</f>
        <v>银行转存</v>
      </c>
      <c r="K19" t="str">
        <f t="shared" ref="K19:P19" si="6">"---"</f>
        <v>---</v>
      </c>
      <c r="L19" t="str">
        <f t="shared" si="6"/>
        <v>---</v>
      </c>
      <c r="M19" t="str">
        <f t="shared" si="6"/>
        <v>---</v>
      </c>
      <c r="N19" t="str">
        <f t="shared" si="6"/>
        <v>---</v>
      </c>
      <c r="O19" t="str">
        <f t="shared" si="6"/>
        <v>---</v>
      </c>
      <c r="P19" t="str">
        <f t="shared" si="6"/>
        <v>---</v>
      </c>
    </row>
    <row r="20" spans="1:16" x14ac:dyDescent="0.25">
      <c r="A20" t="str">
        <f t="shared" si="0"/>
        <v>人民币</v>
      </c>
      <c r="B20" t="str">
        <f>"华林证券"</f>
        <v>华林证券</v>
      </c>
      <c r="C20" t="str">
        <f>"20190108"</f>
        <v>20190108</v>
      </c>
      <c r="D20" t="str">
        <f>"0.000"</f>
        <v>0.000</v>
      </c>
      <c r="E20" t="str">
        <f>"11.00"</f>
        <v>11.00</v>
      </c>
      <c r="F20" t="str">
        <f>"0.00"</f>
        <v>0.00</v>
      </c>
      <c r="G20" t="str">
        <f>"873.27"</f>
        <v>873.27</v>
      </c>
      <c r="H20" t="str">
        <f>"0.00"</f>
        <v>0.00</v>
      </c>
      <c r="I20" t="str">
        <f>"54"</f>
        <v>54</v>
      </c>
      <c r="J20" t="str">
        <f>"申购配号(华林证券)"</f>
        <v>申购配号(华林证券)</v>
      </c>
      <c r="K20" t="str">
        <f>"0.00"</f>
        <v>0.00</v>
      </c>
      <c r="L20" t="str">
        <f>"0.00"</f>
        <v>0.00</v>
      </c>
      <c r="M20" t="str">
        <f>"0.00"</f>
        <v>0.00</v>
      </c>
      <c r="N20" t="str">
        <f>"0.00"</f>
        <v>0.00</v>
      </c>
      <c r="O20" t="str">
        <f>"002945"</f>
        <v>002945</v>
      </c>
      <c r="P20" t="str">
        <f>"0153613480"</f>
        <v>0153613480</v>
      </c>
    </row>
    <row r="21" spans="1:16" x14ac:dyDescent="0.25">
      <c r="A21" t="str">
        <f t="shared" si="0"/>
        <v>人民币</v>
      </c>
      <c r="B21" t="str">
        <f>"江龙船艇"</f>
        <v>江龙船艇</v>
      </c>
      <c r="C21" t="str">
        <f>"20190108"</f>
        <v>20190108</v>
      </c>
      <c r="D21" t="str">
        <f>"12.000"</f>
        <v>12.000</v>
      </c>
      <c r="E21" t="str">
        <f>"600.00"</f>
        <v>600.00</v>
      </c>
      <c r="F21" t="str">
        <f>"-7207.20"</f>
        <v>-7207.20</v>
      </c>
      <c r="G21" t="str">
        <f>"873.27"</f>
        <v>873.27</v>
      </c>
      <c r="H21" t="str">
        <f>"4600.00"</f>
        <v>4600.00</v>
      </c>
      <c r="I21" t="str">
        <f>"59"</f>
        <v>59</v>
      </c>
      <c r="J21" t="str">
        <f>"证券买入(江龙船艇)"</f>
        <v>证券买入(江龙船艇)</v>
      </c>
      <c r="K21" t="str">
        <f>"7.20"</f>
        <v>7.20</v>
      </c>
      <c r="L21" t="str">
        <f t="shared" ref="L21:N29" si="7">"0.00"</f>
        <v>0.00</v>
      </c>
      <c r="M21" t="str">
        <f t="shared" si="7"/>
        <v>0.00</v>
      </c>
      <c r="N21" t="str">
        <f t="shared" si="7"/>
        <v>0.00</v>
      </c>
      <c r="O21" t="str">
        <f>"300589"</f>
        <v>300589</v>
      </c>
      <c r="P21" t="str">
        <f>"0153613480"</f>
        <v>0153613480</v>
      </c>
    </row>
    <row r="22" spans="1:16" x14ac:dyDescent="0.25">
      <c r="A22" t="str">
        <f t="shared" si="0"/>
        <v>人民币</v>
      </c>
      <c r="B22" t="str">
        <f>"江龙船艇"</f>
        <v>江龙船艇</v>
      </c>
      <c r="C22" t="str">
        <f>"20190108"</f>
        <v>20190108</v>
      </c>
      <c r="D22" t="str">
        <f>"12.150"</f>
        <v>12.150</v>
      </c>
      <c r="E22" t="str">
        <f>"500.00"</f>
        <v>500.00</v>
      </c>
      <c r="F22" t="str">
        <f>"-6081.08"</f>
        <v>-6081.08</v>
      </c>
      <c r="G22" t="str">
        <f>"8080.47"</f>
        <v>8080.47</v>
      </c>
      <c r="H22" t="str">
        <f>"4000.00"</f>
        <v>4000.00</v>
      </c>
      <c r="I22" t="str">
        <f>"56"</f>
        <v>56</v>
      </c>
      <c r="J22" t="str">
        <f>"证券买入(江龙船艇)"</f>
        <v>证券买入(江龙船艇)</v>
      </c>
      <c r="K22" t="str">
        <f>"6.08"</f>
        <v>6.08</v>
      </c>
      <c r="L22" t="str">
        <f t="shared" si="7"/>
        <v>0.00</v>
      </c>
      <c r="M22" t="str">
        <f t="shared" si="7"/>
        <v>0.00</v>
      </c>
      <c r="N22" t="str">
        <f t="shared" si="7"/>
        <v>0.00</v>
      </c>
      <c r="O22" t="str">
        <f>"300589"</f>
        <v>300589</v>
      </c>
      <c r="P22" t="str">
        <f>"0153613480"</f>
        <v>0153613480</v>
      </c>
    </row>
    <row r="23" spans="1:16" x14ac:dyDescent="0.25">
      <c r="A23" t="str">
        <f t="shared" si="0"/>
        <v>人民币</v>
      </c>
      <c r="B23" t="str">
        <f>"宁表配号"</f>
        <v>宁表配号</v>
      </c>
      <c r="C23" t="str">
        <f>"20190110"</f>
        <v>20190110</v>
      </c>
      <c r="D23" t="str">
        <f t="shared" ref="D23:D28" si="8">"0.000"</f>
        <v>0.000</v>
      </c>
      <c r="E23" t="str">
        <f>"5.00"</f>
        <v>5.00</v>
      </c>
      <c r="F23" t="str">
        <f t="shared" ref="F23:F28" si="9">"0.00"</f>
        <v>0.00</v>
      </c>
      <c r="G23" t="str">
        <f t="shared" ref="G23:G28" si="10">"873.27"</f>
        <v>873.27</v>
      </c>
      <c r="H23" t="str">
        <f t="shared" ref="H23:H28" si="11">"0.00"</f>
        <v>0.00</v>
      </c>
      <c r="I23" t="str">
        <f>"65"</f>
        <v>65</v>
      </c>
      <c r="J23" t="str">
        <f>"申购配号(宁表配号)"</f>
        <v>申购配号(宁表配号)</v>
      </c>
      <c r="K23" t="str">
        <f t="shared" ref="K23:K28" si="12">"0.00"</f>
        <v>0.00</v>
      </c>
      <c r="L23" t="str">
        <f t="shared" si="7"/>
        <v>0.00</v>
      </c>
      <c r="M23" t="str">
        <f t="shared" si="7"/>
        <v>0.00</v>
      </c>
      <c r="N23" t="str">
        <f t="shared" si="7"/>
        <v>0.00</v>
      </c>
      <c r="O23" t="str">
        <f>"736700"</f>
        <v>736700</v>
      </c>
      <c r="P23" t="str">
        <f>"A400948245"</f>
        <v>A400948245</v>
      </c>
    </row>
    <row r="24" spans="1:16" x14ac:dyDescent="0.25">
      <c r="A24" t="str">
        <f t="shared" si="0"/>
        <v>人民币</v>
      </c>
      <c r="B24" t="str">
        <f>"明阳配号"</f>
        <v>明阳配号</v>
      </c>
      <c r="C24" t="str">
        <f>"20190111"</f>
        <v>20190111</v>
      </c>
      <c r="D24" t="str">
        <f t="shared" si="8"/>
        <v>0.000</v>
      </c>
      <c r="E24" t="str">
        <f>"5.00"</f>
        <v>5.00</v>
      </c>
      <c r="F24" t="str">
        <f t="shared" si="9"/>
        <v>0.00</v>
      </c>
      <c r="G24" t="str">
        <f t="shared" si="10"/>
        <v>873.27</v>
      </c>
      <c r="H24" t="str">
        <f t="shared" si="11"/>
        <v>0.00</v>
      </c>
      <c r="I24" t="str">
        <f>"68"</f>
        <v>68</v>
      </c>
      <c r="J24" t="str">
        <f>"申购配号(明阳配号)"</f>
        <v>申购配号(明阳配号)</v>
      </c>
      <c r="K24" t="str">
        <f t="shared" si="12"/>
        <v>0.00</v>
      </c>
      <c r="L24" t="str">
        <f t="shared" si="7"/>
        <v>0.00</v>
      </c>
      <c r="M24" t="str">
        <f t="shared" si="7"/>
        <v>0.00</v>
      </c>
      <c r="N24" t="str">
        <f t="shared" si="7"/>
        <v>0.00</v>
      </c>
      <c r="O24" t="str">
        <f>"791615"</f>
        <v>791615</v>
      </c>
      <c r="P24" t="str">
        <f>"A400948245"</f>
        <v>A400948245</v>
      </c>
    </row>
    <row r="25" spans="1:16" x14ac:dyDescent="0.25">
      <c r="A25" t="str">
        <f t="shared" si="0"/>
        <v>人民币</v>
      </c>
      <c r="B25" t="str">
        <f>"康龙化成"</f>
        <v>康龙化成</v>
      </c>
      <c r="C25" t="str">
        <f>"20190115"</f>
        <v>20190115</v>
      </c>
      <c r="D25" t="str">
        <f t="shared" si="8"/>
        <v>0.000</v>
      </c>
      <c r="E25" t="str">
        <f>"12.00"</f>
        <v>12.00</v>
      </c>
      <c r="F25" t="str">
        <f t="shared" si="9"/>
        <v>0.00</v>
      </c>
      <c r="G25" t="str">
        <f t="shared" si="10"/>
        <v>873.27</v>
      </c>
      <c r="H25" t="str">
        <f t="shared" si="11"/>
        <v>0.00</v>
      </c>
      <c r="I25" t="str">
        <f>"71"</f>
        <v>71</v>
      </c>
      <c r="J25" t="str">
        <f>"申购配号(康龙化成)"</f>
        <v>申购配号(康龙化成)</v>
      </c>
      <c r="K25" t="str">
        <f t="shared" si="12"/>
        <v>0.00</v>
      </c>
      <c r="L25" t="str">
        <f t="shared" si="7"/>
        <v>0.00</v>
      </c>
      <c r="M25" t="str">
        <f t="shared" si="7"/>
        <v>0.00</v>
      </c>
      <c r="N25" t="str">
        <f t="shared" si="7"/>
        <v>0.00</v>
      </c>
      <c r="O25" t="str">
        <f>"300759"</f>
        <v>300759</v>
      </c>
      <c r="P25" t="str">
        <f>"0153613480"</f>
        <v>0153613480</v>
      </c>
    </row>
    <row r="26" spans="1:16" x14ac:dyDescent="0.25">
      <c r="A26" t="str">
        <f t="shared" si="0"/>
        <v>人民币</v>
      </c>
      <c r="B26" t="str">
        <f>"新乳业"</f>
        <v>新乳业</v>
      </c>
      <c r="C26" t="str">
        <f>"20190116"</f>
        <v>20190116</v>
      </c>
      <c r="D26" t="str">
        <f t="shared" si="8"/>
        <v>0.000</v>
      </c>
      <c r="E26" t="str">
        <f>"12.00"</f>
        <v>12.00</v>
      </c>
      <c r="F26" t="str">
        <f t="shared" si="9"/>
        <v>0.00</v>
      </c>
      <c r="G26" t="str">
        <f t="shared" si="10"/>
        <v>873.27</v>
      </c>
      <c r="H26" t="str">
        <f t="shared" si="11"/>
        <v>0.00</v>
      </c>
      <c r="I26" t="str">
        <f>"74"</f>
        <v>74</v>
      </c>
      <c r="J26" t="str">
        <f>"申购配号(新乳业)"</f>
        <v>申购配号(新乳业)</v>
      </c>
      <c r="K26" t="str">
        <f t="shared" si="12"/>
        <v>0.00</v>
      </c>
      <c r="L26" t="str">
        <f t="shared" si="7"/>
        <v>0.00</v>
      </c>
      <c r="M26" t="str">
        <f t="shared" si="7"/>
        <v>0.00</v>
      </c>
      <c r="N26" t="str">
        <f t="shared" si="7"/>
        <v>0.00</v>
      </c>
      <c r="O26" t="str">
        <f>"002946"</f>
        <v>002946</v>
      </c>
      <c r="P26" t="str">
        <f>"0153613480"</f>
        <v>0153613480</v>
      </c>
    </row>
    <row r="27" spans="1:16" x14ac:dyDescent="0.25">
      <c r="A27" t="str">
        <f t="shared" si="0"/>
        <v>人民币</v>
      </c>
      <c r="B27" t="str">
        <f>"威尔配号"</f>
        <v>威尔配号</v>
      </c>
      <c r="C27" t="str">
        <f>"20190116"</f>
        <v>20190116</v>
      </c>
      <c r="D27" t="str">
        <f t="shared" si="8"/>
        <v>0.000</v>
      </c>
      <c r="E27" t="str">
        <f>"5.00"</f>
        <v>5.00</v>
      </c>
      <c r="F27" t="str">
        <f t="shared" si="9"/>
        <v>0.00</v>
      </c>
      <c r="G27" t="str">
        <f t="shared" si="10"/>
        <v>873.27</v>
      </c>
      <c r="H27" t="str">
        <f t="shared" si="11"/>
        <v>0.00</v>
      </c>
      <c r="I27" t="str">
        <f>"76"</f>
        <v>76</v>
      </c>
      <c r="J27" t="str">
        <f>"申购配号(威尔配号)"</f>
        <v>申购配号(威尔配号)</v>
      </c>
      <c r="K27" t="str">
        <f t="shared" si="12"/>
        <v>0.00</v>
      </c>
      <c r="L27" t="str">
        <f t="shared" si="7"/>
        <v>0.00</v>
      </c>
      <c r="M27" t="str">
        <f t="shared" si="7"/>
        <v>0.00</v>
      </c>
      <c r="N27" t="str">
        <f t="shared" si="7"/>
        <v>0.00</v>
      </c>
      <c r="O27" t="str">
        <f>"736351"</f>
        <v>736351</v>
      </c>
      <c r="P27" t="str">
        <f>"A400948245"</f>
        <v>A400948245</v>
      </c>
    </row>
    <row r="28" spans="1:16" x14ac:dyDescent="0.25">
      <c r="A28" t="str">
        <f t="shared" si="0"/>
        <v>人民币</v>
      </c>
      <c r="B28" t="str">
        <f>"华致酒行"</f>
        <v>华致酒行</v>
      </c>
      <c r="C28" t="str">
        <f>"20190117"</f>
        <v>20190117</v>
      </c>
      <c r="D28" t="str">
        <f t="shared" si="8"/>
        <v>0.000</v>
      </c>
      <c r="E28" t="str">
        <f>"13.00"</f>
        <v>13.00</v>
      </c>
      <c r="F28" t="str">
        <f t="shared" si="9"/>
        <v>0.00</v>
      </c>
      <c r="G28" t="str">
        <f t="shared" si="10"/>
        <v>873.27</v>
      </c>
      <c r="H28" t="str">
        <f t="shared" si="11"/>
        <v>0.00</v>
      </c>
      <c r="I28" t="str">
        <f>"80"</f>
        <v>80</v>
      </c>
      <c r="J28" t="str">
        <f>"申购配号(华致酒行)"</f>
        <v>申购配号(华致酒行)</v>
      </c>
      <c r="K28" t="str">
        <f t="shared" si="12"/>
        <v>0.00</v>
      </c>
      <c r="L28" t="str">
        <f t="shared" si="7"/>
        <v>0.00</v>
      </c>
      <c r="M28" t="str">
        <f t="shared" si="7"/>
        <v>0.00</v>
      </c>
      <c r="N28" t="str">
        <f t="shared" si="7"/>
        <v>0.00</v>
      </c>
      <c r="O28" t="str">
        <f>"300755"</f>
        <v>300755</v>
      </c>
      <c r="P28" t="str">
        <f>"0153613480"</f>
        <v>0153613480</v>
      </c>
    </row>
    <row r="29" spans="1:16" x14ac:dyDescent="0.25">
      <c r="A29" t="str">
        <f t="shared" si="0"/>
        <v>人民币</v>
      </c>
      <c r="B29" t="str">
        <f>"江龙船艇"</f>
        <v>江龙船艇</v>
      </c>
      <c r="C29" t="str">
        <f>"20190122"</f>
        <v>20190122</v>
      </c>
      <c r="D29" t="str">
        <f>"11.750"</f>
        <v>11.750</v>
      </c>
      <c r="E29" t="str">
        <f>"400.00"</f>
        <v>400.00</v>
      </c>
      <c r="F29" t="str">
        <f>"-4705.00"</f>
        <v>-4705.00</v>
      </c>
      <c r="G29" t="str">
        <f>"6168.27"</f>
        <v>6168.27</v>
      </c>
      <c r="H29" t="str">
        <f>"5000.00"</f>
        <v>5000.00</v>
      </c>
      <c r="I29" t="str">
        <f>"84"</f>
        <v>84</v>
      </c>
      <c r="J29" t="str">
        <f>"证券买入(江龙船艇)"</f>
        <v>证券买入(江龙船艇)</v>
      </c>
      <c r="K29" t="str">
        <f>"5.00"</f>
        <v>5.00</v>
      </c>
      <c r="L29" t="str">
        <f t="shared" si="7"/>
        <v>0.00</v>
      </c>
      <c r="M29" t="str">
        <f t="shared" si="7"/>
        <v>0.00</v>
      </c>
      <c r="N29" t="str">
        <f t="shared" si="7"/>
        <v>0.00</v>
      </c>
      <c r="O29" t="str">
        <f>"300589"</f>
        <v>300589</v>
      </c>
      <c r="P29" t="str">
        <f>"0153613480"</f>
        <v>0153613480</v>
      </c>
    </row>
    <row r="30" spans="1:16" x14ac:dyDescent="0.25">
      <c r="A30" t="str">
        <f t="shared" si="0"/>
        <v>人民币</v>
      </c>
      <c r="B30" t="str">
        <f>""</f>
        <v/>
      </c>
      <c r="C30" t="str">
        <f>"20190122"</f>
        <v>20190122</v>
      </c>
      <c r="D30" t="str">
        <f>"---"</f>
        <v>---</v>
      </c>
      <c r="E30" t="str">
        <f>"---"</f>
        <v>---</v>
      </c>
      <c r="F30" t="str">
        <f>"10000.00"</f>
        <v>10000.00</v>
      </c>
      <c r="G30" t="str">
        <f>"10873.27"</f>
        <v>10873.27</v>
      </c>
      <c r="H30" t="str">
        <f>"---"</f>
        <v>---</v>
      </c>
      <c r="I30" t="str">
        <f>"---"</f>
        <v>---</v>
      </c>
      <c r="J30" t="str">
        <f>"银行转存"</f>
        <v>银行转存</v>
      </c>
      <c r="K30" t="str">
        <f t="shared" ref="K30:P30" si="13">"---"</f>
        <v>---</v>
      </c>
      <c r="L30" t="str">
        <f t="shared" si="13"/>
        <v>---</v>
      </c>
      <c r="M30" t="str">
        <f t="shared" si="13"/>
        <v>---</v>
      </c>
      <c r="N30" t="str">
        <f t="shared" si="13"/>
        <v>---</v>
      </c>
      <c r="O30" t="str">
        <f t="shared" si="13"/>
        <v>---</v>
      </c>
      <c r="P30" t="str">
        <f t="shared" si="13"/>
        <v>---</v>
      </c>
    </row>
    <row r="31" spans="1:16" x14ac:dyDescent="0.25">
      <c r="A31" t="str">
        <f t="shared" si="0"/>
        <v>人民币</v>
      </c>
      <c r="B31" t="str">
        <f>"恒铭达"</f>
        <v>恒铭达</v>
      </c>
      <c r="C31" t="str">
        <f>"20190123"</f>
        <v>20190123</v>
      </c>
      <c r="D31" t="str">
        <f>"0.000"</f>
        <v>0.000</v>
      </c>
      <c r="E31" t="str">
        <f>"13.00"</f>
        <v>13.00</v>
      </c>
      <c r="F31" t="str">
        <f>"0.00"</f>
        <v>0.00</v>
      </c>
      <c r="G31" t="str">
        <f>"6168.27"</f>
        <v>6168.27</v>
      </c>
      <c r="H31" t="str">
        <f>"0.00"</f>
        <v>0.00</v>
      </c>
      <c r="I31" t="str">
        <f>"88"</f>
        <v>88</v>
      </c>
      <c r="J31" t="str">
        <f>"申购配号(恒铭达)"</f>
        <v>申购配号(恒铭达)</v>
      </c>
      <c r="K31" t="str">
        <f>"0.00"</f>
        <v>0.00</v>
      </c>
      <c r="L31" t="str">
        <f>"0.00"</f>
        <v>0.00</v>
      </c>
      <c r="M31" t="str">
        <f>"0.00"</f>
        <v>0.00</v>
      </c>
      <c r="N31" t="str">
        <f>"0.00"</f>
        <v>0.00</v>
      </c>
      <c r="O31" t="str">
        <f>"002947"</f>
        <v>002947</v>
      </c>
      <c r="P31" t="str">
        <f>"0153613480"</f>
        <v>0153613480</v>
      </c>
    </row>
    <row r="32" spans="1:16" x14ac:dyDescent="0.25">
      <c r="A32" t="str">
        <f t="shared" si="0"/>
        <v>人民币</v>
      </c>
      <c r="B32" t="str">
        <f>"中通国脉"</f>
        <v>中通国脉</v>
      </c>
      <c r="C32" t="str">
        <f>"20190124"</f>
        <v>20190124</v>
      </c>
      <c r="D32" t="str">
        <f>"22.800"</f>
        <v>22.800</v>
      </c>
      <c r="E32" t="str">
        <f>"200.00"</f>
        <v>200.00</v>
      </c>
      <c r="F32" t="str">
        <f>"-4565.09"</f>
        <v>-4565.09</v>
      </c>
      <c r="G32" t="str">
        <f t="shared" ref="G32:G38" si="14">"1603.18"</f>
        <v>1603.18</v>
      </c>
      <c r="H32" t="str">
        <f>"800.00"</f>
        <v>800.00</v>
      </c>
      <c r="I32" t="str">
        <f>"91"</f>
        <v>91</v>
      </c>
      <c r="J32" t="str">
        <f>"证券买入(中通国脉)"</f>
        <v>证券买入(中通国脉)</v>
      </c>
      <c r="K32" t="str">
        <f>"5.00"</f>
        <v>5.00</v>
      </c>
      <c r="L32" t="str">
        <f t="shared" ref="L32:M41" si="15">"0.00"</f>
        <v>0.00</v>
      </c>
      <c r="M32" t="str">
        <f>"0.09"</f>
        <v>0.09</v>
      </c>
      <c r="N32" t="str">
        <f t="shared" ref="N32:N44" si="16">"0.00"</f>
        <v>0.00</v>
      </c>
      <c r="O32" t="str">
        <f>"603559"</f>
        <v>603559</v>
      </c>
      <c r="P32" t="str">
        <f>"A400948245"</f>
        <v>A400948245</v>
      </c>
    </row>
    <row r="33" spans="1:16" x14ac:dyDescent="0.25">
      <c r="A33" t="str">
        <f t="shared" si="0"/>
        <v>人民币</v>
      </c>
      <c r="B33" t="str">
        <f>"福莱配号"</f>
        <v>福莱配号</v>
      </c>
      <c r="C33" t="str">
        <f>"20190129"</f>
        <v>20190129</v>
      </c>
      <c r="D33" t="str">
        <f t="shared" ref="D33:D38" si="17">"0.000"</f>
        <v>0.000</v>
      </c>
      <c r="E33" t="str">
        <f>"5.00"</f>
        <v>5.00</v>
      </c>
      <c r="F33" t="str">
        <f t="shared" ref="F33:F38" si="18">"0.00"</f>
        <v>0.00</v>
      </c>
      <c r="G33" t="str">
        <f t="shared" si="14"/>
        <v>1603.18</v>
      </c>
      <c r="H33" t="str">
        <f t="shared" ref="H33:H38" si="19">"0.00"</f>
        <v>0.00</v>
      </c>
      <c r="I33" t="str">
        <f>"96"</f>
        <v>96</v>
      </c>
      <c r="J33" t="str">
        <f>"申购配号(福莱配号)"</f>
        <v>申购配号(福莱配号)</v>
      </c>
      <c r="K33" t="str">
        <f t="shared" ref="K33:K38" si="20">"0.00"</f>
        <v>0.00</v>
      </c>
      <c r="L33" t="str">
        <f t="shared" si="15"/>
        <v>0.00</v>
      </c>
      <c r="M33" t="str">
        <f t="shared" si="15"/>
        <v>0.00</v>
      </c>
      <c r="N33" t="str">
        <f t="shared" si="16"/>
        <v>0.00</v>
      </c>
      <c r="O33" t="str">
        <f>"791865"</f>
        <v>791865</v>
      </c>
      <c r="P33" t="str">
        <f>"A400948245"</f>
        <v>A400948245</v>
      </c>
    </row>
    <row r="34" spans="1:16" x14ac:dyDescent="0.25">
      <c r="A34" t="str">
        <f t="shared" si="0"/>
        <v>人民币</v>
      </c>
      <c r="B34" t="str">
        <f>"立华股份"</f>
        <v>立华股份</v>
      </c>
      <c r="C34" t="str">
        <f>"20190130"</f>
        <v>20190130</v>
      </c>
      <c r="D34" t="str">
        <f t="shared" si="17"/>
        <v>0.000</v>
      </c>
      <c r="E34" t="str">
        <f>"14.00"</f>
        <v>14.00</v>
      </c>
      <c r="F34" t="str">
        <f t="shared" si="18"/>
        <v>0.00</v>
      </c>
      <c r="G34" t="str">
        <f t="shared" si="14"/>
        <v>1603.18</v>
      </c>
      <c r="H34" t="str">
        <f t="shared" si="19"/>
        <v>0.00</v>
      </c>
      <c r="I34" t="str">
        <f>"99"</f>
        <v>99</v>
      </c>
      <c r="J34" t="str">
        <f>"申购配号(立华股份)"</f>
        <v>申购配号(立华股份)</v>
      </c>
      <c r="K34" t="str">
        <f t="shared" si="20"/>
        <v>0.00</v>
      </c>
      <c r="L34" t="str">
        <f t="shared" si="15"/>
        <v>0.00</v>
      </c>
      <c r="M34" t="str">
        <f t="shared" si="15"/>
        <v>0.00</v>
      </c>
      <c r="N34" t="str">
        <f t="shared" si="16"/>
        <v>0.00</v>
      </c>
      <c r="O34" t="str">
        <f>"300761"</f>
        <v>300761</v>
      </c>
      <c r="P34" t="str">
        <f>"0153613480"</f>
        <v>0153613480</v>
      </c>
    </row>
    <row r="35" spans="1:16" x14ac:dyDescent="0.25">
      <c r="A35" t="str">
        <f t="shared" si="0"/>
        <v>人民币</v>
      </c>
      <c r="B35" t="str">
        <f>"威派配号"</f>
        <v>威派配号</v>
      </c>
      <c r="C35" t="str">
        <f>"20190212"</f>
        <v>20190212</v>
      </c>
      <c r="D35" t="str">
        <f t="shared" si="17"/>
        <v>0.000</v>
      </c>
      <c r="E35" t="str">
        <f>"5.00"</f>
        <v>5.00</v>
      </c>
      <c r="F35" t="str">
        <f t="shared" si="18"/>
        <v>0.00</v>
      </c>
      <c r="G35" t="str">
        <f t="shared" si="14"/>
        <v>1603.18</v>
      </c>
      <c r="H35" t="str">
        <f t="shared" si="19"/>
        <v>0.00</v>
      </c>
      <c r="I35" t="str">
        <f>"102"</f>
        <v>102</v>
      </c>
      <c r="J35" t="str">
        <f>"申购配号(威派配号)"</f>
        <v>申购配号(威派配号)</v>
      </c>
      <c r="K35" t="str">
        <f t="shared" si="20"/>
        <v>0.00</v>
      </c>
      <c r="L35" t="str">
        <f t="shared" si="15"/>
        <v>0.00</v>
      </c>
      <c r="M35" t="str">
        <f t="shared" si="15"/>
        <v>0.00</v>
      </c>
      <c r="N35" t="str">
        <f t="shared" si="16"/>
        <v>0.00</v>
      </c>
      <c r="O35" t="str">
        <f>"736956"</f>
        <v>736956</v>
      </c>
      <c r="P35" t="str">
        <f>"A400948245"</f>
        <v>A400948245</v>
      </c>
    </row>
    <row r="36" spans="1:16" x14ac:dyDescent="0.25">
      <c r="A36" t="str">
        <f t="shared" si="0"/>
        <v>人民币</v>
      </c>
      <c r="B36" t="str">
        <f>"七彩化学"</f>
        <v>七彩化学</v>
      </c>
      <c r="C36" t="str">
        <f>"20190213"</f>
        <v>20190213</v>
      </c>
      <c r="D36" t="str">
        <f t="shared" si="17"/>
        <v>0.000</v>
      </c>
      <c r="E36" t="str">
        <f>"14.00"</f>
        <v>14.00</v>
      </c>
      <c r="F36" t="str">
        <f t="shared" si="18"/>
        <v>0.00</v>
      </c>
      <c r="G36" t="str">
        <f t="shared" si="14"/>
        <v>1603.18</v>
      </c>
      <c r="H36" t="str">
        <f t="shared" si="19"/>
        <v>0.00</v>
      </c>
      <c r="I36" t="str">
        <f>"3"</f>
        <v>3</v>
      </c>
      <c r="J36" t="str">
        <f>"申购配号(七彩化学)"</f>
        <v>申购配号(七彩化学)</v>
      </c>
      <c r="K36" t="str">
        <f t="shared" si="20"/>
        <v>0.00</v>
      </c>
      <c r="L36" t="str">
        <f t="shared" si="15"/>
        <v>0.00</v>
      </c>
      <c r="M36" t="str">
        <f t="shared" si="15"/>
        <v>0.00</v>
      </c>
      <c r="N36" t="str">
        <f t="shared" si="16"/>
        <v>0.00</v>
      </c>
      <c r="O36" t="str">
        <f>"300758"</f>
        <v>300758</v>
      </c>
      <c r="P36" t="str">
        <f>"0153613480"</f>
        <v>0153613480</v>
      </c>
    </row>
    <row r="37" spans="1:16" x14ac:dyDescent="0.25">
      <c r="A37" t="str">
        <f t="shared" si="0"/>
        <v>人民币</v>
      </c>
      <c r="B37" t="str">
        <f>"华阳国际"</f>
        <v>华阳国际</v>
      </c>
      <c r="C37" t="str">
        <f>"20190213"</f>
        <v>20190213</v>
      </c>
      <c r="D37" t="str">
        <f t="shared" si="17"/>
        <v>0.000</v>
      </c>
      <c r="E37" t="str">
        <f>"14.00"</f>
        <v>14.00</v>
      </c>
      <c r="F37" t="str">
        <f t="shared" si="18"/>
        <v>0.00</v>
      </c>
      <c r="G37" t="str">
        <f t="shared" si="14"/>
        <v>1603.18</v>
      </c>
      <c r="H37" t="str">
        <f t="shared" si="19"/>
        <v>0.00</v>
      </c>
      <c r="I37" t="str">
        <f>"1"</f>
        <v>1</v>
      </c>
      <c r="J37" t="str">
        <f>"申购配号(华阳国际)"</f>
        <v>申购配号(华阳国际)</v>
      </c>
      <c r="K37" t="str">
        <f t="shared" si="20"/>
        <v>0.00</v>
      </c>
      <c r="L37" t="str">
        <f t="shared" si="15"/>
        <v>0.00</v>
      </c>
      <c r="M37" t="str">
        <f t="shared" si="15"/>
        <v>0.00</v>
      </c>
      <c r="N37" t="str">
        <f t="shared" si="16"/>
        <v>0.00</v>
      </c>
      <c r="O37" t="str">
        <f>"002949"</f>
        <v>002949</v>
      </c>
      <c r="P37" t="str">
        <f>"0153613480"</f>
        <v>0153613480</v>
      </c>
    </row>
    <row r="38" spans="1:16" x14ac:dyDescent="0.25">
      <c r="A38" t="str">
        <f t="shared" si="0"/>
        <v>人民币</v>
      </c>
      <c r="B38" t="str">
        <f>"西银配号"</f>
        <v>西银配号</v>
      </c>
      <c r="C38" t="str">
        <f>"20190219"</f>
        <v>20190219</v>
      </c>
      <c r="D38" t="str">
        <f t="shared" si="17"/>
        <v>0.000</v>
      </c>
      <c r="E38" t="str">
        <f>"0.00"</f>
        <v>0.00</v>
      </c>
      <c r="F38" t="str">
        <f t="shared" si="18"/>
        <v>0.00</v>
      </c>
      <c r="G38" t="str">
        <f t="shared" si="14"/>
        <v>1603.18</v>
      </c>
      <c r="H38" t="str">
        <f t="shared" si="19"/>
        <v>0.00</v>
      </c>
      <c r="I38" t="str">
        <f>"7"</f>
        <v>7</v>
      </c>
      <c r="J38" t="str">
        <f>"申购配号(西银配号)"</f>
        <v>申购配号(西银配号)</v>
      </c>
      <c r="K38" t="str">
        <f t="shared" si="20"/>
        <v>0.00</v>
      </c>
      <c r="L38" t="str">
        <f t="shared" si="15"/>
        <v>0.00</v>
      </c>
      <c r="M38" t="str">
        <f t="shared" si="15"/>
        <v>0.00</v>
      </c>
      <c r="N38" t="str">
        <f t="shared" si="16"/>
        <v>0.00</v>
      </c>
      <c r="O38" t="str">
        <f>"741928"</f>
        <v>741928</v>
      </c>
      <c r="P38" t="str">
        <f>"A400948245"</f>
        <v>A400948245</v>
      </c>
    </row>
    <row r="39" spans="1:16" x14ac:dyDescent="0.25">
      <c r="A39" t="str">
        <f t="shared" si="0"/>
        <v>人民币</v>
      </c>
      <c r="B39" t="str">
        <f>"江龙船艇"</f>
        <v>江龙船艇</v>
      </c>
      <c r="C39" t="str">
        <f>"20190220"</f>
        <v>20190220</v>
      </c>
      <c r="D39" t="str">
        <f>"12.690"</f>
        <v>12.690</v>
      </c>
      <c r="E39" t="str">
        <f>"-1000.00"</f>
        <v>-1000.00</v>
      </c>
      <c r="F39" t="str">
        <f>"12664.62"</f>
        <v>12664.62</v>
      </c>
      <c r="G39" t="str">
        <f>"14267.80"</f>
        <v>14267.80</v>
      </c>
      <c r="H39" t="str">
        <f>"4000.00"</f>
        <v>4000.00</v>
      </c>
      <c r="I39" t="str">
        <f>"10"</f>
        <v>10</v>
      </c>
      <c r="J39" t="str">
        <f>"证券卖出(江龙船艇)"</f>
        <v>证券卖出(江龙船艇)</v>
      </c>
      <c r="K39" t="str">
        <f>"12.69"</f>
        <v>12.69</v>
      </c>
      <c r="L39" t="str">
        <f>"12.69"</f>
        <v>12.69</v>
      </c>
      <c r="M39" t="str">
        <f t="shared" si="15"/>
        <v>0.00</v>
      </c>
      <c r="N39" t="str">
        <f t="shared" si="16"/>
        <v>0.00</v>
      </c>
      <c r="O39" t="str">
        <f>"300589"</f>
        <v>300589</v>
      </c>
      <c r="P39" t="str">
        <f>"0153613480"</f>
        <v>0153613480</v>
      </c>
    </row>
    <row r="40" spans="1:16" x14ac:dyDescent="0.25">
      <c r="A40" t="str">
        <f t="shared" si="0"/>
        <v>人民币</v>
      </c>
      <c r="B40" t="str">
        <f>"九典制药"</f>
        <v>九典制药</v>
      </c>
      <c r="C40" t="str">
        <f>"20190221"</f>
        <v>20190221</v>
      </c>
      <c r="D40" t="str">
        <f>"12.560"</f>
        <v>12.560</v>
      </c>
      <c r="E40" t="str">
        <f>"200.00"</f>
        <v>200.00</v>
      </c>
      <c r="F40" t="str">
        <f>"-2517.00"</f>
        <v>-2517.00</v>
      </c>
      <c r="G40" t="str">
        <f>"6653.71"</f>
        <v>6653.71</v>
      </c>
      <c r="H40" t="str">
        <f>"2000.00"</f>
        <v>2000.00</v>
      </c>
      <c r="I40" t="str">
        <f>"22"</f>
        <v>22</v>
      </c>
      <c r="J40" t="str">
        <f>"证券买入(九典制药)"</f>
        <v>证券买入(九典制药)</v>
      </c>
      <c r="K40" t="str">
        <f>"5.00"</f>
        <v>5.00</v>
      </c>
      <c r="L40" t="str">
        <f>"0.00"</f>
        <v>0.00</v>
      </c>
      <c r="M40" t="str">
        <f t="shared" si="15"/>
        <v>0.00</v>
      </c>
      <c r="N40" t="str">
        <f t="shared" si="16"/>
        <v>0.00</v>
      </c>
      <c r="O40" t="str">
        <f>"300705"</f>
        <v>300705</v>
      </c>
      <c r="P40" t="str">
        <f>"0153613480"</f>
        <v>0153613480</v>
      </c>
    </row>
    <row r="41" spans="1:16" x14ac:dyDescent="0.25">
      <c r="A41" t="str">
        <f t="shared" si="0"/>
        <v>人民币</v>
      </c>
      <c r="B41" t="str">
        <f>"九典制药"</f>
        <v>九典制药</v>
      </c>
      <c r="C41" t="str">
        <f>"20190221"</f>
        <v>20190221</v>
      </c>
      <c r="D41" t="str">
        <f>"12.730"</f>
        <v>12.730</v>
      </c>
      <c r="E41" t="str">
        <f>"400.00"</f>
        <v>400.00</v>
      </c>
      <c r="F41" t="str">
        <f>"-5097.09"</f>
        <v>-5097.09</v>
      </c>
      <c r="G41" t="str">
        <f>"9170.71"</f>
        <v>9170.71</v>
      </c>
      <c r="H41" t="str">
        <f>"1800.00"</f>
        <v>1800.00</v>
      </c>
      <c r="I41" t="str">
        <f>"16"</f>
        <v>16</v>
      </c>
      <c r="J41" t="str">
        <f>"证券买入(九典制药)"</f>
        <v>证券买入(九典制药)</v>
      </c>
      <c r="K41" t="str">
        <f>"5.09"</f>
        <v>5.09</v>
      </c>
      <c r="L41" t="str">
        <f>"0.00"</f>
        <v>0.00</v>
      </c>
      <c r="M41" t="str">
        <f t="shared" si="15"/>
        <v>0.00</v>
      </c>
      <c r="N41" t="str">
        <f t="shared" si="16"/>
        <v>0.00</v>
      </c>
      <c r="O41" t="str">
        <f>"300705"</f>
        <v>300705</v>
      </c>
      <c r="P41" t="str">
        <f>"0153613480"</f>
        <v>0153613480</v>
      </c>
    </row>
    <row r="42" spans="1:16" x14ac:dyDescent="0.25">
      <c r="A42" t="str">
        <f t="shared" si="0"/>
        <v>人民币</v>
      </c>
      <c r="B42" t="str">
        <f>"中通国脉"</f>
        <v>中通国脉</v>
      </c>
      <c r="C42" t="str">
        <f>"20190222"</f>
        <v>20190222</v>
      </c>
      <c r="D42" t="str">
        <f>"23.270"</f>
        <v>23.270</v>
      </c>
      <c r="E42" t="str">
        <f>"-200.00"</f>
        <v>-200.00</v>
      </c>
      <c r="F42" t="str">
        <f>"4644.26"</f>
        <v>4644.26</v>
      </c>
      <c r="G42" t="str">
        <f>"11297.97"</f>
        <v>11297.97</v>
      </c>
      <c r="H42" t="str">
        <f>"600.00"</f>
        <v>600.00</v>
      </c>
      <c r="I42" t="str">
        <f>"33"</f>
        <v>33</v>
      </c>
      <c r="J42" t="str">
        <f>"证券卖出(中通国脉)"</f>
        <v>证券卖出(中通国脉)</v>
      </c>
      <c r="K42" t="str">
        <f>"5.00"</f>
        <v>5.00</v>
      </c>
      <c r="L42" t="str">
        <f>"4.65"</f>
        <v>4.65</v>
      </c>
      <c r="M42" t="str">
        <f>"0.09"</f>
        <v>0.09</v>
      </c>
      <c r="N42" t="str">
        <f t="shared" si="16"/>
        <v>0.00</v>
      </c>
      <c r="O42" t="str">
        <f>"603559"</f>
        <v>603559</v>
      </c>
      <c r="P42" t="str">
        <f>"A400948245"</f>
        <v>A400948245</v>
      </c>
    </row>
    <row r="43" spans="1:16" x14ac:dyDescent="0.25">
      <c r="A43" t="str">
        <f t="shared" si="0"/>
        <v>人民币</v>
      </c>
      <c r="B43" t="str">
        <f>"九典制药"</f>
        <v>九典制药</v>
      </c>
      <c r="C43" t="str">
        <f>"20190225"</f>
        <v>20190225</v>
      </c>
      <c r="D43" t="str">
        <f>"13.890"</f>
        <v>13.890</v>
      </c>
      <c r="E43" t="str">
        <f>"-1000.00"</f>
        <v>-1000.00</v>
      </c>
      <c r="F43" t="str">
        <f>"13862.22"</f>
        <v>13862.22</v>
      </c>
      <c r="G43" t="str">
        <f>"29012.43"</f>
        <v>29012.43</v>
      </c>
      <c r="H43" t="str">
        <f>"0.00"</f>
        <v>0.00</v>
      </c>
      <c r="I43" t="str">
        <f>"42"</f>
        <v>42</v>
      </c>
      <c r="J43" t="str">
        <f>"证券卖出(九典制药)"</f>
        <v>证券卖出(九典制药)</v>
      </c>
      <c r="K43" t="str">
        <f>"13.89"</f>
        <v>13.89</v>
      </c>
      <c r="L43" t="str">
        <f>"13.89"</f>
        <v>13.89</v>
      </c>
      <c r="M43" t="str">
        <f>"0.00"</f>
        <v>0.00</v>
      </c>
      <c r="N43" t="str">
        <f t="shared" si="16"/>
        <v>0.00</v>
      </c>
      <c r="O43" t="str">
        <f>"300705"</f>
        <v>300705</v>
      </c>
      <c r="P43" t="str">
        <f>"0153613480"</f>
        <v>0153613480</v>
      </c>
    </row>
    <row r="44" spans="1:16" x14ac:dyDescent="0.25">
      <c r="A44" t="str">
        <f t="shared" si="0"/>
        <v>人民币</v>
      </c>
      <c r="B44" t="str">
        <f>"九典制药"</f>
        <v>九典制药</v>
      </c>
      <c r="C44" t="str">
        <f>"20190225"</f>
        <v>20190225</v>
      </c>
      <c r="D44" t="str">
        <f>"13.880"</f>
        <v>13.880</v>
      </c>
      <c r="E44" t="str">
        <f>"-1000.00"</f>
        <v>-1000.00</v>
      </c>
      <c r="F44" t="str">
        <f>"13852.24"</f>
        <v>13852.24</v>
      </c>
      <c r="G44" t="str">
        <f>"15150.21"</f>
        <v>15150.21</v>
      </c>
      <c r="H44" t="str">
        <f>"1000.00"</f>
        <v>1000.00</v>
      </c>
      <c r="I44" t="str">
        <f>"39"</f>
        <v>39</v>
      </c>
      <c r="J44" t="str">
        <f>"证券卖出(九典制药)"</f>
        <v>证券卖出(九典制药)</v>
      </c>
      <c r="K44" t="str">
        <f>"13.88"</f>
        <v>13.88</v>
      </c>
      <c r="L44" t="str">
        <f>"13.88"</f>
        <v>13.88</v>
      </c>
      <c r="M44" t="str">
        <f>"0.00"</f>
        <v>0.00</v>
      </c>
      <c r="N44" t="str">
        <f t="shared" si="16"/>
        <v>0.00</v>
      </c>
      <c r="O44" t="str">
        <f>"300705"</f>
        <v>300705</v>
      </c>
      <c r="P44" t="str">
        <f>"0153613480"</f>
        <v>0153613480</v>
      </c>
    </row>
    <row r="45" spans="1:16" x14ac:dyDescent="0.25">
      <c r="A45" t="str">
        <f t="shared" si="0"/>
        <v>人民币</v>
      </c>
      <c r="B45" t="str">
        <f>""</f>
        <v/>
      </c>
      <c r="C45" t="str">
        <f>"20190225"</f>
        <v>20190225</v>
      </c>
      <c r="D45" t="str">
        <f>"---"</f>
        <v>---</v>
      </c>
      <c r="E45" t="str">
        <f>"---"</f>
        <v>---</v>
      </c>
      <c r="F45" t="str">
        <f>"-10000.00"</f>
        <v>-10000.00</v>
      </c>
      <c r="G45" t="str">
        <f>"1297.97"</f>
        <v>1297.97</v>
      </c>
      <c r="H45" t="str">
        <f>"---"</f>
        <v>---</v>
      </c>
      <c r="I45" t="str">
        <f>"---"</f>
        <v>---</v>
      </c>
      <c r="J45" t="str">
        <f>"银行转取"</f>
        <v>银行转取</v>
      </c>
      <c r="K45" t="str">
        <f t="shared" ref="K45:P45" si="21">"---"</f>
        <v>---</v>
      </c>
      <c r="L45" t="str">
        <f t="shared" si="21"/>
        <v>---</v>
      </c>
      <c r="M45" t="str">
        <f t="shared" si="21"/>
        <v>---</v>
      </c>
      <c r="N45" t="str">
        <f t="shared" si="21"/>
        <v>---</v>
      </c>
      <c r="O45" t="str">
        <f t="shared" si="21"/>
        <v>---</v>
      </c>
      <c r="P45" t="str">
        <f t="shared" si="21"/>
        <v>---</v>
      </c>
    </row>
    <row r="46" spans="1:16" x14ac:dyDescent="0.25">
      <c r="A46" t="str">
        <f t="shared" si="0"/>
        <v>人民币</v>
      </c>
      <c r="B46" t="str">
        <f>"中通国脉"</f>
        <v>中通国脉</v>
      </c>
      <c r="C46" t="str">
        <f>"20190226"</f>
        <v>20190226</v>
      </c>
      <c r="D46" t="str">
        <f>"23.830"</f>
        <v>23.830</v>
      </c>
      <c r="E46" t="str">
        <f>"400.00"</f>
        <v>400.00</v>
      </c>
      <c r="F46" t="str">
        <f>"-9541.72"</f>
        <v>-9541.72</v>
      </c>
      <c r="G46" t="str">
        <f>"19470.71"</f>
        <v>19470.71</v>
      </c>
      <c r="H46" t="str">
        <f>"1000.00"</f>
        <v>1000.00</v>
      </c>
      <c r="I46" t="str">
        <f>"48"</f>
        <v>48</v>
      </c>
      <c r="J46" t="str">
        <f>"证券买入(中通国脉)"</f>
        <v>证券买入(中通国脉)</v>
      </c>
      <c r="K46" t="str">
        <f>"9.53"</f>
        <v>9.53</v>
      </c>
      <c r="L46" t="str">
        <f>"0.00"</f>
        <v>0.00</v>
      </c>
      <c r="M46" t="str">
        <f>"0.19"</f>
        <v>0.19</v>
      </c>
      <c r="N46" t="str">
        <f>"0.00"</f>
        <v>0.00</v>
      </c>
      <c r="O46" t="str">
        <f>"603559"</f>
        <v>603559</v>
      </c>
      <c r="P46" t="str">
        <f>"A400948245"</f>
        <v>A400948245</v>
      </c>
    </row>
    <row r="47" spans="1:16" x14ac:dyDescent="0.25">
      <c r="A47" t="str">
        <f t="shared" si="0"/>
        <v>人民币</v>
      </c>
      <c r="B47" t="str">
        <f>"奥美医疗"</f>
        <v>奥美医疗</v>
      </c>
      <c r="C47" t="str">
        <f>"20190227"</f>
        <v>20190227</v>
      </c>
      <c r="D47" t="str">
        <f>"0.000"</f>
        <v>0.000</v>
      </c>
      <c r="E47" t="str">
        <f>"14.00"</f>
        <v>14.00</v>
      </c>
      <c r="F47" t="str">
        <f>"0.00"</f>
        <v>0.00</v>
      </c>
      <c r="G47" t="str">
        <f>"31736.07"</f>
        <v>31736.07</v>
      </c>
      <c r="H47" t="str">
        <f>"0.00"</f>
        <v>0.00</v>
      </c>
      <c r="I47" t="str">
        <f>"52"</f>
        <v>52</v>
      </c>
      <c r="J47" t="str">
        <f>"申购配号(奥美医疗)"</f>
        <v>申购配号(奥美医疗)</v>
      </c>
      <c r="K47" t="str">
        <f>"0.00"</f>
        <v>0.00</v>
      </c>
      <c r="L47" t="str">
        <f>"0.00"</f>
        <v>0.00</v>
      </c>
      <c r="M47" t="str">
        <f>"0.00"</f>
        <v>0.00</v>
      </c>
      <c r="N47" t="str">
        <f>"0.00"</f>
        <v>0.00</v>
      </c>
      <c r="O47" t="str">
        <f>"002950"</f>
        <v>002950</v>
      </c>
      <c r="P47" t="str">
        <f>"0153613480"</f>
        <v>0153613480</v>
      </c>
    </row>
    <row r="48" spans="1:16" x14ac:dyDescent="0.25">
      <c r="A48" t="str">
        <f t="shared" si="0"/>
        <v>人民币</v>
      </c>
      <c r="B48" t="str">
        <f>"江龙船艇"</f>
        <v>江龙船艇</v>
      </c>
      <c r="C48" t="str">
        <f>"20190227"</f>
        <v>20190227</v>
      </c>
      <c r="D48" t="str">
        <f>"13.660"</f>
        <v>13.660</v>
      </c>
      <c r="E48" t="str">
        <f>"-2000.00"</f>
        <v>-2000.00</v>
      </c>
      <c r="F48" t="str">
        <f>"27265.36"</f>
        <v>27265.36</v>
      </c>
      <c r="G48" t="str">
        <f>"31736.07"</f>
        <v>31736.07</v>
      </c>
      <c r="H48" t="str">
        <f>"2000.00"</f>
        <v>2000.00</v>
      </c>
      <c r="I48" t="str">
        <f>"57"</f>
        <v>57</v>
      </c>
      <c r="J48" t="str">
        <f>"证券卖出(江龙船艇)"</f>
        <v>证券卖出(江龙船艇)</v>
      </c>
      <c r="K48" t="str">
        <f>"27.32"</f>
        <v>27.32</v>
      </c>
      <c r="L48" t="str">
        <f>"27.32"</f>
        <v>27.32</v>
      </c>
      <c r="M48" t="str">
        <f>"0.00"</f>
        <v>0.00</v>
      </c>
      <c r="N48" t="str">
        <f>"0.00"</f>
        <v>0.00</v>
      </c>
      <c r="O48" t="str">
        <f>"300589"</f>
        <v>300589</v>
      </c>
      <c r="P48" t="str">
        <f>"0153613480"</f>
        <v>0153613480</v>
      </c>
    </row>
    <row r="49" spans="1:16" x14ac:dyDescent="0.25">
      <c r="A49" t="str">
        <f t="shared" si="0"/>
        <v>人民币</v>
      </c>
      <c r="B49" t="str">
        <f>""</f>
        <v/>
      </c>
      <c r="C49" t="str">
        <f>"20190227"</f>
        <v>20190227</v>
      </c>
      <c r="D49" t="str">
        <f>"---"</f>
        <v>---</v>
      </c>
      <c r="E49" t="str">
        <f>"---"</f>
        <v>---</v>
      </c>
      <c r="F49" t="str">
        <f>"-15000.00"</f>
        <v>-15000.00</v>
      </c>
      <c r="G49" t="str">
        <f>"4470.71"</f>
        <v>4470.71</v>
      </c>
      <c r="H49" t="str">
        <f>"---"</f>
        <v>---</v>
      </c>
      <c r="I49" t="str">
        <f>"---"</f>
        <v>---</v>
      </c>
      <c r="J49" t="str">
        <f>"银行转取"</f>
        <v>银行转取</v>
      </c>
      <c r="K49" t="str">
        <f t="shared" ref="K49:P50" si="22">"---"</f>
        <v>---</v>
      </c>
      <c r="L49" t="str">
        <f t="shared" si="22"/>
        <v>---</v>
      </c>
      <c r="M49" t="str">
        <f t="shared" si="22"/>
        <v>---</v>
      </c>
      <c r="N49" t="str">
        <f t="shared" si="22"/>
        <v>---</v>
      </c>
      <c r="O49" t="str">
        <f t="shared" si="22"/>
        <v>---</v>
      </c>
      <c r="P49" t="str">
        <f t="shared" si="22"/>
        <v>---</v>
      </c>
    </row>
    <row r="50" spans="1:16" x14ac:dyDescent="0.25">
      <c r="A50" t="str">
        <f t="shared" si="0"/>
        <v>人民币</v>
      </c>
      <c r="B50" t="str">
        <f>""</f>
        <v/>
      </c>
      <c r="C50" t="str">
        <f>"20190228"</f>
        <v>20190228</v>
      </c>
      <c r="D50" t="str">
        <f>"---"</f>
        <v>---</v>
      </c>
      <c r="E50" t="str">
        <f>"---"</f>
        <v>---</v>
      </c>
      <c r="F50" t="str">
        <f>"-10000.00"</f>
        <v>-10000.00</v>
      </c>
      <c r="G50" t="str">
        <f>"21736.07"</f>
        <v>21736.07</v>
      </c>
      <c r="H50" t="str">
        <f>"---"</f>
        <v>---</v>
      </c>
      <c r="I50" t="str">
        <f>"---"</f>
        <v>---</v>
      </c>
      <c r="J50" t="str">
        <f>"银行转取"</f>
        <v>银行转取</v>
      </c>
      <c r="K50" t="str">
        <f t="shared" si="22"/>
        <v>---</v>
      </c>
      <c r="L50" t="str">
        <f t="shared" si="22"/>
        <v>---</v>
      </c>
      <c r="M50" t="str">
        <f t="shared" si="22"/>
        <v>---</v>
      </c>
      <c r="N50" t="str">
        <f t="shared" si="22"/>
        <v>---</v>
      </c>
      <c r="O50" t="str">
        <f t="shared" si="22"/>
        <v>---</v>
      </c>
      <c r="P50" t="str">
        <f t="shared" si="22"/>
        <v>---</v>
      </c>
    </row>
    <row r="51" spans="1:16" x14ac:dyDescent="0.25">
      <c r="A51" t="str">
        <f t="shared" si="0"/>
        <v>人民币</v>
      </c>
      <c r="B51" t="str">
        <f>"七一二"</f>
        <v>七一二</v>
      </c>
      <c r="C51" t="str">
        <f>"20190301"</f>
        <v>20190301</v>
      </c>
      <c r="D51" t="str">
        <f>"18.430"</f>
        <v>18.430</v>
      </c>
      <c r="E51" t="str">
        <f>"-600.00"</f>
        <v>-600.00</v>
      </c>
      <c r="F51" t="str">
        <f>"11035.66"</f>
        <v>11035.66</v>
      </c>
      <c r="G51" t="str">
        <f>"12352.92"</f>
        <v>12352.92</v>
      </c>
      <c r="H51" t="str">
        <f>"2000.00"</f>
        <v>2000.00</v>
      </c>
      <c r="I51" t="str">
        <f>"73"</f>
        <v>73</v>
      </c>
      <c r="J51" t="str">
        <f>"证券卖出(七一二)"</f>
        <v>证券卖出(七一二)</v>
      </c>
      <c r="K51" t="str">
        <f>"11.06"</f>
        <v>11.06</v>
      </c>
      <c r="L51" t="str">
        <f>"11.06"</f>
        <v>11.06</v>
      </c>
      <c r="M51" t="str">
        <f>"0.22"</f>
        <v>0.22</v>
      </c>
      <c r="N51" t="str">
        <f t="shared" ref="N51:N58" si="23">"0.00"</f>
        <v>0.00</v>
      </c>
      <c r="O51" t="str">
        <f>"603712"</f>
        <v>603712</v>
      </c>
      <c r="P51" t="str">
        <f>"A400948245"</f>
        <v>A400948245</v>
      </c>
    </row>
    <row r="52" spans="1:16" x14ac:dyDescent="0.25">
      <c r="A52" t="str">
        <f t="shared" si="0"/>
        <v>人民币</v>
      </c>
      <c r="B52" t="str">
        <f>"七一二"</f>
        <v>七一二</v>
      </c>
      <c r="C52" t="str">
        <f>"20190301"</f>
        <v>20190301</v>
      </c>
      <c r="D52" t="str">
        <f>"18.030"</f>
        <v>18.030</v>
      </c>
      <c r="E52" t="str">
        <f>"600.00"</f>
        <v>600.00</v>
      </c>
      <c r="F52" t="str">
        <f>"-10829.04"</f>
        <v>-10829.04</v>
      </c>
      <c r="G52" t="str">
        <f>"1317.26"</f>
        <v>1317.26</v>
      </c>
      <c r="H52" t="str">
        <f>"2600.00"</f>
        <v>2600.00</v>
      </c>
      <c r="I52" t="str">
        <f>"70"</f>
        <v>70</v>
      </c>
      <c r="J52" t="str">
        <f>"证券买入(七一二)"</f>
        <v>证券买入(七一二)</v>
      </c>
      <c r="K52" t="str">
        <f>"10.82"</f>
        <v>10.82</v>
      </c>
      <c r="L52" t="str">
        <f>"0.00"</f>
        <v>0.00</v>
      </c>
      <c r="M52" t="str">
        <f>"0.22"</f>
        <v>0.22</v>
      </c>
      <c r="N52" t="str">
        <f t="shared" si="23"/>
        <v>0.00</v>
      </c>
      <c r="O52" t="str">
        <f>"603712"</f>
        <v>603712</v>
      </c>
      <c r="P52" t="str">
        <f>"A400948245"</f>
        <v>A400948245</v>
      </c>
    </row>
    <row r="53" spans="1:16" x14ac:dyDescent="0.25">
      <c r="A53" t="str">
        <f t="shared" si="0"/>
        <v>人民币</v>
      </c>
      <c r="B53" t="str">
        <f>"高能环境"</f>
        <v>高能环境</v>
      </c>
      <c r="C53" t="str">
        <f>"20190301"</f>
        <v>20190301</v>
      </c>
      <c r="D53" t="str">
        <f>"9.580"</f>
        <v>9.580</v>
      </c>
      <c r="E53" t="str">
        <f>"1000.00"</f>
        <v>1000.00</v>
      </c>
      <c r="F53" t="str">
        <f>"-9589.77"</f>
        <v>-9589.77</v>
      </c>
      <c r="G53" t="str">
        <f>"12146.30"</f>
        <v>12146.30</v>
      </c>
      <c r="H53" t="str">
        <f>"1000.00"</f>
        <v>1000.00</v>
      </c>
      <c r="I53" t="str">
        <f>"67"</f>
        <v>67</v>
      </c>
      <c r="J53" t="str">
        <f>"证券买入(高能环境)"</f>
        <v>证券买入(高能环境)</v>
      </c>
      <c r="K53" t="str">
        <f>"9.58"</f>
        <v>9.58</v>
      </c>
      <c r="L53" t="str">
        <f>"0.00"</f>
        <v>0.00</v>
      </c>
      <c r="M53" t="str">
        <f>"0.19"</f>
        <v>0.19</v>
      </c>
      <c r="N53" t="str">
        <f t="shared" si="23"/>
        <v>0.00</v>
      </c>
      <c r="O53" t="str">
        <f>"603588"</f>
        <v>603588</v>
      </c>
      <c r="P53" t="str">
        <f>"A400948245"</f>
        <v>A400948245</v>
      </c>
    </row>
    <row r="54" spans="1:16" x14ac:dyDescent="0.25">
      <c r="A54" t="str">
        <f t="shared" si="0"/>
        <v>人民币</v>
      </c>
      <c r="B54" t="str">
        <f>"江龙船艇"</f>
        <v>江龙船艇</v>
      </c>
      <c r="C54" t="str">
        <f t="shared" ref="C54:C59" si="24">"20190304"</f>
        <v>20190304</v>
      </c>
      <c r="D54" t="str">
        <f>"13.670"</f>
        <v>13.670</v>
      </c>
      <c r="E54" t="str">
        <f>"-500.00"</f>
        <v>-500.00</v>
      </c>
      <c r="F54" t="str">
        <f>"6821.32"</f>
        <v>6821.32</v>
      </c>
      <c r="G54" t="str">
        <f>"49373.28"</f>
        <v>49373.28</v>
      </c>
      <c r="H54" t="str">
        <f>"0.00"</f>
        <v>0.00</v>
      </c>
      <c r="I54" t="str">
        <f>"94"</f>
        <v>94</v>
      </c>
      <c r="J54" t="str">
        <f>"证券卖出(江龙船艇)"</f>
        <v>证券卖出(江龙船艇)</v>
      </c>
      <c r="K54" t="str">
        <f>"6.84"</f>
        <v>6.84</v>
      </c>
      <c r="L54" t="str">
        <f>"6.84"</f>
        <v>6.84</v>
      </c>
      <c r="M54" t="str">
        <f>"0.00"</f>
        <v>0.00</v>
      </c>
      <c r="N54" t="str">
        <f t="shared" si="23"/>
        <v>0.00</v>
      </c>
      <c r="O54" t="str">
        <f>"300589"</f>
        <v>300589</v>
      </c>
      <c r="P54" t="str">
        <f>"0153613480"</f>
        <v>0153613480</v>
      </c>
    </row>
    <row r="55" spans="1:16" x14ac:dyDescent="0.25">
      <c r="A55" t="str">
        <f t="shared" si="0"/>
        <v>人民币</v>
      </c>
      <c r="B55" t="str">
        <f>"江龙船艇"</f>
        <v>江龙船艇</v>
      </c>
      <c r="C55" t="str">
        <f t="shared" si="24"/>
        <v>20190304</v>
      </c>
      <c r="D55" t="str">
        <f>"13.700"</f>
        <v>13.700</v>
      </c>
      <c r="E55" t="str">
        <f>"-500.00"</f>
        <v>-500.00</v>
      </c>
      <c r="F55" t="str">
        <f>"6836.30"</f>
        <v>6836.30</v>
      </c>
      <c r="G55" t="str">
        <f>"42551.96"</f>
        <v>42551.96</v>
      </c>
      <c r="H55" t="str">
        <f>"500.00"</f>
        <v>500.00</v>
      </c>
      <c r="I55" t="str">
        <f>"91"</f>
        <v>91</v>
      </c>
      <c r="J55" t="str">
        <f>"证券卖出(江龙船艇)"</f>
        <v>证券卖出(江龙船艇)</v>
      </c>
      <c r="K55" t="str">
        <f>"6.85"</f>
        <v>6.85</v>
      </c>
      <c r="L55" t="str">
        <f>"6.85"</f>
        <v>6.85</v>
      </c>
      <c r="M55" t="str">
        <f>"0.00"</f>
        <v>0.00</v>
      </c>
      <c r="N55" t="str">
        <f t="shared" si="23"/>
        <v>0.00</v>
      </c>
      <c r="O55" t="str">
        <f>"300589"</f>
        <v>300589</v>
      </c>
      <c r="P55" t="str">
        <f>"0153613480"</f>
        <v>0153613480</v>
      </c>
    </row>
    <row r="56" spans="1:16" x14ac:dyDescent="0.25">
      <c r="A56" t="str">
        <f t="shared" si="0"/>
        <v>人民币</v>
      </c>
      <c r="B56" t="str">
        <f>"江龙船艇"</f>
        <v>江龙船艇</v>
      </c>
      <c r="C56" t="str">
        <f t="shared" si="24"/>
        <v>20190304</v>
      </c>
      <c r="D56" t="str">
        <f>"13.550"</f>
        <v>13.550</v>
      </c>
      <c r="E56" t="str">
        <f>"-1000.00"</f>
        <v>-1000.00</v>
      </c>
      <c r="F56" t="str">
        <f>"13522.90"</f>
        <v>13522.90</v>
      </c>
      <c r="G56" t="str">
        <f>"35715.66"</f>
        <v>35715.66</v>
      </c>
      <c r="H56" t="str">
        <f>"1000.00"</f>
        <v>1000.00</v>
      </c>
      <c r="I56" t="str">
        <f>"79"</f>
        <v>79</v>
      </c>
      <c r="J56" t="str">
        <f>"证券卖出(江龙船艇)"</f>
        <v>证券卖出(江龙船艇)</v>
      </c>
      <c r="K56" t="str">
        <f>"13.55"</f>
        <v>13.55</v>
      </c>
      <c r="L56" t="str">
        <f>"13.55"</f>
        <v>13.55</v>
      </c>
      <c r="M56" t="str">
        <f>"0.00"</f>
        <v>0.00</v>
      </c>
      <c r="N56" t="str">
        <f t="shared" si="23"/>
        <v>0.00</v>
      </c>
      <c r="O56" t="str">
        <f>"300589"</f>
        <v>300589</v>
      </c>
      <c r="P56" t="str">
        <f>"0153613480"</f>
        <v>0153613480</v>
      </c>
    </row>
    <row r="57" spans="1:16" x14ac:dyDescent="0.25">
      <c r="A57" t="str">
        <f t="shared" si="0"/>
        <v>人民币</v>
      </c>
      <c r="B57" t="str">
        <f>"中通国脉"</f>
        <v>中通国脉</v>
      </c>
      <c r="C57" t="str">
        <f t="shared" si="24"/>
        <v>20190304</v>
      </c>
      <c r="D57" t="str">
        <f>"24.500"</f>
        <v>24.500</v>
      </c>
      <c r="E57" t="str">
        <f>"-400.00"</f>
        <v>-400.00</v>
      </c>
      <c r="F57" t="str">
        <f>"9780.20"</f>
        <v>9780.20</v>
      </c>
      <c r="G57" t="str">
        <f>"22192.76"</f>
        <v>22192.76</v>
      </c>
      <c r="H57" t="str">
        <f>"600.00"</f>
        <v>600.00</v>
      </c>
      <c r="I57" t="str">
        <f>"98"</f>
        <v>98</v>
      </c>
      <c r="J57" t="str">
        <f>"证券卖出(中通国脉)"</f>
        <v>证券卖出(中通国脉)</v>
      </c>
      <c r="K57" t="str">
        <f>"9.80"</f>
        <v>9.80</v>
      </c>
      <c r="L57" t="str">
        <f>"9.80"</f>
        <v>9.80</v>
      </c>
      <c r="M57" t="str">
        <f>"0.20"</f>
        <v>0.20</v>
      </c>
      <c r="N57" t="str">
        <f t="shared" si="23"/>
        <v>0.00</v>
      </c>
      <c r="O57" t="str">
        <f>"603559"</f>
        <v>603559</v>
      </c>
      <c r="P57" t="str">
        <f>"A400948245"</f>
        <v>A400948245</v>
      </c>
    </row>
    <row r="58" spans="1:16" x14ac:dyDescent="0.25">
      <c r="A58" t="str">
        <f t="shared" si="0"/>
        <v>人民币</v>
      </c>
      <c r="B58" t="str">
        <f>"高能环境"</f>
        <v>高能环境</v>
      </c>
      <c r="C58" t="str">
        <f t="shared" si="24"/>
        <v>20190304</v>
      </c>
      <c r="D58" t="str">
        <f>"10.080"</f>
        <v>10.080</v>
      </c>
      <c r="E58" t="str">
        <f>"-1000.00"</f>
        <v>-1000.00</v>
      </c>
      <c r="F58" t="str">
        <f>"10059.64"</f>
        <v>10059.64</v>
      </c>
      <c r="G58" t="str">
        <f>"12412.56"</f>
        <v>12412.56</v>
      </c>
      <c r="H58" t="str">
        <f>"0.00"</f>
        <v>0.00</v>
      </c>
      <c r="I58" t="str">
        <f>"84"</f>
        <v>84</v>
      </c>
      <c r="J58" t="str">
        <f>"证券卖出(高能环境)"</f>
        <v>证券卖出(高能环境)</v>
      </c>
      <c r="K58" t="str">
        <f>"10.08"</f>
        <v>10.08</v>
      </c>
      <c r="L58" t="str">
        <f>"10.08"</f>
        <v>10.08</v>
      </c>
      <c r="M58" t="str">
        <f>"0.20"</f>
        <v>0.20</v>
      </c>
      <c r="N58" t="str">
        <f t="shared" si="23"/>
        <v>0.00</v>
      </c>
      <c r="O58" t="str">
        <f>"603588"</f>
        <v>603588</v>
      </c>
      <c r="P58" t="str">
        <f>"A400948245"</f>
        <v>A400948245</v>
      </c>
    </row>
    <row r="59" spans="1:16" x14ac:dyDescent="0.25">
      <c r="A59" t="str">
        <f t="shared" si="0"/>
        <v>人民币</v>
      </c>
      <c r="B59" t="str">
        <f>""</f>
        <v/>
      </c>
      <c r="C59" t="str">
        <f t="shared" si="24"/>
        <v>20190304</v>
      </c>
      <c r="D59" t="str">
        <f>"---"</f>
        <v>---</v>
      </c>
      <c r="E59" t="str">
        <f>"---"</f>
        <v>---</v>
      </c>
      <c r="F59" t="str">
        <f>"-10000.00"</f>
        <v>-10000.00</v>
      </c>
      <c r="G59" t="str">
        <f>"2352.92"</f>
        <v>2352.92</v>
      </c>
      <c r="H59" t="str">
        <f>"---"</f>
        <v>---</v>
      </c>
      <c r="I59" t="str">
        <f>"---"</f>
        <v>---</v>
      </c>
      <c r="J59" t="str">
        <f>"银行转取"</f>
        <v>银行转取</v>
      </c>
      <c r="K59" t="str">
        <f t="shared" ref="K59:P59" si="25">"---"</f>
        <v>---</v>
      </c>
      <c r="L59" t="str">
        <f t="shared" si="25"/>
        <v>---</v>
      </c>
      <c r="M59" t="str">
        <f t="shared" si="25"/>
        <v>---</v>
      </c>
      <c r="N59" t="str">
        <f t="shared" si="25"/>
        <v>---</v>
      </c>
      <c r="O59" t="str">
        <f t="shared" si="25"/>
        <v>---</v>
      </c>
      <c r="P59" t="str">
        <f t="shared" si="25"/>
        <v>---</v>
      </c>
    </row>
    <row r="60" spans="1:16" x14ac:dyDescent="0.25">
      <c r="A60" t="str">
        <f t="shared" si="0"/>
        <v>人民币</v>
      </c>
      <c r="B60" t="str">
        <f>"上海瀚讯"</f>
        <v>上海瀚讯</v>
      </c>
      <c r="C60" t="str">
        <f>"20190305"</f>
        <v>20190305</v>
      </c>
      <c r="D60" t="str">
        <f>"0.000"</f>
        <v>0.000</v>
      </c>
      <c r="E60" t="str">
        <f>"12.00"</f>
        <v>12.00</v>
      </c>
      <c r="F60" t="str">
        <f>"0.00"</f>
        <v>0.00</v>
      </c>
      <c r="G60" t="str">
        <f>"27181.67"</f>
        <v>27181.67</v>
      </c>
      <c r="H60" t="str">
        <f>"0.00"</f>
        <v>0.00</v>
      </c>
      <c r="I60" t="str">
        <f>"106"</f>
        <v>106</v>
      </c>
      <c r="J60" t="str">
        <f>"申购配号(上海瀚讯)"</f>
        <v>申购配号(上海瀚讯)</v>
      </c>
      <c r="K60" t="str">
        <f>"0.00"</f>
        <v>0.00</v>
      </c>
      <c r="L60" t="str">
        <f>"0.00"</f>
        <v>0.00</v>
      </c>
      <c r="M60" t="str">
        <f>"0.00"</f>
        <v>0.00</v>
      </c>
      <c r="N60" t="str">
        <f>"0.00"</f>
        <v>0.00</v>
      </c>
      <c r="O60" t="str">
        <f>"300762"</f>
        <v>300762</v>
      </c>
      <c r="P60" t="str">
        <f>"0153613480"</f>
        <v>0153613480</v>
      </c>
    </row>
    <row r="61" spans="1:16" x14ac:dyDescent="0.25">
      <c r="A61" t="str">
        <f t="shared" si="0"/>
        <v>人民币</v>
      </c>
      <c r="B61" t="str">
        <f>"中通国脉"</f>
        <v>中通国脉</v>
      </c>
      <c r="C61" t="str">
        <f>"20190305"</f>
        <v>20190305</v>
      </c>
      <c r="D61" t="str">
        <f>"25.160"</f>
        <v>25.160</v>
      </c>
      <c r="E61" t="str">
        <f>"400.00"</f>
        <v>400.00</v>
      </c>
      <c r="F61" t="str">
        <f>"-10074.26"</f>
        <v>-10074.26</v>
      </c>
      <c r="G61" t="str">
        <f>"27181.67"</f>
        <v>27181.67</v>
      </c>
      <c r="H61" t="str">
        <f>"1500.00"</f>
        <v>1500.00</v>
      </c>
      <c r="I61" t="str">
        <f>"117"</f>
        <v>117</v>
      </c>
      <c r="J61" t="str">
        <f>"证券买入(中通国脉)"</f>
        <v>证券买入(中通国脉)</v>
      </c>
      <c r="K61" t="str">
        <f>"10.06"</f>
        <v>10.06</v>
      </c>
      <c r="L61" t="str">
        <f>"0.00"</f>
        <v>0.00</v>
      </c>
      <c r="M61" t="str">
        <f>"0.20"</f>
        <v>0.20</v>
      </c>
      <c r="N61" t="str">
        <f t="shared" ref="N61:N71" si="26">"0.00"</f>
        <v>0.00</v>
      </c>
      <c r="O61" t="str">
        <f>"603559"</f>
        <v>603559</v>
      </c>
      <c r="P61" t="str">
        <f>"A400948245"</f>
        <v>A400948245</v>
      </c>
    </row>
    <row r="62" spans="1:16" x14ac:dyDescent="0.25">
      <c r="A62" t="str">
        <f t="shared" si="0"/>
        <v>人民币</v>
      </c>
      <c r="B62" t="str">
        <f>"中通国脉"</f>
        <v>中通国脉</v>
      </c>
      <c r="C62" t="str">
        <f>"20190305"</f>
        <v>20190305</v>
      </c>
      <c r="D62" t="str">
        <f>"24.210"</f>
        <v>24.210</v>
      </c>
      <c r="E62" t="str">
        <f>"500.00"</f>
        <v>500.00</v>
      </c>
      <c r="F62" t="str">
        <f>"-12117.35"</f>
        <v>-12117.35</v>
      </c>
      <c r="G62" t="str">
        <f>"37255.93"</f>
        <v>37255.93</v>
      </c>
      <c r="H62" t="str">
        <f>"1100.00"</f>
        <v>1100.00</v>
      </c>
      <c r="I62" t="str">
        <f>"108"</f>
        <v>108</v>
      </c>
      <c r="J62" t="str">
        <f>"证券买入(中通国脉)"</f>
        <v>证券买入(中通国脉)</v>
      </c>
      <c r="K62" t="str">
        <f>"12.11"</f>
        <v>12.11</v>
      </c>
      <c r="L62" t="str">
        <f>"0.00"</f>
        <v>0.00</v>
      </c>
      <c r="M62" t="str">
        <f>"0.24"</f>
        <v>0.24</v>
      </c>
      <c r="N62" t="str">
        <f t="shared" si="26"/>
        <v>0.00</v>
      </c>
      <c r="O62" t="str">
        <f>"603559"</f>
        <v>603559</v>
      </c>
      <c r="P62" t="str">
        <f>"A400948245"</f>
        <v>A400948245</v>
      </c>
    </row>
    <row r="63" spans="1:16" x14ac:dyDescent="0.25">
      <c r="A63" t="str">
        <f t="shared" si="0"/>
        <v>人民币</v>
      </c>
      <c r="B63" t="str">
        <f>"金时科技"</f>
        <v>金时科技</v>
      </c>
      <c r="C63" t="str">
        <f>"20190306"</f>
        <v>20190306</v>
      </c>
      <c r="D63" t="str">
        <f>"0.000"</f>
        <v>0.000</v>
      </c>
      <c r="E63" t="str">
        <f>"12.00"</f>
        <v>12.00</v>
      </c>
      <c r="F63" t="str">
        <f>"0.00"</f>
        <v>0.00</v>
      </c>
      <c r="G63" t="str">
        <f>"19009.56"</f>
        <v>19009.56</v>
      </c>
      <c r="H63" t="str">
        <f>"0.00"</f>
        <v>0.00</v>
      </c>
      <c r="I63" t="str">
        <f>"123"</f>
        <v>123</v>
      </c>
      <c r="J63" t="str">
        <f>"申购配号(金时科技)"</f>
        <v>申购配号(金时科技)</v>
      </c>
      <c r="K63" t="str">
        <f>"0.00"</f>
        <v>0.00</v>
      </c>
      <c r="L63" t="str">
        <f>"0.00"</f>
        <v>0.00</v>
      </c>
      <c r="M63" t="str">
        <f>"0.00"</f>
        <v>0.00</v>
      </c>
      <c r="N63" t="str">
        <f t="shared" si="26"/>
        <v>0.00</v>
      </c>
      <c r="O63" t="str">
        <f>"002951"</f>
        <v>002951</v>
      </c>
      <c r="P63" t="str">
        <f>"0153613480"</f>
        <v>0153613480</v>
      </c>
    </row>
    <row r="64" spans="1:16" x14ac:dyDescent="0.25">
      <c r="A64" t="str">
        <f t="shared" si="0"/>
        <v>人民币</v>
      </c>
      <c r="B64" t="str">
        <f>"信立泰"</f>
        <v>信立泰</v>
      </c>
      <c r="C64" t="str">
        <f>"20190306"</f>
        <v>20190306</v>
      </c>
      <c r="D64" t="str">
        <f>"25.760"</f>
        <v>25.760</v>
      </c>
      <c r="E64" t="str">
        <f>"300.00"</f>
        <v>300.00</v>
      </c>
      <c r="F64" t="str">
        <f>"-7735.73"</f>
        <v>-7735.73</v>
      </c>
      <c r="G64" t="str">
        <f>"19009.56"</f>
        <v>19009.56</v>
      </c>
      <c r="H64" t="str">
        <f>"800.00"</f>
        <v>800.00</v>
      </c>
      <c r="I64" t="str">
        <f>"137"</f>
        <v>137</v>
      </c>
      <c r="J64" t="str">
        <f>"证券买入(信立泰)"</f>
        <v>证券买入(信立泰)</v>
      </c>
      <c r="K64" t="str">
        <f>"7.73"</f>
        <v>7.73</v>
      </c>
      <c r="L64" t="str">
        <f>"0.00"</f>
        <v>0.00</v>
      </c>
      <c r="M64" t="str">
        <f>"0.00"</f>
        <v>0.00</v>
      </c>
      <c r="N64" t="str">
        <f t="shared" si="26"/>
        <v>0.00</v>
      </c>
      <c r="O64" t="str">
        <f>"002294"</f>
        <v>002294</v>
      </c>
      <c r="P64" t="str">
        <f>"0153613480"</f>
        <v>0153613480</v>
      </c>
    </row>
    <row r="65" spans="1:16" x14ac:dyDescent="0.25">
      <c r="A65" t="str">
        <f t="shared" si="0"/>
        <v>人民币</v>
      </c>
      <c r="B65" t="str">
        <f>"信立泰"</f>
        <v>信立泰</v>
      </c>
      <c r="C65" t="str">
        <f>"20190306"</f>
        <v>20190306</v>
      </c>
      <c r="D65" t="str">
        <f>"25.946"</f>
        <v>25.946</v>
      </c>
      <c r="E65" t="str">
        <f>"500.00"</f>
        <v>500.00</v>
      </c>
      <c r="F65" t="str">
        <f>"-12985.97"</f>
        <v>-12985.97</v>
      </c>
      <c r="G65" t="str">
        <f>"26745.29"</f>
        <v>26745.29</v>
      </c>
      <c r="H65" t="str">
        <f>"500.00"</f>
        <v>500.00</v>
      </c>
      <c r="I65" t="str">
        <f>"128"</f>
        <v>128</v>
      </c>
      <c r="J65" t="str">
        <f>"证券买入(信立泰)"</f>
        <v>证券买入(信立泰)</v>
      </c>
      <c r="K65" t="str">
        <f>"12.97"</f>
        <v>12.97</v>
      </c>
      <c r="L65" t="str">
        <f>"0.00"</f>
        <v>0.00</v>
      </c>
      <c r="M65" t="str">
        <f>"0.00"</f>
        <v>0.00</v>
      </c>
      <c r="N65" t="str">
        <f t="shared" si="26"/>
        <v>0.00</v>
      </c>
      <c r="O65" t="str">
        <f>"002294"</f>
        <v>002294</v>
      </c>
      <c r="P65" t="str">
        <f>"0153613480"</f>
        <v>0153613480</v>
      </c>
    </row>
    <row r="66" spans="1:16" x14ac:dyDescent="0.25">
      <c r="A66" t="str">
        <f t="shared" ref="A66:A125" si="27">"人民币"</f>
        <v>人民币</v>
      </c>
      <c r="B66" t="str">
        <f>"中通国脉"</f>
        <v>中通国脉</v>
      </c>
      <c r="C66" t="str">
        <f>"20190306"</f>
        <v>20190306</v>
      </c>
      <c r="D66" t="str">
        <f>"25.150"</f>
        <v>25.150</v>
      </c>
      <c r="E66" t="str">
        <f>"-500.00"</f>
        <v>-500.00</v>
      </c>
      <c r="F66" t="str">
        <f>"12549.59"</f>
        <v>12549.59</v>
      </c>
      <c r="G66" t="str">
        <f>"39731.26"</f>
        <v>39731.26</v>
      </c>
      <c r="H66" t="str">
        <f>"1000.00"</f>
        <v>1000.00</v>
      </c>
      <c r="I66" t="str">
        <f>"134"</f>
        <v>134</v>
      </c>
      <c r="J66" t="str">
        <f>"证券卖出(中通国脉)"</f>
        <v>证券卖出(中通国脉)</v>
      </c>
      <c r="K66" t="str">
        <f>"12.58"</f>
        <v>12.58</v>
      </c>
      <c r="L66" t="str">
        <f>"12.58"</f>
        <v>12.58</v>
      </c>
      <c r="M66" t="str">
        <f>"0.25"</f>
        <v>0.25</v>
      </c>
      <c r="N66" t="str">
        <f t="shared" si="26"/>
        <v>0.00</v>
      </c>
      <c r="O66" t="str">
        <f>"603559"</f>
        <v>603559</v>
      </c>
      <c r="P66" t="str">
        <f>"A400948245"</f>
        <v>A400948245</v>
      </c>
    </row>
    <row r="67" spans="1:16" x14ac:dyDescent="0.25">
      <c r="A67" t="str">
        <f t="shared" si="27"/>
        <v>人民币</v>
      </c>
      <c r="B67" t="str">
        <f>"信立泰"</f>
        <v>信立泰</v>
      </c>
      <c r="C67" t="str">
        <f t="shared" ref="C67:C72" si="28">"20190307"</f>
        <v>20190307</v>
      </c>
      <c r="D67" t="str">
        <f>"25.540"</f>
        <v>25.540</v>
      </c>
      <c r="E67" t="str">
        <f>"200.00"</f>
        <v>200.00</v>
      </c>
      <c r="F67" t="str">
        <f>"-5113.11"</f>
        <v>-5113.11</v>
      </c>
      <c r="G67" t="str">
        <f>"41073.59"</f>
        <v>41073.59</v>
      </c>
      <c r="H67" t="str">
        <f>"1000.00"</f>
        <v>1000.00</v>
      </c>
      <c r="I67" t="str">
        <f>"147"</f>
        <v>147</v>
      </c>
      <c r="J67" t="str">
        <f>"证券买入(信立泰)"</f>
        <v>证券买入(信立泰)</v>
      </c>
      <c r="K67" t="str">
        <f>"5.11"</f>
        <v>5.11</v>
      </c>
      <c r="L67" t="str">
        <f>"0.00"</f>
        <v>0.00</v>
      </c>
      <c r="M67" t="str">
        <f>"0.00"</f>
        <v>0.00</v>
      </c>
      <c r="N67" t="str">
        <f t="shared" si="26"/>
        <v>0.00</v>
      </c>
      <c r="O67" t="str">
        <f>"002294"</f>
        <v>002294</v>
      </c>
      <c r="P67" t="str">
        <f>"0153613480"</f>
        <v>0153613480</v>
      </c>
    </row>
    <row r="68" spans="1:16" x14ac:dyDescent="0.25">
      <c r="A68" t="str">
        <f t="shared" si="27"/>
        <v>人民币</v>
      </c>
      <c r="B68" t="str">
        <f>"中通国脉"</f>
        <v>中通国脉</v>
      </c>
      <c r="C68" t="str">
        <f t="shared" si="28"/>
        <v>20190307</v>
      </c>
      <c r="D68" t="str">
        <f>"26.040"</f>
        <v>26.040</v>
      </c>
      <c r="E68" t="str">
        <f>"-900.00"</f>
        <v>-900.00</v>
      </c>
      <c r="F68" t="str">
        <f>"23388.65"</f>
        <v>23388.65</v>
      </c>
      <c r="G68" t="str">
        <f>"46186.70"</f>
        <v>46186.70</v>
      </c>
      <c r="H68" t="str">
        <f>"600.00"</f>
        <v>600.00</v>
      </c>
      <c r="I68" t="str">
        <f>"167"</f>
        <v>167</v>
      </c>
      <c r="J68" t="str">
        <f>"证券卖出(中通国脉)"</f>
        <v>证券卖出(中通国脉)</v>
      </c>
      <c r="K68" t="str">
        <f>"23.44"</f>
        <v>23.44</v>
      </c>
      <c r="L68" t="str">
        <f>"23.44"</f>
        <v>23.44</v>
      </c>
      <c r="M68" t="str">
        <f>"0.47"</f>
        <v>0.47</v>
      </c>
      <c r="N68" t="str">
        <f t="shared" si="26"/>
        <v>0.00</v>
      </c>
      <c r="O68" t="str">
        <f>"603559"</f>
        <v>603559</v>
      </c>
      <c r="P68" t="str">
        <f>"A400948245"</f>
        <v>A400948245</v>
      </c>
    </row>
    <row r="69" spans="1:16" x14ac:dyDescent="0.25">
      <c r="A69" t="str">
        <f t="shared" si="27"/>
        <v>人民币</v>
      </c>
      <c r="B69" t="str">
        <f>"七一二"</f>
        <v>七一二</v>
      </c>
      <c r="C69" t="str">
        <f t="shared" si="28"/>
        <v>20190307</v>
      </c>
      <c r="D69" t="str">
        <f>"20.490"</f>
        <v>20.490</v>
      </c>
      <c r="E69" t="str">
        <f>"-500.00"</f>
        <v>-500.00</v>
      </c>
      <c r="F69" t="str">
        <f>"10224.30"</f>
        <v>10224.30</v>
      </c>
      <c r="G69" t="str">
        <f>"22798.05"</f>
        <v>22798.05</v>
      </c>
      <c r="H69" t="str">
        <f>"1700.00"</f>
        <v>1700.00</v>
      </c>
      <c r="I69" t="str">
        <f>"160"</f>
        <v>160</v>
      </c>
      <c r="J69" t="str">
        <f>"证券卖出(七一二)"</f>
        <v>证券卖出(七一二)</v>
      </c>
      <c r="K69" t="str">
        <f>"10.25"</f>
        <v>10.25</v>
      </c>
      <c r="L69" t="str">
        <f>"10.25"</f>
        <v>10.25</v>
      </c>
      <c r="M69" t="str">
        <f>"0.20"</f>
        <v>0.20</v>
      </c>
      <c r="N69" t="str">
        <f t="shared" si="26"/>
        <v>0.00</v>
      </c>
      <c r="O69" t="str">
        <f>"603712"</f>
        <v>603712</v>
      </c>
      <c r="P69" t="str">
        <f>"A400948245"</f>
        <v>A400948245</v>
      </c>
    </row>
    <row r="70" spans="1:16" x14ac:dyDescent="0.25">
      <c r="A70" t="str">
        <f t="shared" si="27"/>
        <v>人民币</v>
      </c>
      <c r="B70" t="str">
        <f>"七一二"</f>
        <v>七一二</v>
      </c>
      <c r="C70" t="str">
        <f t="shared" si="28"/>
        <v>20190307</v>
      </c>
      <c r="D70" t="str">
        <f>"19.690"</f>
        <v>19.690</v>
      </c>
      <c r="E70" t="str">
        <f>"200.00"</f>
        <v>200.00</v>
      </c>
      <c r="F70" t="str">
        <f>"-3943.08"</f>
        <v>-3943.08</v>
      </c>
      <c r="G70" t="str">
        <f>"12573.75"</f>
        <v>12573.75</v>
      </c>
      <c r="H70" t="str">
        <f>"2200.00"</f>
        <v>2200.00</v>
      </c>
      <c r="I70" t="str">
        <f>"156"</f>
        <v>156</v>
      </c>
      <c r="J70" t="str">
        <f>"证券买入(七一二)"</f>
        <v>证券买入(七一二)</v>
      </c>
      <c r="K70" t="str">
        <f>"5.00"</f>
        <v>5.00</v>
      </c>
      <c r="L70" t="str">
        <f>"0.00"</f>
        <v>0.00</v>
      </c>
      <c r="M70" t="str">
        <f>"0.08"</f>
        <v>0.08</v>
      </c>
      <c r="N70" t="str">
        <f t="shared" si="26"/>
        <v>0.00</v>
      </c>
      <c r="O70" t="str">
        <f>"603712"</f>
        <v>603712</v>
      </c>
      <c r="P70" t="str">
        <f>"A400948245"</f>
        <v>A400948245</v>
      </c>
    </row>
    <row r="71" spans="1:16" x14ac:dyDescent="0.25">
      <c r="A71" t="str">
        <f t="shared" si="27"/>
        <v>人民币</v>
      </c>
      <c r="B71" t="str">
        <f>"中通国脉"</f>
        <v>中通国脉</v>
      </c>
      <c r="C71" t="str">
        <f t="shared" si="28"/>
        <v>20190307</v>
      </c>
      <c r="D71" t="str">
        <f>"24.960"</f>
        <v>24.960</v>
      </c>
      <c r="E71" t="str">
        <f>"500.00"</f>
        <v>500.00</v>
      </c>
      <c r="F71" t="str">
        <f>"-12492.73"</f>
        <v>-12492.73</v>
      </c>
      <c r="G71" t="str">
        <f>"16516.83"</f>
        <v>16516.83</v>
      </c>
      <c r="H71" t="str">
        <f>"1500.00"</f>
        <v>1500.00</v>
      </c>
      <c r="I71" t="str">
        <f>"144"</f>
        <v>144</v>
      </c>
      <c r="J71" t="str">
        <f>"证券买入(中通国脉)"</f>
        <v>证券买入(中通国脉)</v>
      </c>
      <c r="K71" t="str">
        <f>"12.48"</f>
        <v>12.48</v>
      </c>
      <c r="L71" t="str">
        <f>"0.00"</f>
        <v>0.00</v>
      </c>
      <c r="M71" t="str">
        <f>"0.25"</f>
        <v>0.25</v>
      </c>
      <c r="N71" t="str">
        <f t="shared" si="26"/>
        <v>0.00</v>
      </c>
      <c r="O71" t="str">
        <f>"603559"</f>
        <v>603559</v>
      </c>
      <c r="P71" t="str">
        <f>"A400948245"</f>
        <v>A400948245</v>
      </c>
    </row>
    <row r="72" spans="1:16" x14ac:dyDescent="0.25">
      <c r="A72" t="str">
        <f t="shared" si="27"/>
        <v>人民币</v>
      </c>
      <c r="B72" t="str">
        <f>""</f>
        <v/>
      </c>
      <c r="C72" t="str">
        <f t="shared" si="28"/>
        <v>20190307</v>
      </c>
      <c r="D72" t="str">
        <f>"---"</f>
        <v>---</v>
      </c>
      <c r="E72" t="str">
        <f>"---"</f>
        <v>---</v>
      </c>
      <c r="F72" t="str">
        <f>"10000.00"</f>
        <v>10000.00</v>
      </c>
      <c r="G72" t="str">
        <f>"29009.56"</f>
        <v>29009.56</v>
      </c>
      <c r="H72" t="str">
        <f>"---"</f>
        <v>---</v>
      </c>
      <c r="I72" t="str">
        <f>"---"</f>
        <v>---</v>
      </c>
      <c r="J72" t="str">
        <f>"银行转存"</f>
        <v>银行转存</v>
      </c>
      <c r="K72" t="str">
        <f t="shared" ref="K72:P72" si="29">"---"</f>
        <v>---</v>
      </c>
      <c r="L72" t="str">
        <f t="shared" si="29"/>
        <v>---</v>
      </c>
      <c r="M72" t="str">
        <f t="shared" si="29"/>
        <v>---</v>
      </c>
      <c r="N72" t="str">
        <f t="shared" si="29"/>
        <v>---</v>
      </c>
      <c r="O72" t="str">
        <f t="shared" si="29"/>
        <v>---</v>
      </c>
      <c r="P72" t="str">
        <f t="shared" si="29"/>
        <v>---</v>
      </c>
    </row>
    <row r="73" spans="1:16" x14ac:dyDescent="0.25">
      <c r="A73" t="str">
        <f t="shared" si="27"/>
        <v>人民币</v>
      </c>
      <c r="B73" t="str">
        <f>"锦浪科技"</f>
        <v>锦浪科技</v>
      </c>
      <c r="C73" t="str">
        <f t="shared" ref="C73:C78" si="30">"20190308"</f>
        <v>20190308</v>
      </c>
      <c r="D73" t="str">
        <f>"0.000"</f>
        <v>0.000</v>
      </c>
      <c r="E73" t="str">
        <f>"11.00"</f>
        <v>11.00</v>
      </c>
      <c r="F73" t="str">
        <f>"0.00"</f>
        <v>0.00</v>
      </c>
      <c r="G73" t="str">
        <f>"9508.94"</f>
        <v>9508.94</v>
      </c>
      <c r="H73" t="str">
        <f>"0.00"</f>
        <v>0.00</v>
      </c>
      <c r="I73" t="str">
        <f>"194"</f>
        <v>194</v>
      </c>
      <c r="J73" t="str">
        <f>"申购配号(锦浪科技)"</f>
        <v>申购配号(锦浪科技)</v>
      </c>
      <c r="K73" t="str">
        <f>"0.00"</f>
        <v>0.00</v>
      </c>
      <c r="L73" t="str">
        <f>"0.00"</f>
        <v>0.00</v>
      </c>
      <c r="M73" t="str">
        <f>"0.00"</f>
        <v>0.00</v>
      </c>
      <c r="N73" t="str">
        <f>"0.00"</f>
        <v>0.00</v>
      </c>
      <c r="O73" t="str">
        <f>"300763"</f>
        <v>300763</v>
      </c>
      <c r="P73" t="str">
        <f>"0153613480"</f>
        <v>0153613480</v>
      </c>
    </row>
    <row r="74" spans="1:16" x14ac:dyDescent="0.25">
      <c r="A74" t="str">
        <f t="shared" si="27"/>
        <v>人民币</v>
      </c>
      <c r="B74" t="str">
        <f>"白银有色"</f>
        <v>白银有色</v>
      </c>
      <c r="C74" t="str">
        <f t="shared" si="30"/>
        <v>20190308</v>
      </c>
      <c r="D74" t="str">
        <f>"5.530"</f>
        <v>5.530</v>
      </c>
      <c r="E74" t="str">
        <f>"500.00"</f>
        <v>500.00</v>
      </c>
      <c r="F74" t="str">
        <f>"-2770.06"</f>
        <v>-2770.06</v>
      </c>
      <c r="G74" t="str">
        <f>"9508.94"</f>
        <v>9508.94</v>
      </c>
      <c r="H74" t="str">
        <f>"1000.00"</f>
        <v>1000.00</v>
      </c>
      <c r="I74" t="str">
        <f>"191"</f>
        <v>191</v>
      </c>
      <c r="J74" t="str">
        <f>"证券买入(白银有色)"</f>
        <v>证券买入(白银有色)</v>
      </c>
      <c r="K74" t="str">
        <f>"5.00"</f>
        <v>5.00</v>
      </c>
      <c r="L74" t="str">
        <f>"0.00"</f>
        <v>0.00</v>
      </c>
      <c r="M74" t="str">
        <f>"0.06"</f>
        <v>0.06</v>
      </c>
      <c r="N74" t="str">
        <f>"0.00"</f>
        <v>0.00</v>
      </c>
      <c r="O74" t="str">
        <f>"601212"</f>
        <v>601212</v>
      </c>
      <c r="P74" t="str">
        <f>"A400948245"</f>
        <v>A400948245</v>
      </c>
    </row>
    <row r="75" spans="1:16" x14ac:dyDescent="0.25">
      <c r="A75" t="str">
        <f t="shared" si="27"/>
        <v>人民币</v>
      </c>
      <c r="B75" t="str">
        <f>"中通国脉"</f>
        <v>中通国脉</v>
      </c>
      <c r="C75" t="str">
        <f t="shared" si="30"/>
        <v>20190308</v>
      </c>
      <c r="D75" t="str">
        <f>"26.070"</f>
        <v>26.070</v>
      </c>
      <c r="E75" t="str">
        <f>"400.00"</f>
        <v>400.00</v>
      </c>
      <c r="F75" t="str">
        <f>"-10438.64"</f>
        <v>-10438.64</v>
      </c>
      <c r="G75" t="str">
        <f>"12279.00"</f>
        <v>12279.00</v>
      </c>
      <c r="H75" t="str">
        <f>"1000.00"</f>
        <v>1000.00</v>
      </c>
      <c r="I75" t="str">
        <f>"188"</f>
        <v>188</v>
      </c>
      <c r="J75" t="str">
        <f>"证券买入(中通国脉)"</f>
        <v>证券买入(中通国脉)</v>
      </c>
      <c r="K75" t="str">
        <f>"10.43"</f>
        <v>10.43</v>
      </c>
      <c r="L75" t="str">
        <f>"0.00"</f>
        <v>0.00</v>
      </c>
      <c r="M75" t="str">
        <f>"0.21"</f>
        <v>0.21</v>
      </c>
      <c r="N75" t="str">
        <f>"0.00"</f>
        <v>0.00</v>
      </c>
      <c r="O75" t="str">
        <f>"603559"</f>
        <v>603559</v>
      </c>
      <c r="P75" t="str">
        <f>"A400948245"</f>
        <v>A400948245</v>
      </c>
    </row>
    <row r="76" spans="1:16" x14ac:dyDescent="0.25">
      <c r="A76" t="str">
        <f t="shared" si="27"/>
        <v>人民币</v>
      </c>
      <c r="B76" t="str">
        <f>"七一二"</f>
        <v>七一二</v>
      </c>
      <c r="C76" t="str">
        <f t="shared" si="30"/>
        <v>20190308</v>
      </c>
      <c r="D76" t="str">
        <f>"19.250"</f>
        <v>19.250</v>
      </c>
      <c r="E76" t="str">
        <f>"300.00"</f>
        <v>300.00</v>
      </c>
      <c r="F76" t="str">
        <f>"-5780.90"</f>
        <v>-5780.90</v>
      </c>
      <c r="G76" t="str">
        <f>"22717.64"</f>
        <v>22717.64</v>
      </c>
      <c r="H76" t="str">
        <f>"2000.00"</f>
        <v>2000.00</v>
      </c>
      <c r="I76" t="str">
        <f>"185"</f>
        <v>185</v>
      </c>
      <c r="J76" t="str">
        <f>"证券买入(七一二)"</f>
        <v>证券买入(七一二)</v>
      </c>
      <c r="K76" t="str">
        <f>"5.78"</f>
        <v>5.78</v>
      </c>
      <c r="L76" t="str">
        <f>"0.00"</f>
        <v>0.00</v>
      </c>
      <c r="M76" t="str">
        <f>"0.12"</f>
        <v>0.12</v>
      </c>
      <c r="N76" t="str">
        <f>"0.00"</f>
        <v>0.00</v>
      </c>
      <c r="O76" t="str">
        <f>"603712"</f>
        <v>603712</v>
      </c>
      <c r="P76" t="str">
        <f>"A400948245"</f>
        <v>A400948245</v>
      </c>
    </row>
    <row r="77" spans="1:16" x14ac:dyDescent="0.25">
      <c r="A77" t="str">
        <f t="shared" si="27"/>
        <v>人民币</v>
      </c>
      <c r="B77" t="str">
        <f>"白银有色"</f>
        <v>白银有色</v>
      </c>
      <c r="C77" t="str">
        <f t="shared" si="30"/>
        <v>20190308</v>
      </c>
      <c r="D77" t="str">
        <f>"5.140"</f>
        <v>5.140</v>
      </c>
      <c r="E77" t="str">
        <f>"500.00"</f>
        <v>500.00</v>
      </c>
      <c r="F77" t="str">
        <f>"-2575.05"</f>
        <v>-2575.05</v>
      </c>
      <c r="G77" t="str">
        <f>"28498.54"</f>
        <v>28498.54</v>
      </c>
      <c r="H77" t="str">
        <f>"500.00"</f>
        <v>500.00</v>
      </c>
      <c r="I77" t="str">
        <f>"175"</f>
        <v>175</v>
      </c>
      <c r="J77" t="str">
        <f>"证券买入(白银有色)"</f>
        <v>证券买入(白银有色)</v>
      </c>
      <c r="K77" t="str">
        <f>"5.00"</f>
        <v>5.00</v>
      </c>
      <c r="L77" t="str">
        <f>"0.00"</f>
        <v>0.00</v>
      </c>
      <c r="M77" t="str">
        <f>"0.05"</f>
        <v>0.05</v>
      </c>
      <c r="N77" t="str">
        <f>"0.00"</f>
        <v>0.00</v>
      </c>
      <c r="O77" t="str">
        <f>"601212"</f>
        <v>601212</v>
      </c>
      <c r="P77" t="str">
        <f>"A400948245"</f>
        <v>A400948245</v>
      </c>
    </row>
    <row r="78" spans="1:16" x14ac:dyDescent="0.25">
      <c r="A78" t="str">
        <f t="shared" si="27"/>
        <v>人民币</v>
      </c>
      <c r="B78" t="str">
        <f>""</f>
        <v/>
      </c>
      <c r="C78" t="str">
        <f t="shared" si="30"/>
        <v>20190308</v>
      </c>
      <c r="D78" t="str">
        <f>"---"</f>
        <v>---</v>
      </c>
      <c r="E78" t="str">
        <f>"---"</f>
        <v>---</v>
      </c>
      <c r="F78" t="str">
        <f>"-10000.00"</f>
        <v>-10000.00</v>
      </c>
      <c r="G78" t="str">
        <f>"31073.59"</f>
        <v>31073.59</v>
      </c>
      <c r="H78" t="str">
        <f>"---"</f>
        <v>---</v>
      </c>
      <c r="I78" t="str">
        <f>"---"</f>
        <v>---</v>
      </c>
      <c r="J78" t="str">
        <f>"银行转取"</f>
        <v>银行转取</v>
      </c>
      <c r="K78" t="str">
        <f t="shared" ref="K78:P78" si="31">"---"</f>
        <v>---</v>
      </c>
      <c r="L78" t="str">
        <f t="shared" si="31"/>
        <v>---</v>
      </c>
      <c r="M78" t="str">
        <f t="shared" si="31"/>
        <v>---</v>
      </c>
      <c r="N78" t="str">
        <f t="shared" si="31"/>
        <v>---</v>
      </c>
      <c r="O78" t="str">
        <f t="shared" si="31"/>
        <v>---</v>
      </c>
      <c r="P78" t="str">
        <f t="shared" si="31"/>
        <v>---</v>
      </c>
    </row>
    <row r="79" spans="1:16" x14ac:dyDescent="0.25">
      <c r="A79" t="str">
        <f t="shared" si="27"/>
        <v>人民币</v>
      </c>
      <c r="B79" t="str">
        <f>"白银有色"</f>
        <v>白银有色</v>
      </c>
      <c r="C79" t="str">
        <f>"20190311"</f>
        <v>20190311</v>
      </c>
      <c r="D79" t="str">
        <f>"5.140"</f>
        <v>5.140</v>
      </c>
      <c r="E79" t="str">
        <f>"800.00"</f>
        <v>800.00</v>
      </c>
      <c r="F79" t="str">
        <f>"-4117.08"</f>
        <v>-4117.08</v>
      </c>
      <c r="G79" t="str">
        <f>"217.76"</f>
        <v>217.76</v>
      </c>
      <c r="H79" t="str">
        <f>"2800.00"</f>
        <v>2800.00</v>
      </c>
      <c r="I79" t="str">
        <f>"209"</f>
        <v>209</v>
      </c>
      <c r="J79" t="str">
        <f>"证券买入(白银有色)"</f>
        <v>证券买入(白银有色)</v>
      </c>
      <c r="K79" t="str">
        <f>"5.00"</f>
        <v>5.00</v>
      </c>
      <c r="L79" t="str">
        <f>"0.00"</f>
        <v>0.00</v>
      </c>
      <c r="M79" t="str">
        <f>"0.08"</f>
        <v>0.08</v>
      </c>
      <c r="N79" t="str">
        <f t="shared" ref="N79:N90" si="32">"0.00"</f>
        <v>0.00</v>
      </c>
      <c r="O79" t="str">
        <f>"601212"</f>
        <v>601212</v>
      </c>
      <c r="P79" t="str">
        <f>"A400948245"</f>
        <v>A400948245</v>
      </c>
    </row>
    <row r="80" spans="1:16" x14ac:dyDescent="0.25">
      <c r="A80" t="str">
        <f t="shared" si="27"/>
        <v>人民币</v>
      </c>
      <c r="B80" t="str">
        <f>"白银有色"</f>
        <v>白银有色</v>
      </c>
      <c r="C80" t="str">
        <f>"20190311"</f>
        <v>20190311</v>
      </c>
      <c r="D80" t="str">
        <f>"5.110"</f>
        <v>5.110</v>
      </c>
      <c r="E80" t="str">
        <f>"400.00"</f>
        <v>400.00</v>
      </c>
      <c r="F80" t="str">
        <f>"-2049.04"</f>
        <v>-2049.04</v>
      </c>
      <c r="G80" t="str">
        <f>"4334.84"</f>
        <v>4334.84</v>
      </c>
      <c r="H80" t="str">
        <f>"2000.00"</f>
        <v>2000.00</v>
      </c>
      <c r="I80" t="str">
        <f>"206"</f>
        <v>206</v>
      </c>
      <c r="J80" t="str">
        <f>"证券买入(白银有色)"</f>
        <v>证券买入(白银有色)</v>
      </c>
      <c r="K80" t="str">
        <f>"5.00"</f>
        <v>5.00</v>
      </c>
      <c r="L80" t="str">
        <f>"0.00"</f>
        <v>0.00</v>
      </c>
      <c r="M80" t="str">
        <f>"0.04"</f>
        <v>0.04</v>
      </c>
      <c r="N80" t="str">
        <f t="shared" si="32"/>
        <v>0.00</v>
      </c>
      <c r="O80" t="str">
        <f>"601212"</f>
        <v>601212</v>
      </c>
      <c r="P80" t="str">
        <f>"A400948245"</f>
        <v>A400948245</v>
      </c>
    </row>
    <row r="81" spans="1:16" x14ac:dyDescent="0.25">
      <c r="A81" t="str">
        <f t="shared" si="27"/>
        <v>人民币</v>
      </c>
      <c r="B81" t="str">
        <f>"白银有色"</f>
        <v>白银有色</v>
      </c>
      <c r="C81" t="str">
        <f>"20190311"</f>
        <v>20190311</v>
      </c>
      <c r="D81" t="str">
        <f>"5.200"</f>
        <v>5.200</v>
      </c>
      <c r="E81" t="str">
        <f>"600.00"</f>
        <v>600.00</v>
      </c>
      <c r="F81" t="str">
        <f>"-3125.06"</f>
        <v>-3125.06</v>
      </c>
      <c r="G81" t="str">
        <f>"6383.88"</f>
        <v>6383.88</v>
      </c>
      <c r="H81" t="str">
        <f>"1600.00"</f>
        <v>1600.00</v>
      </c>
      <c r="I81" t="str">
        <f>"202"</f>
        <v>202</v>
      </c>
      <c r="J81" t="str">
        <f>"证券买入(白银有色)"</f>
        <v>证券买入(白银有色)</v>
      </c>
      <c r="K81" t="str">
        <f>"5.00"</f>
        <v>5.00</v>
      </c>
      <c r="L81" t="str">
        <f>"0.00"</f>
        <v>0.00</v>
      </c>
      <c r="M81" t="str">
        <f>"0.06"</f>
        <v>0.06</v>
      </c>
      <c r="N81" t="str">
        <f t="shared" si="32"/>
        <v>0.00</v>
      </c>
      <c r="O81" t="str">
        <f>"601212"</f>
        <v>601212</v>
      </c>
      <c r="P81" t="str">
        <f>"A400948245"</f>
        <v>A400948245</v>
      </c>
    </row>
    <row r="82" spans="1:16" x14ac:dyDescent="0.25">
      <c r="A82" t="str">
        <f t="shared" si="27"/>
        <v>人民币</v>
      </c>
      <c r="B82" t="str">
        <f>"每日互动"</f>
        <v>每日互动</v>
      </c>
      <c r="C82" t="str">
        <f>"20190312"</f>
        <v>20190312</v>
      </c>
      <c r="D82" t="str">
        <f>"0.000"</f>
        <v>0.000</v>
      </c>
      <c r="E82" t="str">
        <f>"10.00"</f>
        <v>10.00</v>
      </c>
      <c r="F82" t="str">
        <f>"0.00"</f>
        <v>0.00</v>
      </c>
      <c r="G82" t="str">
        <f>"13.35"</f>
        <v>13.35</v>
      </c>
      <c r="H82" t="str">
        <f>"0.00"</f>
        <v>0.00</v>
      </c>
      <c r="I82" t="str">
        <f>"215"</f>
        <v>215</v>
      </c>
      <c r="J82" t="str">
        <f>"申购配号(每日互动)"</f>
        <v>申购配号(每日互动)</v>
      </c>
      <c r="K82" t="str">
        <f>"0.00"</f>
        <v>0.00</v>
      </c>
      <c r="L82" t="str">
        <f>"0.00"</f>
        <v>0.00</v>
      </c>
      <c r="M82" t="str">
        <f>"0.00"</f>
        <v>0.00</v>
      </c>
      <c r="N82" t="str">
        <f t="shared" si="32"/>
        <v>0.00</v>
      </c>
      <c r="O82" t="str">
        <f>"300766"</f>
        <v>300766</v>
      </c>
      <c r="P82" t="str">
        <f>"0153613480"</f>
        <v>0153613480</v>
      </c>
    </row>
    <row r="83" spans="1:16" x14ac:dyDescent="0.25">
      <c r="A83" t="str">
        <f t="shared" si="27"/>
        <v>人民币</v>
      </c>
      <c r="B83" t="str">
        <f>"中通国脉"</f>
        <v>中通国脉</v>
      </c>
      <c r="C83" t="str">
        <f>"20190312"</f>
        <v>20190312</v>
      </c>
      <c r="D83" t="str">
        <f>"26.940"</f>
        <v>26.940</v>
      </c>
      <c r="E83" t="str">
        <f>"400.00"</f>
        <v>400.00</v>
      </c>
      <c r="F83" t="str">
        <f>"-10787.00"</f>
        <v>-10787.00</v>
      </c>
      <c r="G83" t="str">
        <f>"13.35"</f>
        <v>13.35</v>
      </c>
      <c r="H83" t="str">
        <f>"1000.00"</f>
        <v>1000.00</v>
      </c>
      <c r="I83" t="str">
        <f>"223"</f>
        <v>223</v>
      </c>
      <c r="J83" t="str">
        <f>"证券买入(中通国脉)"</f>
        <v>证券买入(中通国脉)</v>
      </c>
      <c r="K83" t="str">
        <f>"10.78"</f>
        <v>10.78</v>
      </c>
      <c r="L83" t="str">
        <f>"0.00"</f>
        <v>0.00</v>
      </c>
      <c r="M83" t="str">
        <f>"0.22"</f>
        <v>0.22</v>
      </c>
      <c r="N83" t="str">
        <f t="shared" si="32"/>
        <v>0.00</v>
      </c>
      <c r="O83" t="str">
        <f>"603559"</f>
        <v>603559</v>
      </c>
      <c r="P83" t="str">
        <f>"A400948245"</f>
        <v>A400948245</v>
      </c>
    </row>
    <row r="84" spans="1:16" x14ac:dyDescent="0.25">
      <c r="A84" t="str">
        <f t="shared" si="27"/>
        <v>人民币</v>
      </c>
      <c r="B84" t="str">
        <f>"中通国脉"</f>
        <v>中通国脉</v>
      </c>
      <c r="C84" t="str">
        <f>"20190312"</f>
        <v>20190312</v>
      </c>
      <c r="D84" t="str">
        <f>"26.510"</f>
        <v>26.510</v>
      </c>
      <c r="E84" t="str">
        <f>"-400.00"</f>
        <v>-400.00</v>
      </c>
      <c r="F84" t="str">
        <f>"10582.59"</f>
        <v>10582.59</v>
      </c>
      <c r="G84" t="str">
        <f>"10800.35"</f>
        <v>10800.35</v>
      </c>
      <c r="H84" t="str">
        <f>"600.00"</f>
        <v>600.00</v>
      </c>
      <c r="I84" t="str">
        <f>"217"</f>
        <v>217</v>
      </c>
      <c r="J84" t="str">
        <f>"证券卖出(中通国脉)"</f>
        <v>证券卖出(中通国脉)</v>
      </c>
      <c r="K84" t="str">
        <f>"10.60"</f>
        <v>10.60</v>
      </c>
      <c r="L84" t="str">
        <f>"10.60"</f>
        <v>10.60</v>
      </c>
      <c r="M84" t="str">
        <f>"0.21"</f>
        <v>0.21</v>
      </c>
      <c r="N84" t="str">
        <f t="shared" si="32"/>
        <v>0.00</v>
      </c>
      <c r="O84" t="str">
        <f>"603559"</f>
        <v>603559</v>
      </c>
      <c r="P84" t="str">
        <f>"A400948245"</f>
        <v>A400948245</v>
      </c>
    </row>
    <row r="85" spans="1:16" x14ac:dyDescent="0.25">
      <c r="A85" t="str">
        <f t="shared" si="27"/>
        <v>人民币</v>
      </c>
      <c r="B85" t="str">
        <f>"新诺威"</f>
        <v>新诺威</v>
      </c>
      <c r="C85" t="str">
        <f t="shared" ref="C85:C91" si="33">"20190313"</f>
        <v>20190313</v>
      </c>
      <c r="D85" t="str">
        <f>"0.000"</f>
        <v>0.000</v>
      </c>
      <c r="E85" t="str">
        <f>"10.00"</f>
        <v>10.00</v>
      </c>
      <c r="F85" t="str">
        <f>"0.00"</f>
        <v>0.00</v>
      </c>
      <c r="G85" t="str">
        <f>"125.52"</f>
        <v>125.52</v>
      </c>
      <c r="H85" t="str">
        <f>"0.00"</f>
        <v>0.00</v>
      </c>
      <c r="I85" t="str">
        <f>"238"</f>
        <v>238</v>
      </c>
      <c r="J85" t="str">
        <f>"申购配号(新诺威)"</f>
        <v>申购配号(新诺威)</v>
      </c>
      <c r="K85" t="str">
        <f t="shared" ref="K85:M88" si="34">"0.00"</f>
        <v>0.00</v>
      </c>
      <c r="L85" t="str">
        <f t="shared" si="34"/>
        <v>0.00</v>
      </c>
      <c r="M85" t="str">
        <f t="shared" si="34"/>
        <v>0.00</v>
      </c>
      <c r="N85" t="str">
        <f t="shared" si="32"/>
        <v>0.00</v>
      </c>
      <c r="O85" t="str">
        <f>"300765"</f>
        <v>300765</v>
      </c>
      <c r="P85" t="str">
        <f>"0153613480"</f>
        <v>0153613480</v>
      </c>
    </row>
    <row r="86" spans="1:16" x14ac:dyDescent="0.25">
      <c r="A86" t="str">
        <f t="shared" si="27"/>
        <v>人民币</v>
      </c>
      <c r="B86" t="str">
        <f>"蓝思科技"</f>
        <v>蓝思科技</v>
      </c>
      <c r="C86" t="str">
        <f t="shared" si="33"/>
        <v>20190313</v>
      </c>
      <c r="D86" t="str">
        <f>"8.990"</f>
        <v>8.990</v>
      </c>
      <c r="E86" t="str">
        <f>"800.00"</f>
        <v>800.00</v>
      </c>
      <c r="F86" t="str">
        <f>"-7199.19"</f>
        <v>-7199.19</v>
      </c>
      <c r="G86" t="str">
        <f>"125.52"</f>
        <v>125.52</v>
      </c>
      <c r="H86" t="str">
        <f>"1800.00"</f>
        <v>1800.00</v>
      </c>
      <c r="I86" t="str">
        <f>"249"</f>
        <v>249</v>
      </c>
      <c r="J86" t="str">
        <f>"证券买入(蓝思科技)"</f>
        <v>证券买入(蓝思科技)</v>
      </c>
      <c r="K86" t="str">
        <f>"7.19"</f>
        <v>7.19</v>
      </c>
      <c r="L86" t="str">
        <f t="shared" si="34"/>
        <v>0.00</v>
      </c>
      <c r="M86" t="str">
        <f t="shared" si="34"/>
        <v>0.00</v>
      </c>
      <c r="N86" t="str">
        <f t="shared" si="32"/>
        <v>0.00</v>
      </c>
      <c r="O86" t="str">
        <f>"300433"</f>
        <v>300433</v>
      </c>
      <c r="P86" t="str">
        <f>"0153613480"</f>
        <v>0153613480</v>
      </c>
    </row>
    <row r="87" spans="1:16" x14ac:dyDescent="0.25">
      <c r="A87" t="str">
        <f t="shared" si="27"/>
        <v>人民币</v>
      </c>
      <c r="B87" t="str">
        <f>"蓝思科技"</f>
        <v>蓝思科技</v>
      </c>
      <c r="C87" t="str">
        <f t="shared" si="33"/>
        <v>20190313</v>
      </c>
      <c r="D87" t="str">
        <f>"9.310"</f>
        <v>9.310</v>
      </c>
      <c r="E87" t="str">
        <f>"500.00"</f>
        <v>500.00</v>
      </c>
      <c r="F87" t="str">
        <f>"-4660.00"</f>
        <v>-4660.00</v>
      </c>
      <c r="G87" t="str">
        <f>"7324.71"</f>
        <v>7324.71</v>
      </c>
      <c r="H87" t="str">
        <f>"1000.00"</f>
        <v>1000.00</v>
      </c>
      <c r="I87" t="str">
        <f>"233"</f>
        <v>233</v>
      </c>
      <c r="J87" t="str">
        <f>"证券买入(蓝思科技)"</f>
        <v>证券买入(蓝思科技)</v>
      </c>
      <c r="K87" t="str">
        <f>"5.00"</f>
        <v>5.00</v>
      </c>
      <c r="L87" t="str">
        <f t="shared" si="34"/>
        <v>0.00</v>
      </c>
      <c r="M87" t="str">
        <f t="shared" si="34"/>
        <v>0.00</v>
      </c>
      <c r="N87" t="str">
        <f t="shared" si="32"/>
        <v>0.00</v>
      </c>
      <c r="O87" t="str">
        <f>"300433"</f>
        <v>300433</v>
      </c>
      <c r="P87" t="str">
        <f>"0153613480"</f>
        <v>0153613480</v>
      </c>
    </row>
    <row r="88" spans="1:16" x14ac:dyDescent="0.25">
      <c r="A88" t="str">
        <f t="shared" si="27"/>
        <v>人民币</v>
      </c>
      <c r="B88" t="str">
        <f>"蓝思科技"</f>
        <v>蓝思科技</v>
      </c>
      <c r="C88" t="str">
        <f t="shared" si="33"/>
        <v>20190313</v>
      </c>
      <c r="D88" t="str">
        <f>"9.310"</f>
        <v>9.310</v>
      </c>
      <c r="E88" t="str">
        <f>"500.00"</f>
        <v>500.00</v>
      </c>
      <c r="F88" t="str">
        <f>"-4660.00"</f>
        <v>-4660.00</v>
      </c>
      <c r="G88" t="str">
        <f>"11984.71"</f>
        <v>11984.71</v>
      </c>
      <c r="H88" t="str">
        <f>"500.00"</f>
        <v>500.00</v>
      </c>
      <c r="I88" t="str">
        <f>"230"</f>
        <v>230</v>
      </c>
      <c r="J88" t="str">
        <f>"证券买入(蓝思科技)"</f>
        <v>证券买入(蓝思科技)</v>
      </c>
      <c r="K88" t="str">
        <f>"5.00"</f>
        <v>5.00</v>
      </c>
      <c r="L88" t="str">
        <f t="shared" si="34"/>
        <v>0.00</v>
      </c>
      <c r="M88" t="str">
        <f t="shared" si="34"/>
        <v>0.00</v>
      </c>
      <c r="N88" t="str">
        <f t="shared" si="32"/>
        <v>0.00</v>
      </c>
      <c r="O88" t="str">
        <f>"300433"</f>
        <v>300433</v>
      </c>
      <c r="P88" t="str">
        <f>"0153613480"</f>
        <v>0153613480</v>
      </c>
    </row>
    <row r="89" spans="1:16" x14ac:dyDescent="0.25">
      <c r="A89" t="str">
        <f t="shared" si="27"/>
        <v>人民币</v>
      </c>
      <c r="B89" t="str">
        <f>"中通国脉"</f>
        <v>中通国脉</v>
      </c>
      <c r="C89" t="str">
        <f t="shared" si="33"/>
        <v>20190313</v>
      </c>
      <c r="D89" t="str">
        <f>"26.490"</f>
        <v>26.490</v>
      </c>
      <c r="E89" t="str">
        <f>"300.00"</f>
        <v>300.00</v>
      </c>
      <c r="F89" t="str">
        <f>"-7955.11"</f>
        <v>-7955.11</v>
      </c>
      <c r="G89" t="str">
        <f>"16644.71"</f>
        <v>16644.71</v>
      </c>
      <c r="H89" t="str">
        <f>"1300.00"</f>
        <v>1300.00</v>
      </c>
      <c r="I89" t="str">
        <f>"246"</f>
        <v>246</v>
      </c>
      <c r="J89" t="str">
        <f>"证券买入(中通国脉)"</f>
        <v>证券买入(中通国脉)</v>
      </c>
      <c r="K89" t="str">
        <f>"7.95"</f>
        <v>7.95</v>
      </c>
      <c r="L89" t="str">
        <f>"0.00"</f>
        <v>0.00</v>
      </c>
      <c r="M89" t="str">
        <f>"0.16"</f>
        <v>0.16</v>
      </c>
      <c r="N89" t="str">
        <f t="shared" si="32"/>
        <v>0.00</v>
      </c>
      <c r="O89" t="str">
        <f>"603559"</f>
        <v>603559</v>
      </c>
      <c r="P89" t="str">
        <f>"A400948245"</f>
        <v>A400948245</v>
      </c>
    </row>
    <row r="90" spans="1:16" x14ac:dyDescent="0.25">
      <c r="A90" t="str">
        <f t="shared" si="27"/>
        <v>人民币</v>
      </c>
      <c r="B90" t="str">
        <f>"白银有色"</f>
        <v>白银有色</v>
      </c>
      <c r="C90" t="str">
        <f t="shared" si="33"/>
        <v>20190313</v>
      </c>
      <c r="D90" t="str">
        <f>"5.220"</f>
        <v>5.220</v>
      </c>
      <c r="E90" t="str">
        <f>"-2800.00"</f>
        <v>-2800.00</v>
      </c>
      <c r="F90" t="str">
        <f>"14586.47"</f>
        <v>14586.47</v>
      </c>
      <c r="G90" t="str">
        <f>"24599.82"</f>
        <v>24599.82</v>
      </c>
      <c r="H90" t="str">
        <f>"0.00"</f>
        <v>0.00</v>
      </c>
      <c r="I90" t="str">
        <f>"240"</f>
        <v>240</v>
      </c>
      <c r="J90" t="str">
        <f>"证券卖出(白银有色)"</f>
        <v>证券卖出(白银有色)</v>
      </c>
      <c r="K90" t="str">
        <f>"14.62"</f>
        <v>14.62</v>
      </c>
      <c r="L90" t="str">
        <f>"14.62"</f>
        <v>14.62</v>
      </c>
      <c r="M90" t="str">
        <f>"0.29"</f>
        <v>0.29</v>
      </c>
      <c r="N90" t="str">
        <f t="shared" si="32"/>
        <v>0.00</v>
      </c>
      <c r="O90" t="str">
        <f>"601212"</f>
        <v>601212</v>
      </c>
      <c r="P90" t="str">
        <f>"A400948245"</f>
        <v>A400948245</v>
      </c>
    </row>
    <row r="91" spans="1:16" x14ac:dyDescent="0.25">
      <c r="A91" t="str">
        <f t="shared" si="27"/>
        <v>人民币</v>
      </c>
      <c r="B91" t="str">
        <f>""</f>
        <v/>
      </c>
      <c r="C91" t="str">
        <f t="shared" si="33"/>
        <v>20190313</v>
      </c>
      <c r="D91" t="str">
        <f>"---"</f>
        <v>---</v>
      </c>
      <c r="E91" t="str">
        <f>"---"</f>
        <v>---</v>
      </c>
      <c r="F91" t="str">
        <f>"10000.00"</f>
        <v>10000.00</v>
      </c>
      <c r="G91" t="str">
        <f>"10013.35"</f>
        <v>10013.35</v>
      </c>
      <c r="H91" t="str">
        <f>"---"</f>
        <v>---</v>
      </c>
      <c r="I91" t="str">
        <f>"---"</f>
        <v>---</v>
      </c>
      <c r="J91" t="str">
        <f>"银行转存"</f>
        <v>银行转存</v>
      </c>
      <c r="K91" t="str">
        <f t="shared" ref="K91:P91" si="35">"---"</f>
        <v>---</v>
      </c>
      <c r="L91" t="str">
        <f t="shared" si="35"/>
        <v>---</v>
      </c>
      <c r="M91" t="str">
        <f t="shared" si="35"/>
        <v>---</v>
      </c>
      <c r="N91" t="str">
        <f t="shared" si="35"/>
        <v>---</v>
      </c>
      <c r="O91" t="str">
        <f t="shared" si="35"/>
        <v>---</v>
      </c>
      <c r="P91" t="str">
        <f t="shared" si="35"/>
        <v>---</v>
      </c>
    </row>
    <row r="92" spans="1:16" x14ac:dyDescent="0.25">
      <c r="A92" t="str">
        <f t="shared" si="27"/>
        <v>人民币</v>
      </c>
      <c r="B92" t="str">
        <f>"震安科技"</f>
        <v>震安科技</v>
      </c>
      <c r="C92" t="str">
        <f t="shared" ref="C92:C96" si="36">"20190314"</f>
        <v>20190314</v>
      </c>
      <c r="D92" t="str">
        <f>"0.000"</f>
        <v>0.000</v>
      </c>
      <c r="E92" t="str">
        <f>"9.00"</f>
        <v>9.00</v>
      </c>
      <c r="F92" t="str">
        <f>"0.00"</f>
        <v>0.00</v>
      </c>
      <c r="G92" t="str">
        <f>"2144.21"</f>
        <v>2144.21</v>
      </c>
      <c r="H92" t="str">
        <f>"0.00"</f>
        <v>0.00</v>
      </c>
      <c r="I92" t="str">
        <f>"266"</f>
        <v>266</v>
      </c>
      <c r="J92" t="str">
        <f>"申购配号(震安科技)"</f>
        <v>申购配号(震安科技)</v>
      </c>
      <c r="K92" t="str">
        <f t="shared" ref="K92:N93" si="37">"0.00"</f>
        <v>0.00</v>
      </c>
      <c r="L92" t="str">
        <f t="shared" si="37"/>
        <v>0.00</v>
      </c>
      <c r="M92" t="str">
        <f t="shared" si="37"/>
        <v>0.00</v>
      </c>
      <c r="N92" t="str">
        <f t="shared" si="37"/>
        <v>0.00</v>
      </c>
      <c r="O92" t="str">
        <f>"300767"</f>
        <v>300767</v>
      </c>
      <c r="P92" t="str">
        <f>"0153613480"</f>
        <v>0153613480</v>
      </c>
    </row>
    <row r="93" spans="1:16" x14ac:dyDescent="0.25">
      <c r="A93" t="str">
        <f t="shared" si="27"/>
        <v>人民币</v>
      </c>
      <c r="B93" t="str">
        <f>"永冠配号"</f>
        <v>永冠配号</v>
      </c>
      <c r="C93" t="str">
        <f t="shared" si="36"/>
        <v>20190314</v>
      </c>
      <c r="D93" t="str">
        <f>"0.000"</f>
        <v>0.000</v>
      </c>
      <c r="E93" t="str">
        <f>"6.00"</f>
        <v>6.00</v>
      </c>
      <c r="F93" t="str">
        <f>"0.00"</f>
        <v>0.00</v>
      </c>
      <c r="G93" t="str">
        <f>"12374.63"</f>
        <v>12374.63</v>
      </c>
      <c r="H93" t="str">
        <f>"0.00"</f>
        <v>0.00</v>
      </c>
      <c r="I93" t="str">
        <f>"264"</f>
        <v>264</v>
      </c>
      <c r="J93" t="str">
        <f>"申购配号(永冠配号)"</f>
        <v>申购配号(永冠配号)</v>
      </c>
      <c r="K93" t="str">
        <f t="shared" si="37"/>
        <v>0.00</v>
      </c>
      <c r="L93" t="str">
        <f t="shared" si="37"/>
        <v>0.00</v>
      </c>
      <c r="M93" t="str">
        <f t="shared" si="37"/>
        <v>0.00</v>
      </c>
      <c r="N93" t="str">
        <f t="shared" si="37"/>
        <v>0.00</v>
      </c>
      <c r="O93" t="str">
        <f>"736681"</f>
        <v>736681</v>
      </c>
      <c r="P93" t="str">
        <f>"A400948245"</f>
        <v>A400948245</v>
      </c>
    </row>
    <row r="94" spans="1:16" x14ac:dyDescent="0.25">
      <c r="A94" t="str">
        <f t="shared" si="27"/>
        <v>人民币</v>
      </c>
      <c r="B94" t="str">
        <f>"中通国脉"</f>
        <v>中通国脉</v>
      </c>
      <c r="C94" t="str">
        <f t="shared" si="36"/>
        <v>20190314</v>
      </c>
      <c r="D94" t="str">
        <f>"25.550"</f>
        <v>25.550</v>
      </c>
      <c r="E94" t="str">
        <f>"400.00"</f>
        <v>400.00</v>
      </c>
      <c r="F94" t="str">
        <f>"-10230.42"</f>
        <v>-10230.42</v>
      </c>
      <c r="G94" t="str">
        <f>"2144.21"</f>
        <v>2144.21</v>
      </c>
      <c r="H94" t="str">
        <f>"2000.00"</f>
        <v>2000.00</v>
      </c>
      <c r="I94" t="str">
        <f>"268"</f>
        <v>268</v>
      </c>
      <c r="J94" t="str">
        <f>"证券买入(中通国脉)"</f>
        <v>证券买入(中通国脉)</v>
      </c>
      <c r="K94" t="str">
        <f>"10.22"</f>
        <v>10.22</v>
      </c>
      <c r="L94" t="str">
        <f>"0.00"</f>
        <v>0.00</v>
      </c>
      <c r="M94" t="str">
        <f>"0.20"</f>
        <v>0.20</v>
      </c>
      <c r="N94" t="str">
        <f>"0.00"</f>
        <v>0.00</v>
      </c>
      <c r="O94" t="str">
        <f>"603559"</f>
        <v>603559</v>
      </c>
      <c r="P94" t="str">
        <f>"A400948245"</f>
        <v>A400948245</v>
      </c>
    </row>
    <row r="95" spans="1:16" x14ac:dyDescent="0.25">
      <c r="A95" t="str">
        <f t="shared" si="27"/>
        <v>人民币</v>
      </c>
      <c r="B95" t="str">
        <f>"中通国脉"</f>
        <v>中通国脉</v>
      </c>
      <c r="C95" t="str">
        <f t="shared" si="36"/>
        <v>20190314</v>
      </c>
      <c r="D95" t="str">
        <f>"25.810"</f>
        <v>25.810</v>
      </c>
      <c r="E95" t="str">
        <f>"300.00"</f>
        <v>300.00</v>
      </c>
      <c r="F95" t="str">
        <f>"-7750.89"</f>
        <v>-7750.89</v>
      </c>
      <c r="G95" t="str">
        <f>"12374.63"</f>
        <v>12374.63</v>
      </c>
      <c r="H95" t="str">
        <f>"1600.00"</f>
        <v>1600.00</v>
      </c>
      <c r="I95" t="str">
        <f>"260"</f>
        <v>260</v>
      </c>
      <c r="J95" t="str">
        <f>"证券买入(中通国脉)"</f>
        <v>证券买入(中通国脉)</v>
      </c>
      <c r="K95" t="str">
        <f>"7.74"</f>
        <v>7.74</v>
      </c>
      <c r="L95" t="str">
        <f>"0.00"</f>
        <v>0.00</v>
      </c>
      <c r="M95" t="str">
        <f>"0.15"</f>
        <v>0.15</v>
      </c>
      <c r="N95" t="str">
        <f>"0.00"</f>
        <v>0.00</v>
      </c>
      <c r="O95" t="str">
        <f>"603559"</f>
        <v>603559</v>
      </c>
      <c r="P95" t="str">
        <f>"A400948245"</f>
        <v>A400948245</v>
      </c>
    </row>
    <row r="96" spans="1:16" x14ac:dyDescent="0.25">
      <c r="A96" t="str">
        <f t="shared" si="27"/>
        <v>人民币</v>
      </c>
      <c r="B96" t="str">
        <f>""</f>
        <v/>
      </c>
      <c r="C96" t="str">
        <f t="shared" si="36"/>
        <v>20190314</v>
      </c>
      <c r="D96" t="str">
        <f>"---"</f>
        <v>---</v>
      </c>
      <c r="E96" t="str">
        <f>"---"</f>
        <v>---</v>
      </c>
      <c r="F96" t="str">
        <f>"20000.00"</f>
        <v>20000.00</v>
      </c>
      <c r="G96" t="str">
        <f>"20125.52"</f>
        <v>20125.52</v>
      </c>
      <c r="H96" t="str">
        <f>"---"</f>
        <v>---</v>
      </c>
      <c r="I96" t="str">
        <f>"---"</f>
        <v>---</v>
      </c>
      <c r="J96" t="str">
        <f>"银行转存"</f>
        <v>银行转存</v>
      </c>
      <c r="K96" t="str">
        <f t="shared" ref="K96:P96" si="38">"---"</f>
        <v>---</v>
      </c>
      <c r="L96" t="str">
        <f t="shared" si="38"/>
        <v>---</v>
      </c>
      <c r="M96" t="str">
        <f t="shared" si="38"/>
        <v>---</v>
      </c>
      <c r="N96" t="str">
        <f t="shared" si="38"/>
        <v>---</v>
      </c>
      <c r="O96" t="str">
        <f t="shared" si="38"/>
        <v>---</v>
      </c>
      <c r="P96" t="str">
        <f t="shared" si="38"/>
        <v>---</v>
      </c>
    </row>
    <row r="97" spans="1:16" x14ac:dyDescent="0.25">
      <c r="A97" t="str">
        <f t="shared" si="27"/>
        <v>人民币</v>
      </c>
      <c r="B97" t="str">
        <f>"青农商行"</f>
        <v>青农商行</v>
      </c>
      <c r="C97" t="str">
        <f>"20190315"</f>
        <v>20190315</v>
      </c>
      <c r="D97" t="str">
        <f>"3.96"</f>
        <v>3.96</v>
      </c>
      <c r="E97" t="str">
        <f>"500.00"</f>
        <v>500.00</v>
      </c>
      <c r="F97" t="str">
        <f>"-1980.00"</f>
        <v>-1980.00</v>
      </c>
      <c r="G97" t="str">
        <f>"164.21"</f>
        <v>164.21</v>
      </c>
      <c r="H97" t="str">
        <f>"500.00"</f>
        <v>500.00</v>
      </c>
      <c r="I97" t="str">
        <f>"---"</f>
        <v>---</v>
      </c>
      <c r="J97" t="str">
        <f>"证券买入(青农商行)"</f>
        <v>证券买入(青农商行)</v>
      </c>
      <c r="K97" t="str">
        <f>"---"</f>
        <v>---</v>
      </c>
      <c r="L97" t="str">
        <f>"---"</f>
        <v>---</v>
      </c>
      <c r="M97" t="str">
        <f>"---"</f>
        <v>---</v>
      </c>
      <c r="N97" t="str">
        <f>"---"</f>
        <v>---</v>
      </c>
      <c r="O97" t="str">
        <f>"002958"</f>
        <v>002958</v>
      </c>
      <c r="P97" t="str">
        <f t="shared" ref="P97:P101" si="39">"0153613480"</f>
        <v>0153613480</v>
      </c>
    </row>
    <row r="98" spans="1:16" x14ac:dyDescent="0.25">
      <c r="A98" t="str">
        <f t="shared" si="27"/>
        <v>人民币</v>
      </c>
      <c r="B98" t="str">
        <f>"亚世光电"</f>
        <v>亚世光电</v>
      </c>
      <c r="C98" t="str">
        <f>"20190318"</f>
        <v>20190318</v>
      </c>
      <c r="D98" t="str">
        <f>"0.000"</f>
        <v>0.000</v>
      </c>
      <c r="E98" t="str">
        <f>"9.00"</f>
        <v>9.00</v>
      </c>
      <c r="F98" t="str">
        <f>"0.00"</f>
        <v>0.00</v>
      </c>
      <c r="G98" t="str">
        <f>"164.21"</f>
        <v>164.21</v>
      </c>
      <c r="H98" t="str">
        <f>"0.00"</f>
        <v>0.00</v>
      </c>
      <c r="I98" t="str">
        <f>"278"</f>
        <v>278</v>
      </c>
      <c r="J98" t="str">
        <f>"申购配号(亚世光电)"</f>
        <v>申购配号(亚世光电)</v>
      </c>
      <c r="K98" t="str">
        <f t="shared" ref="K98:N98" si="40">"0.00"</f>
        <v>0.00</v>
      </c>
      <c r="L98" t="str">
        <f t="shared" si="40"/>
        <v>0.00</v>
      </c>
      <c r="M98" t="str">
        <f t="shared" si="40"/>
        <v>0.00</v>
      </c>
      <c r="N98" t="str">
        <f t="shared" si="40"/>
        <v>0.00</v>
      </c>
      <c r="O98" t="str">
        <f>"002952"</f>
        <v>002952</v>
      </c>
      <c r="P98" t="str">
        <f t="shared" si="39"/>
        <v>0153613480</v>
      </c>
    </row>
    <row r="99" spans="1:16" x14ac:dyDescent="0.25">
      <c r="A99" t="str">
        <f t="shared" si="27"/>
        <v>人民币</v>
      </c>
      <c r="B99" t="str">
        <f>"长城证券"</f>
        <v>长城证券</v>
      </c>
      <c r="C99" t="str">
        <f>"20190319"</f>
        <v>20190319</v>
      </c>
      <c r="D99" t="str">
        <f>"14.690"</f>
        <v>14.690</v>
      </c>
      <c r="E99" t="str">
        <f>"400.00"</f>
        <v>400.00</v>
      </c>
      <c r="F99" t="str">
        <f>"-5881.88"</f>
        <v>-5881.88</v>
      </c>
      <c r="G99" t="str">
        <f>"20970.16"</f>
        <v>20970.16</v>
      </c>
      <c r="H99" t="str">
        <f>"1000.00"</f>
        <v>1000.00</v>
      </c>
      <c r="I99" t="str">
        <f>"293"</f>
        <v>293</v>
      </c>
      <c r="J99" t="str">
        <f>"证券买入(长城证券)"</f>
        <v>证券买入(长城证券)</v>
      </c>
      <c r="K99" t="str">
        <f>"5.88"</f>
        <v>5.88</v>
      </c>
      <c r="L99" t="str">
        <f t="shared" ref="L99:N100" si="41">"0.00"</f>
        <v>0.00</v>
      </c>
      <c r="M99" t="str">
        <f t="shared" si="41"/>
        <v>0.00</v>
      </c>
      <c r="N99" t="str">
        <f t="shared" si="41"/>
        <v>0.00</v>
      </c>
      <c r="O99" t="str">
        <f>"002939"</f>
        <v>002939</v>
      </c>
      <c r="P99" t="str">
        <f t="shared" si="39"/>
        <v>0153613480</v>
      </c>
    </row>
    <row r="100" spans="1:16" x14ac:dyDescent="0.25">
      <c r="A100" t="str">
        <f t="shared" si="27"/>
        <v>人民币</v>
      </c>
      <c r="B100" t="str">
        <f>"长城证券"</f>
        <v>长城证券</v>
      </c>
      <c r="C100" t="str">
        <f>"20190319"</f>
        <v>20190319</v>
      </c>
      <c r="D100" t="str">
        <f>"14.820"</f>
        <v>14.820</v>
      </c>
      <c r="E100" t="str">
        <f>"600.00"</f>
        <v>600.00</v>
      </c>
      <c r="F100" t="str">
        <f>"-8900.89"</f>
        <v>-8900.89</v>
      </c>
      <c r="G100" t="str">
        <f>"26852.04"</f>
        <v>26852.04</v>
      </c>
      <c r="H100" t="str">
        <f>"600.00"</f>
        <v>600.00</v>
      </c>
      <c r="I100" t="str">
        <f>"283"</f>
        <v>283</v>
      </c>
      <c r="J100" t="str">
        <f>"证券买入(长城证券)"</f>
        <v>证券买入(长城证券)</v>
      </c>
      <c r="K100" t="str">
        <f>"8.89"</f>
        <v>8.89</v>
      </c>
      <c r="L100" t="str">
        <f t="shared" si="41"/>
        <v>0.00</v>
      </c>
      <c r="M100" t="str">
        <f t="shared" si="41"/>
        <v>0.00</v>
      </c>
      <c r="N100" t="str">
        <f t="shared" si="41"/>
        <v>0.00</v>
      </c>
      <c r="O100" t="str">
        <f>"002939"</f>
        <v>002939</v>
      </c>
      <c r="P100" t="str">
        <f t="shared" si="39"/>
        <v>0153613480</v>
      </c>
    </row>
    <row r="101" spans="1:16" x14ac:dyDescent="0.25">
      <c r="A101" t="str">
        <f t="shared" si="27"/>
        <v>人民币</v>
      </c>
      <c r="B101" t="str">
        <f>"信立泰"</f>
        <v>信立泰</v>
      </c>
      <c r="C101" t="str">
        <f>"20190319"</f>
        <v>20190319</v>
      </c>
      <c r="D101" t="str">
        <f>"25.640"</f>
        <v>25.640</v>
      </c>
      <c r="E101" t="str">
        <f>"-1000.00"</f>
        <v>-1000.00</v>
      </c>
      <c r="F101" t="str">
        <f>"25588.72"</f>
        <v>25588.72</v>
      </c>
      <c r="G101" t="str">
        <f>"35752.93"</f>
        <v>35752.93</v>
      </c>
      <c r="H101" t="str">
        <f>"0.00"</f>
        <v>0.00</v>
      </c>
      <c r="I101" t="str">
        <f>"289"</f>
        <v>289</v>
      </c>
      <c r="J101" t="str">
        <f>"证券卖出(信立泰)"</f>
        <v>证券卖出(信立泰)</v>
      </c>
      <c r="K101" t="str">
        <f>"25.64"</f>
        <v>25.64</v>
      </c>
      <c r="L101" t="str">
        <f>"25.64"</f>
        <v>25.64</v>
      </c>
      <c r="M101" t="str">
        <f>"0.00"</f>
        <v>0.00</v>
      </c>
      <c r="N101" t="str">
        <f>"0.00"</f>
        <v>0.00</v>
      </c>
      <c r="O101" t="str">
        <f>"002294"</f>
        <v>002294</v>
      </c>
      <c r="P101" t="str">
        <f t="shared" si="39"/>
        <v>0153613480</v>
      </c>
    </row>
    <row r="102" spans="1:16" x14ac:dyDescent="0.25">
      <c r="A102" t="str">
        <f t="shared" si="27"/>
        <v>人民币</v>
      </c>
      <c r="B102" t="str">
        <f>""</f>
        <v/>
      </c>
      <c r="C102" t="str">
        <f>"20190319"</f>
        <v>20190319</v>
      </c>
      <c r="D102" t="str">
        <f>"---"</f>
        <v>---</v>
      </c>
      <c r="E102" t="str">
        <f>"---"</f>
        <v>---</v>
      </c>
      <c r="F102" t="str">
        <f>"10000.00"</f>
        <v>10000.00</v>
      </c>
      <c r="G102" t="str">
        <f>"10164.21"</f>
        <v>10164.21</v>
      </c>
      <c r="H102" t="str">
        <f>"---"</f>
        <v>---</v>
      </c>
      <c r="I102" t="str">
        <f>"---"</f>
        <v>---</v>
      </c>
      <c r="J102" t="str">
        <f>"银行转存"</f>
        <v>银行转存</v>
      </c>
      <c r="K102" t="str">
        <f t="shared" ref="K102:P102" si="42">"---"</f>
        <v>---</v>
      </c>
      <c r="L102" t="str">
        <f t="shared" si="42"/>
        <v>---</v>
      </c>
      <c r="M102" t="str">
        <f t="shared" si="42"/>
        <v>---</v>
      </c>
      <c r="N102" t="str">
        <f t="shared" si="42"/>
        <v>---</v>
      </c>
      <c r="O102" t="str">
        <f t="shared" si="42"/>
        <v>---</v>
      </c>
      <c r="P102" t="str">
        <f t="shared" si="42"/>
        <v>---</v>
      </c>
    </row>
    <row r="103" spans="1:16" x14ac:dyDescent="0.25">
      <c r="A103" t="str">
        <f t="shared" si="27"/>
        <v>人民币</v>
      </c>
      <c r="B103" t="str">
        <f>"长城证券"</f>
        <v>长城证券</v>
      </c>
      <c r="C103" t="str">
        <f>"20190320"</f>
        <v>20190320</v>
      </c>
      <c r="D103" t="str">
        <f>"14.660"</f>
        <v>14.660</v>
      </c>
      <c r="E103" t="str">
        <f>"500.00"</f>
        <v>500.00</v>
      </c>
      <c r="F103" t="str">
        <f>"-7337.33"</f>
        <v>-7337.33</v>
      </c>
      <c r="G103" t="str">
        <f>"1280.45"</f>
        <v>1280.45</v>
      </c>
      <c r="H103" t="str">
        <f>"2000.00"</f>
        <v>2000.00</v>
      </c>
      <c r="I103" t="str">
        <f>"307"</f>
        <v>307</v>
      </c>
      <c r="J103" t="str">
        <f>"证券买入(长城证券)"</f>
        <v>证券买入(长城证券)</v>
      </c>
      <c r="K103" t="str">
        <f>"7.33"</f>
        <v>7.33</v>
      </c>
      <c r="L103" t="str">
        <f t="shared" ref="L103:N104" si="43">"0.00"</f>
        <v>0.00</v>
      </c>
      <c r="M103" t="str">
        <f t="shared" si="43"/>
        <v>0.00</v>
      </c>
      <c r="N103" t="str">
        <f t="shared" si="43"/>
        <v>0.00</v>
      </c>
      <c r="O103" t="str">
        <f>"002939"</f>
        <v>002939</v>
      </c>
      <c r="P103" t="str">
        <f>"0153613480"</f>
        <v>0153613480</v>
      </c>
    </row>
    <row r="104" spans="1:16" x14ac:dyDescent="0.25">
      <c r="A104" t="str">
        <f t="shared" si="27"/>
        <v>人民币</v>
      </c>
      <c r="B104" t="str">
        <f>"长城证券"</f>
        <v>长城证券</v>
      </c>
      <c r="C104" t="str">
        <f>"20190320"</f>
        <v>20190320</v>
      </c>
      <c r="D104" t="str">
        <f>"14.700"</f>
        <v>14.700</v>
      </c>
      <c r="E104" t="str">
        <f>"500.00"</f>
        <v>500.00</v>
      </c>
      <c r="F104" t="str">
        <f>"-7357.35"</f>
        <v>-7357.35</v>
      </c>
      <c r="G104" t="str">
        <f>"8617.78"</f>
        <v>8617.78</v>
      </c>
      <c r="H104" t="str">
        <f>"1500.00"</f>
        <v>1500.00</v>
      </c>
      <c r="I104" t="str">
        <f>"301"</f>
        <v>301</v>
      </c>
      <c r="J104" t="str">
        <f>"证券买入(长城证券)"</f>
        <v>证券买入(长城证券)</v>
      </c>
      <c r="K104" t="str">
        <f>"7.35"</f>
        <v>7.35</v>
      </c>
      <c r="L104" t="str">
        <f t="shared" si="43"/>
        <v>0.00</v>
      </c>
      <c r="M104" t="str">
        <f t="shared" si="43"/>
        <v>0.00</v>
      </c>
      <c r="N104" t="str">
        <f t="shared" si="43"/>
        <v>0.00</v>
      </c>
      <c r="O104" t="str">
        <f>"002939"</f>
        <v>002939</v>
      </c>
      <c r="P104" t="str">
        <f>"0153613480"</f>
        <v>0153613480</v>
      </c>
    </row>
    <row r="105" spans="1:16" x14ac:dyDescent="0.25">
      <c r="A105" t="str">
        <f t="shared" si="27"/>
        <v>人民币</v>
      </c>
      <c r="B105" t="str">
        <f>""</f>
        <v/>
      </c>
      <c r="C105" t="str">
        <f>"20190320"</f>
        <v>20190320</v>
      </c>
      <c r="D105" t="str">
        <f>"---"</f>
        <v>---</v>
      </c>
      <c r="E105" t="str">
        <f>"---"</f>
        <v>---</v>
      </c>
      <c r="F105" t="str">
        <f>"4.97"</f>
        <v>4.97</v>
      </c>
      <c r="G105" t="str">
        <f>"15975.13"</f>
        <v>15975.13</v>
      </c>
      <c r="H105" t="str">
        <f>"---"</f>
        <v>---</v>
      </c>
      <c r="I105" t="str">
        <f>"---"</f>
        <v>---</v>
      </c>
      <c r="J105" t="str">
        <f>"批量利息归本"</f>
        <v>批量利息归本</v>
      </c>
      <c r="K105" t="str">
        <f t="shared" ref="K105:P106" si="44">"---"</f>
        <v>---</v>
      </c>
      <c r="L105" t="str">
        <f t="shared" si="44"/>
        <v>---</v>
      </c>
      <c r="M105" t="str">
        <f t="shared" si="44"/>
        <v>---</v>
      </c>
      <c r="N105" t="str">
        <f t="shared" si="44"/>
        <v>---</v>
      </c>
      <c r="O105" t="str">
        <f t="shared" si="44"/>
        <v>---</v>
      </c>
      <c r="P105" t="str">
        <f t="shared" si="44"/>
        <v>---</v>
      </c>
    </row>
    <row r="106" spans="1:16" x14ac:dyDescent="0.25">
      <c r="A106" t="str">
        <f t="shared" si="27"/>
        <v>人民币</v>
      </c>
      <c r="B106" t="str">
        <f>""</f>
        <v/>
      </c>
      <c r="C106" t="str">
        <f>"20190320"</f>
        <v>20190320</v>
      </c>
      <c r="D106" t="str">
        <f>"---"</f>
        <v>---</v>
      </c>
      <c r="E106" t="str">
        <f>"---"</f>
        <v>---</v>
      </c>
      <c r="F106" t="str">
        <f>"-5000.00"</f>
        <v>-5000.00</v>
      </c>
      <c r="G106" t="str">
        <f>"15970.16"</f>
        <v>15970.16</v>
      </c>
      <c r="H106" t="str">
        <f>"---"</f>
        <v>---</v>
      </c>
      <c r="I106" t="str">
        <f>"---"</f>
        <v>---</v>
      </c>
      <c r="J106" t="str">
        <f>"银行转取"</f>
        <v>银行转取</v>
      </c>
      <c r="K106" t="str">
        <f t="shared" si="44"/>
        <v>---</v>
      </c>
      <c r="L106" t="str">
        <f t="shared" si="44"/>
        <v>---</v>
      </c>
      <c r="M106" t="str">
        <f t="shared" si="44"/>
        <v>---</v>
      </c>
      <c r="N106" t="str">
        <f t="shared" si="44"/>
        <v>---</v>
      </c>
      <c r="O106" t="str">
        <f t="shared" si="44"/>
        <v>---</v>
      </c>
      <c r="P106" t="str">
        <f t="shared" si="44"/>
        <v>---</v>
      </c>
    </row>
    <row r="107" spans="1:16" x14ac:dyDescent="0.25">
      <c r="A107" t="str">
        <f t="shared" si="27"/>
        <v>人民币</v>
      </c>
      <c r="B107" t="str">
        <f>"蓝思科技"</f>
        <v>蓝思科技</v>
      </c>
      <c r="C107" t="str">
        <f>"20190321"</f>
        <v>20190321</v>
      </c>
      <c r="D107" t="str">
        <f>"8.910"</f>
        <v>8.910</v>
      </c>
      <c r="E107" t="str">
        <f>"500.00"</f>
        <v>500.00</v>
      </c>
      <c r="F107" t="str">
        <f>"-4460.00"</f>
        <v>-4460.00</v>
      </c>
      <c r="G107" t="str">
        <f>"28327.31"</f>
        <v>28327.31</v>
      </c>
      <c r="H107" t="str">
        <f>"2300.00"</f>
        <v>2300.00</v>
      </c>
      <c r="I107" t="str">
        <f>"323"</f>
        <v>323</v>
      </c>
      <c r="J107" t="str">
        <f>"证券买入(蓝思科技)"</f>
        <v>证券买入(蓝思科技)</v>
      </c>
      <c r="K107" t="str">
        <f>"5.00"</f>
        <v>5.00</v>
      </c>
      <c r="L107" t="str">
        <f>"0.00"</f>
        <v>0.00</v>
      </c>
      <c r="M107" t="str">
        <f>"0.00"</f>
        <v>0.00</v>
      </c>
      <c r="N107" t="str">
        <f>"0.00"</f>
        <v>0.00</v>
      </c>
      <c r="O107" t="str">
        <f>"300433"</f>
        <v>300433</v>
      </c>
      <c r="P107" t="str">
        <f>"0153613480"</f>
        <v>0153613480</v>
      </c>
    </row>
    <row r="108" spans="1:16" x14ac:dyDescent="0.25">
      <c r="A108" t="str">
        <f t="shared" si="27"/>
        <v>人民币</v>
      </c>
      <c r="B108" t="str">
        <f>"长城证券"</f>
        <v>长城证券</v>
      </c>
      <c r="C108" t="str">
        <f>"20190321"</f>
        <v>20190321</v>
      </c>
      <c r="D108" t="str">
        <f>"15.790"</f>
        <v>15.790</v>
      </c>
      <c r="E108" t="str">
        <f>"-1000.00"</f>
        <v>-1000.00</v>
      </c>
      <c r="F108" t="str">
        <f>"15758.42"</f>
        <v>15758.42</v>
      </c>
      <c r="G108" t="str">
        <f>"32787.31"</f>
        <v>32787.31</v>
      </c>
      <c r="H108" t="str">
        <f>"0.00"</f>
        <v>0.00</v>
      </c>
      <c r="I108" t="str">
        <f>"320"</f>
        <v>320</v>
      </c>
      <c r="J108" t="str">
        <f>"证券卖出(长城证券)"</f>
        <v>证券卖出(长城证券)</v>
      </c>
      <c r="K108" t="str">
        <f>"15.79"</f>
        <v>15.79</v>
      </c>
      <c r="L108" t="str">
        <f>"15.79"</f>
        <v>15.79</v>
      </c>
      <c r="M108" t="str">
        <f t="shared" ref="M108:N113" si="45">"0.00"</f>
        <v>0.00</v>
      </c>
      <c r="N108" t="str">
        <f t="shared" si="45"/>
        <v>0.00</v>
      </c>
      <c r="O108" t="str">
        <f>"002939"</f>
        <v>002939</v>
      </c>
      <c r="P108" t="str">
        <f>"0153613480"</f>
        <v>0153613480</v>
      </c>
    </row>
    <row r="109" spans="1:16" x14ac:dyDescent="0.25">
      <c r="A109" t="str">
        <f t="shared" si="27"/>
        <v>人民币</v>
      </c>
      <c r="B109" t="str">
        <f>"长城证券"</f>
        <v>长城证券</v>
      </c>
      <c r="C109" t="str">
        <f>"20190321"</f>
        <v>20190321</v>
      </c>
      <c r="D109" t="str">
        <f>"15.780"</f>
        <v>15.780</v>
      </c>
      <c r="E109" t="str">
        <f>"-1000.00"</f>
        <v>-1000.00</v>
      </c>
      <c r="F109" t="str">
        <f>"15748.44"</f>
        <v>15748.44</v>
      </c>
      <c r="G109" t="str">
        <f>"17028.89"</f>
        <v>17028.89</v>
      </c>
      <c r="H109" t="str">
        <f>"1000.00"</f>
        <v>1000.00</v>
      </c>
      <c r="I109" t="str">
        <f>"315"</f>
        <v>315</v>
      </c>
      <c r="J109" t="str">
        <f>"证券卖出(长城证券)"</f>
        <v>证券卖出(长城证券)</v>
      </c>
      <c r="K109" t="str">
        <f>"15.78"</f>
        <v>15.78</v>
      </c>
      <c r="L109" t="str">
        <f>"15.78"</f>
        <v>15.78</v>
      </c>
      <c r="M109" t="str">
        <f t="shared" si="45"/>
        <v>0.00</v>
      </c>
      <c r="N109" t="str">
        <f t="shared" si="45"/>
        <v>0.00</v>
      </c>
      <c r="O109" t="str">
        <f>"002939"</f>
        <v>002939</v>
      </c>
      <c r="P109" t="str">
        <f>"0153613480"</f>
        <v>0153613480</v>
      </c>
    </row>
    <row r="110" spans="1:16" x14ac:dyDescent="0.25">
      <c r="A110" t="str">
        <f t="shared" si="27"/>
        <v>人民币</v>
      </c>
      <c r="B110" t="str">
        <f>"三美配号"</f>
        <v>三美配号</v>
      </c>
      <c r="C110" t="str">
        <f>"20190321"</f>
        <v>20190321</v>
      </c>
      <c r="D110" t="str">
        <f>"0.000"</f>
        <v>0.000</v>
      </c>
      <c r="E110" t="str">
        <f>"6.00"</f>
        <v>6.00</v>
      </c>
      <c r="F110" t="str">
        <f>"0.00"</f>
        <v>0.00</v>
      </c>
      <c r="G110" t="str">
        <f>"1280.45"</f>
        <v>1280.45</v>
      </c>
      <c r="H110" t="str">
        <f>"0.00"</f>
        <v>0.00</v>
      </c>
      <c r="I110" t="str">
        <f>"313"</f>
        <v>313</v>
      </c>
      <c r="J110" t="str">
        <f>"申购配号(三美配号)"</f>
        <v>申购配号(三美配号)</v>
      </c>
      <c r="K110" t="str">
        <f>"0.00"</f>
        <v>0.00</v>
      </c>
      <c r="L110" t="str">
        <f>"0.00"</f>
        <v>0.00</v>
      </c>
      <c r="M110" t="str">
        <f t="shared" si="45"/>
        <v>0.00</v>
      </c>
      <c r="N110" t="str">
        <f t="shared" si="45"/>
        <v>0.00</v>
      </c>
      <c r="O110" t="str">
        <f>"736379"</f>
        <v>736379</v>
      </c>
      <c r="P110" t="str">
        <f>"A400948245"</f>
        <v>A400948245</v>
      </c>
    </row>
    <row r="111" spans="1:16" x14ac:dyDescent="0.25">
      <c r="A111" t="str">
        <f t="shared" si="27"/>
        <v>人民币</v>
      </c>
      <c r="B111" t="str">
        <f>"银之杰"</f>
        <v>银之杰</v>
      </c>
      <c r="C111" t="str">
        <f>"20190322"</f>
        <v>20190322</v>
      </c>
      <c r="D111" t="str">
        <f>"17.950"</f>
        <v>17.950</v>
      </c>
      <c r="E111" t="str">
        <f>"200.00"</f>
        <v>200.00</v>
      </c>
      <c r="F111" t="str">
        <f>"-3595.00"</f>
        <v>-3595.00</v>
      </c>
      <c r="G111" t="str">
        <f>"4326.80"</f>
        <v>4326.80</v>
      </c>
      <c r="H111" t="str">
        <f>"1000.00"</f>
        <v>1000.00</v>
      </c>
      <c r="I111" t="str">
        <f>"336"</f>
        <v>336</v>
      </c>
      <c r="J111" t="str">
        <f>"证券买入(银之杰)"</f>
        <v>证券买入(银之杰)</v>
      </c>
      <c r="K111" t="str">
        <f>"5.00"</f>
        <v>5.00</v>
      </c>
      <c r="L111" t="str">
        <f t="shared" ref="L111:L116" si="46">"0.00"</f>
        <v>0.00</v>
      </c>
      <c r="M111" t="str">
        <f t="shared" si="45"/>
        <v>0.00</v>
      </c>
      <c r="N111" t="str">
        <f t="shared" si="45"/>
        <v>0.00</v>
      </c>
      <c r="O111" t="str">
        <f>"300085"</f>
        <v>300085</v>
      </c>
      <c r="P111" t="str">
        <f>"0153613480"</f>
        <v>0153613480</v>
      </c>
    </row>
    <row r="112" spans="1:16" x14ac:dyDescent="0.25">
      <c r="A112" t="str">
        <f t="shared" si="27"/>
        <v>人民币</v>
      </c>
      <c r="B112" t="str">
        <f>"银之杰"</f>
        <v>银之杰</v>
      </c>
      <c r="C112" t="str">
        <f>"20190322"</f>
        <v>20190322</v>
      </c>
      <c r="D112" t="str">
        <f>"18.350"</f>
        <v>18.350</v>
      </c>
      <c r="E112" t="str">
        <f>"300.00"</f>
        <v>300.00</v>
      </c>
      <c r="F112" t="str">
        <f>"-5510.51"</f>
        <v>-5510.51</v>
      </c>
      <c r="G112" t="str">
        <f>"7921.80"</f>
        <v>7921.80</v>
      </c>
      <c r="H112" t="str">
        <f>"800.00"</f>
        <v>800.00</v>
      </c>
      <c r="I112" t="str">
        <f>"333"</f>
        <v>333</v>
      </c>
      <c r="J112" t="str">
        <f>"证券买入(银之杰)"</f>
        <v>证券买入(银之杰)</v>
      </c>
      <c r="K112" t="str">
        <f>"5.51"</f>
        <v>5.51</v>
      </c>
      <c r="L112" t="str">
        <f t="shared" si="46"/>
        <v>0.00</v>
      </c>
      <c r="M112" t="str">
        <f t="shared" si="45"/>
        <v>0.00</v>
      </c>
      <c r="N112" t="str">
        <f t="shared" si="45"/>
        <v>0.00</v>
      </c>
      <c r="O112" t="str">
        <f>"300085"</f>
        <v>300085</v>
      </c>
      <c r="P112" t="str">
        <f>"0153613480"</f>
        <v>0153613480</v>
      </c>
    </row>
    <row r="113" spans="1:16" x14ac:dyDescent="0.25">
      <c r="A113" t="str">
        <f t="shared" si="27"/>
        <v>人民币</v>
      </c>
      <c r="B113" t="str">
        <f>"银之杰"</f>
        <v>银之杰</v>
      </c>
      <c r="C113" t="str">
        <f>"20190322"</f>
        <v>20190322</v>
      </c>
      <c r="D113" t="str">
        <f>"18.570"</f>
        <v>18.570</v>
      </c>
      <c r="E113" t="str">
        <f>"500.00"</f>
        <v>500.00</v>
      </c>
      <c r="F113" t="str">
        <f>"-9294.29"</f>
        <v>-9294.29</v>
      </c>
      <c r="G113" t="str">
        <f>"13432.31"</f>
        <v>13432.31</v>
      </c>
      <c r="H113" t="str">
        <f>"500.00"</f>
        <v>500.00</v>
      </c>
      <c r="I113" t="str">
        <f>"330"</f>
        <v>330</v>
      </c>
      <c r="J113" t="str">
        <f>"证券买入(银之杰)"</f>
        <v>证券买入(银之杰)</v>
      </c>
      <c r="K113" t="str">
        <f>"9.29"</f>
        <v>9.29</v>
      </c>
      <c r="L113" t="str">
        <f t="shared" si="46"/>
        <v>0.00</v>
      </c>
      <c r="M113" t="str">
        <f t="shared" si="45"/>
        <v>0.00</v>
      </c>
      <c r="N113" t="str">
        <f t="shared" si="45"/>
        <v>0.00</v>
      </c>
      <c r="O113" t="str">
        <f>"300085"</f>
        <v>300085</v>
      </c>
      <c r="P113" t="str">
        <f>"0153613480"</f>
        <v>0153613480</v>
      </c>
    </row>
    <row r="114" spans="1:16" x14ac:dyDescent="0.25">
      <c r="A114" t="str">
        <f t="shared" si="27"/>
        <v>人民币</v>
      </c>
      <c r="B114" t="str">
        <f>"七一二"</f>
        <v>七一二</v>
      </c>
      <c r="C114" t="str">
        <f>"20190322"</f>
        <v>20190322</v>
      </c>
      <c r="D114" t="str">
        <f>"18.650"</f>
        <v>18.650</v>
      </c>
      <c r="E114" t="str">
        <f>"300.00"</f>
        <v>300.00</v>
      </c>
      <c r="F114" t="str">
        <f>"-5600.71"</f>
        <v>-5600.71</v>
      </c>
      <c r="G114" t="str">
        <f>"22726.60"</f>
        <v>22726.60</v>
      </c>
      <c r="H114" t="str">
        <f>"2300.00"</f>
        <v>2300.00</v>
      </c>
      <c r="I114" t="str">
        <f>"339"</f>
        <v>339</v>
      </c>
      <c r="J114" t="str">
        <f>"证券买入(七一二)"</f>
        <v>证券买入(七一二)</v>
      </c>
      <c r="K114" t="str">
        <f>"5.60"</f>
        <v>5.60</v>
      </c>
      <c r="L114" t="str">
        <f t="shared" si="46"/>
        <v>0.00</v>
      </c>
      <c r="M114" t="str">
        <f>"0.11"</f>
        <v>0.11</v>
      </c>
      <c r="N114" t="str">
        <f>"0.00"</f>
        <v>0.00</v>
      </c>
      <c r="O114" t="str">
        <f>"603712"</f>
        <v>603712</v>
      </c>
      <c r="P114" t="str">
        <f>"A400948245"</f>
        <v>A400948245</v>
      </c>
    </row>
    <row r="115" spans="1:16" x14ac:dyDescent="0.25">
      <c r="A115" t="str">
        <f t="shared" si="27"/>
        <v>人民币</v>
      </c>
      <c r="B115" t="str">
        <f>"银之杰"</f>
        <v>银之杰</v>
      </c>
      <c r="C115" t="str">
        <f>"20190325"</f>
        <v>20190325</v>
      </c>
      <c r="D115" t="str">
        <f>"17.850"</f>
        <v>17.850</v>
      </c>
      <c r="E115" t="str">
        <f>"200.00"</f>
        <v>200.00</v>
      </c>
      <c r="F115" t="str">
        <f>"-3575.00"</f>
        <v>-3575.00</v>
      </c>
      <c r="G115" t="str">
        <f>"751.80"</f>
        <v>751.80</v>
      </c>
      <c r="H115" t="str">
        <f>"1200.00"</f>
        <v>1200.00</v>
      </c>
      <c r="I115" t="str">
        <f>"352"</f>
        <v>352</v>
      </c>
      <c r="J115" t="str">
        <f>"证券买入(银之杰)"</f>
        <v>证券买入(银之杰)</v>
      </c>
      <c r="K115" t="str">
        <f>"5.00"</f>
        <v>5.00</v>
      </c>
      <c r="L115" t="str">
        <f t="shared" si="46"/>
        <v>0.00</v>
      </c>
      <c r="M115" t="str">
        <f>"0.00"</f>
        <v>0.00</v>
      </c>
      <c r="N115" t="str">
        <f>"0.00"</f>
        <v>0.00</v>
      </c>
      <c r="O115" t="str">
        <f>"300085"</f>
        <v>300085</v>
      </c>
      <c r="P115" t="str">
        <f>"0153613480"</f>
        <v>0153613480</v>
      </c>
    </row>
    <row r="116" spans="1:16" x14ac:dyDescent="0.25">
      <c r="A116" t="str">
        <f t="shared" si="27"/>
        <v>人民币</v>
      </c>
      <c r="B116" t="str">
        <f>"银之杰"</f>
        <v>银之杰</v>
      </c>
      <c r="C116" t="str">
        <f>"20190326"</f>
        <v>20190326</v>
      </c>
      <c r="D116" t="str">
        <f>"17.180"</f>
        <v>17.180</v>
      </c>
      <c r="E116" t="str">
        <f>"600.00"</f>
        <v>600.00</v>
      </c>
      <c r="F116" t="str">
        <f>"-10318.31"</f>
        <v>-10318.31</v>
      </c>
      <c r="G116" t="str">
        <f>"433.49"</f>
        <v>433.49</v>
      </c>
      <c r="H116" t="str">
        <f>"1800.00"</f>
        <v>1800.00</v>
      </c>
      <c r="I116" t="str">
        <f>"2"</f>
        <v>2</v>
      </c>
      <c r="J116" t="str">
        <f>"证券买入(银之杰)"</f>
        <v>证券买入(银之杰)</v>
      </c>
      <c r="K116" t="str">
        <f>"10.31"</f>
        <v>10.31</v>
      </c>
      <c r="L116" t="str">
        <f t="shared" si="46"/>
        <v>0.00</v>
      </c>
      <c r="M116" t="str">
        <f>"0.00"</f>
        <v>0.00</v>
      </c>
      <c r="N116" t="str">
        <f>"0.00"</f>
        <v>0.00</v>
      </c>
      <c r="O116" t="str">
        <f>"300085"</f>
        <v>300085</v>
      </c>
      <c r="P116" t="str">
        <f>"0153613480"</f>
        <v>0153613480</v>
      </c>
    </row>
    <row r="117" spans="1:16" x14ac:dyDescent="0.25">
      <c r="A117" t="str">
        <f t="shared" si="27"/>
        <v>人民币</v>
      </c>
      <c r="B117" t="str">
        <f>""</f>
        <v/>
      </c>
      <c r="C117" t="str">
        <f>"20190326"</f>
        <v>20190326</v>
      </c>
      <c r="D117" t="str">
        <f>"---"</f>
        <v>---</v>
      </c>
      <c r="E117" t="str">
        <f>"---"</f>
        <v>---</v>
      </c>
      <c r="F117" t="str">
        <f>"10000.00"</f>
        <v>10000.00</v>
      </c>
      <c r="G117" t="str">
        <f>"10751.80"</f>
        <v>10751.80</v>
      </c>
      <c r="H117" t="str">
        <f>"---"</f>
        <v>---</v>
      </c>
      <c r="I117" t="str">
        <f>"---"</f>
        <v>---</v>
      </c>
      <c r="J117" t="str">
        <f>"银行转存"</f>
        <v>银行转存</v>
      </c>
      <c r="K117" t="str">
        <f t="shared" ref="K117:P117" si="47">"---"</f>
        <v>---</v>
      </c>
      <c r="L117" t="str">
        <f t="shared" si="47"/>
        <v>---</v>
      </c>
      <c r="M117" t="str">
        <f t="shared" si="47"/>
        <v>---</v>
      </c>
      <c r="N117" t="str">
        <f t="shared" si="47"/>
        <v>---</v>
      </c>
      <c r="O117" t="str">
        <f t="shared" si="47"/>
        <v>---</v>
      </c>
      <c r="P117" t="str">
        <f t="shared" si="47"/>
        <v>---</v>
      </c>
    </row>
    <row r="118" spans="1:16" x14ac:dyDescent="0.25">
      <c r="A118" t="str">
        <f t="shared" si="27"/>
        <v>人民币</v>
      </c>
      <c r="B118" t="str">
        <f>"银之杰"</f>
        <v>银之杰</v>
      </c>
      <c r="C118" t="str">
        <f>"20190327"</f>
        <v>20190327</v>
      </c>
      <c r="D118" t="str">
        <f>"16.360"</f>
        <v>16.360</v>
      </c>
      <c r="E118" t="str">
        <f>"600.00"</f>
        <v>600.00</v>
      </c>
      <c r="F118" t="str">
        <f>"-9825.82"</f>
        <v>-9825.82</v>
      </c>
      <c r="G118" t="str">
        <f>"607.67"</f>
        <v>607.67</v>
      </c>
      <c r="H118" t="str">
        <f>"2400.00"</f>
        <v>2400.00</v>
      </c>
      <c r="I118" t="str">
        <f>"7"</f>
        <v>7</v>
      </c>
      <c r="J118" t="str">
        <f>"证券买入(银之杰)"</f>
        <v>证券买入(银之杰)</v>
      </c>
      <c r="K118" t="str">
        <f>"9.82"</f>
        <v>9.82</v>
      </c>
      <c r="L118" t="str">
        <f>"0.00"</f>
        <v>0.00</v>
      </c>
      <c r="M118" t="str">
        <f>"0.00"</f>
        <v>0.00</v>
      </c>
      <c r="N118" t="str">
        <f>"0.00"</f>
        <v>0.00</v>
      </c>
      <c r="O118" t="str">
        <f>"300085"</f>
        <v>300085</v>
      </c>
      <c r="P118" t="str">
        <f>"0153613480"</f>
        <v>0153613480</v>
      </c>
    </row>
    <row r="119" spans="1:16" x14ac:dyDescent="0.25">
      <c r="A119" t="str">
        <f t="shared" si="27"/>
        <v>人民币</v>
      </c>
      <c r="B119" t="str">
        <f>""</f>
        <v/>
      </c>
      <c r="C119" t="str">
        <f>"20190327"</f>
        <v>20190327</v>
      </c>
      <c r="D119" t="str">
        <f>"---"</f>
        <v>---</v>
      </c>
      <c r="E119" t="str">
        <f>"---"</f>
        <v>---</v>
      </c>
      <c r="F119" t="str">
        <f>"10000.00"</f>
        <v>10000.00</v>
      </c>
      <c r="G119" t="str">
        <f>"10433.49"</f>
        <v>10433.49</v>
      </c>
      <c r="H119" t="str">
        <f>"---"</f>
        <v>---</v>
      </c>
      <c r="I119" t="str">
        <f>"---"</f>
        <v>---</v>
      </c>
      <c r="J119" t="str">
        <f>"银行转存"</f>
        <v>银行转存</v>
      </c>
      <c r="K119" t="str">
        <f t="shared" ref="K119:P119" si="48">"---"</f>
        <v>---</v>
      </c>
      <c r="L119" t="str">
        <f t="shared" si="48"/>
        <v>---</v>
      </c>
      <c r="M119" t="str">
        <f t="shared" si="48"/>
        <v>---</v>
      </c>
      <c r="N119" t="str">
        <f t="shared" si="48"/>
        <v>---</v>
      </c>
      <c r="O119" t="str">
        <f t="shared" si="48"/>
        <v>---</v>
      </c>
      <c r="P119" t="str">
        <f t="shared" si="48"/>
        <v>---</v>
      </c>
    </row>
    <row r="120" spans="1:16" x14ac:dyDescent="0.25">
      <c r="A120" t="str">
        <f t="shared" si="27"/>
        <v>人民币</v>
      </c>
      <c r="B120" t="str">
        <f>"安硕信息"</f>
        <v>安硕信息</v>
      </c>
      <c r="C120" t="str">
        <f>"20190401"</f>
        <v>20190401</v>
      </c>
      <c r="D120" t="str">
        <f>"26.450"</f>
        <v>26.450</v>
      </c>
      <c r="E120" t="str">
        <f>"400.00"</f>
        <v>400.00</v>
      </c>
      <c r="F120" t="str">
        <f>"-10590.58"</f>
        <v>-10590.58</v>
      </c>
      <c r="G120" t="str">
        <f>"35169.48"</f>
        <v>35169.48</v>
      </c>
      <c r="H120" t="str">
        <f>"400.00"</f>
        <v>400.00</v>
      </c>
      <c r="I120" t="str">
        <f>"20"</f>
        <v>20</v>
      </c>
      <c r="J120" t="str">
        <f>"证券买入(安硕信息)"</f>
        <v>证券买入(安硕信息)</v>
      </c>
      <c r="K120" t="str">
        <f>"10.58"</f>
        <v>10.58</v>
      </c>
      <c r="L120" t="str">
        <f>"0.00"</f>
        <v>0.00</v>
      </c>
      <c r="M120" t="str">
        <f>"0.00"</f>
        <v>0.00</v>
      </c>
      <c r="N120" t="str">
        <f>"0.00"</f>
        <v>0.00</v>
      </c>
      <c r="O120" t="str">
        <f>"300380"</f>
        <v>300380</v>
      </c>
      <c r="P120" t="str">
        <f t="shared" ref="P120:P125" si="49">"0153613480"</f>
        <v>0153613480</v>
      </c>
    </row>
    <row r="121" spans="1:16" x14ac:dyDescent="0.25">
      <c r="A121" t="str">
        <f t="shared" si="27"/>
        <v>人民币</v>
      </c>
      <c r="B121" t="str">
        <f>"银之杰"</f>
        <v>银之杰</v>
      </c>
      <c r="C121" t="str">
        <f>"20190401"</f>
        <v>20190401</v>
      </c>
      <c r="D121" t="str">
        <f>"18.910"</f>
        <v>18.910</v>
      </c>
      <c r="E121" t="str">
        <f>"-100.00"</f>
        <v>-100.00</v>
      </c>
      <c r="F121" t="str">
        <f>"1884.11"</f>
        <v>1884.11</v>
      </c>
      <c r="G121" t="str">
        <f>"45760.06"</f>
        <v>45760.06</v>
      </c>
      <c r="H121" t="str">
        <f>"0.00"</f>
        <v>0.00</v>
      </c>
      <c r="I121" t="str">
        <f>"17"</f>
        <v>17</v>
      </c>
      <c r="J121" t="str">
        <f>"证券卖出(银之杰)"</f>
        <v>证券卖出(银之杰)</v>
      </c>
      <c r="K121" t="str">
        <f>"5.00"</f>
        <v>5.00</v>
      </c>
      <c r="L121" t="str">
        <f>"1.89"</f>
        <v>1.89</v>
      </c>
      <c r="M121" t="str">
        <f t="shared" ref="M121:N132" si="50">"0.00"</f>
        <v>0.00</v>
      </c>
      <c r="N121" t="str">
        <f t="shared" si="50"/>
        <v>0.00</v>
      </c>
      <c r="O121" t="str">
        <f>"300085"</f>
        <v>300085</v>
      </c>
      <c r="P121" t="str">
        <f t="shared" si="49"/>
        <v>0153613480</v>
      </c>
    </row>
    <row r="122" spans="1:16" x14ac:dyDescent="0.25">
      <c r="A122" t="str">
        <f t="shared" si="27"/>
        <v>人民币</v>
      </c>
      <c r="B122" t="str">
        <f>"银之杰"</f>
        <v>银之杰</v>
      </c>
      <c r="C122" t="str">
        <f>"20190401"</f>
        <v>20190401</v>
      </c>
      <c r="D122" t="str">
        <f>"18.850"</f>
        <v>18.850</v>
      </c>
      <c r="E122" t="str">
        <f>"-1500.00"</f>
        <v>-1500.00</v>
      </c>
      <c r="F122" t="str">
        <f>"28218.44"</f>
        <v>28218.44</v>
      </c>
      <c r="G122" t="str">
        <f>"43875.95"</f>
        <v>43875.95</v>
      </c>
      <c r="H122" t="str">
        <f>"100.00"</f>
        <v>100.00</v>
      </c>
      <c r="I122" t="str">
        <f>"14"</f>
        <v>14</v>
      </c>
      <c r="J122" t="str">
        <f>"证券卖出(银之杰)"</f>
        <v>证券卖出(银之杰)</v>
      </c>
      <c r="K122" t="str">
        <f>"28.28"</f>
        <v>28.28</v>
      </c>
      <c r="L122" t="str">
        <f>"28.28"</f>
        <v>28.28</v>
      </c>
      <c r="M122" t="str">
        <f t="shared" si="50"/>
        <v>0.00</v>
      </c>
      <c r="N122" t="str">
        <f t="shared" si="50"/>
        <v>0.00</v>
      </c>
      <c r="O122" t="str">
        <f>"300085"</f>
        <v>300085</v>
      </c>
      <c r="P122" t="str">
        <f t="shared" si="49"/>
        <v>0153613480</v>
      </c>
    </row>
    <row r="123" spans="1:16" x14ac:dyDescent="0.25">
      <c r="A123" t="str">
        <f t="shared" si="27"/>
        <v>人民币</v>
      </c>
      <c r="B123" t="str">
        <f>"银之杰"</f>
        <v>银之杰</v>
      </c>
      <c r="C123" t="str">
        <f>"20190401"</f>
        <v>20190401</v>
      </c>
      <c r="D123" t="str">
        <f>"18.850"</f>
        <v>18.850</v>
      </c>
      <c r="E123" t="str">
        <f>"-800.00"</f>
        <v>-800.00</v>
      </c>
      <c r="F123" t="str">
        <f>"15049.84"</f>
        <v>15049.84</v>
      </c>
      <c r="G123" t="str">
        <f>"15657.51"</f>
        <v>15657.51</v>
      </c>
      <c r="H123" t="str">
        <f>"1600.00"</f>
        <v>1600.00</v>
      </c>
      <c r="I123" t="str">
        <f>"11"</f>
        <v>11</v>
      </c>
      <c r="J123" t="str">
        <f>"证券卖出(银之杰)"</f>
        <v>证券卖出(银之杰)</v>
      </c>
      <c r="K123" t="str">
        <f>"15.08"</f>
        <v>15.08</v>
      </c>
      <c r="L123" t="str">
        <f>"15.08"</f>
        <v>15.08</v>
      </c>
      <c r="M123" t="str">
        <f t="shared" si="50"/>
        <v>0.00</v>
      </c>
      <c r="N123" t="str">
        <f t="shared" si="50"/>
        <v>0.00</v>
      </c>
      <c r="O123" t="str">
        <f>"300085"</f>
        <v>300085</v>
      </c>
      <c r="P123" t="str">
        <f t="shared" si="49"/>
        <v>0153613480</v>
      </c>
    </row>
    <row r="124" spans="1:16" x14ac:dyDescent="0.25">
      <c r="A124" t="str">
        <f t="shared" si="27"/>
        <v>人民币</v>
      </c>
      <c r="B124" t="str">
        <f>"迪普科技"</f>
        <v>迪普科技</v>
      </c>
      <c r="C124" t="str">
        <f>"20190402"</f>
        <v>20190402</v>
      </c>
      <c r="D124" t="str">
        <f>"0.000"</f>
        <v>0.000</v>
      </c>
      <c r="E124" t="str">
        <f>"8.00"</f>
        <v>8.00</v>
      </c>
      <c r="F124" t="str">
        <f>"0.00"</f>
        <v>0.00</v>
      </c>
      <c r="G124" t="str">
        <f>"19223.55"</f>
        <v>19223.55</v>
      </c>
      <c r="H124" t="str">
        <f>"0.00"</f>
        <v>0.00</v>
      </c>
      <c r="I124" t="str">
        <f>"31"</f>
        <v>31</v>
      </c>
      <c r="J124" t="str">
        <f>"申购配号(迪普科技)"</f>
        <v>申购配号(迪普科技)</v>
      </c>
      <c r="K124" t="str">
        <f>"0.00"</f>
        <v>0.00</v>
      </c>
      <c r="L124" t="str">
        <f>"0.00"</f>
        <v>0.00</v>
      </c>
      <c r="M124" t="str">
        <f t="shared" si="50"/>
        <v>0.00</v>
      </c>
      <c r="N124" t="str">
        <f t="shared" si="50"/>
        <v>0.00</v>
      </c>
      <c r="O124" t="str">
        <f>"300768"</f>
        <v>300768</v>
      </c>
      <c r="P124" t="str">
        <f t="shared" si="49"/>
        <v>0153613480</v>
      </c>
    </row>
    <row r="125" spans="1:16" x14ac:dyDescent="0.25">
      <c r="A125" t="str">
        <f t="shared" si="27"/>
        <v>人民币</v>
      </c>
      <c r="B125" t="str">
        <f>"安硕信息"</f>
        <v>安硕信息</v>
      </c>
      <c r="C125" t="str">
        <f>"20190402"</f>
        <v>20190402</v>
      </c>
      <c r="D125" t="str">
        <f>"26.550"</f>
        <v>26.550</v>
      </c>
      <c r="E125" t="str">
        <f>"600.00"</f>
        <v>600.00</v>
      </c>
      <c r="F125" t="str">
        <f>"-15945.93"</f>
        <v>-15945.93</v>
      </c>
      <c r="G125" t="str">
        <f>"19223.55"</f>
        <v>19223.55</v>
      </c>
      <c r="H125" t="str">
        <f>"1000.00"</f>
        <v>1000.00</v>
      </c>
      <c r="I125" t="str">
        <f>"33"</f>
        <v>33</v>
      </c>
      <c r="J125" t="str">
        <f>"证券买入(安硕信息)"</f>
        <v>证券买入(安硕信息)</v>
      </c>
      <c r="K125" t="str">
        <f>"15.93"</f>
        <v>15.93</v>
      </c>
      <c r="L125" t="str">
        <f>"0.00"</f>
        <v>0.00</v>
      </c>
      <c r="M125" t="str">
        <f t="shared" si="50"/>
        <v>0.00</v>
      </c>
      <c r="N125" t="str">
        <f t="shared" si="50"/>
        <v>0.00</v>
      </c>
      <c r="O125" t="str">
        <f>"300380"</f>
        <v>300380</v>
      </c>
      <c r="P125" t="str">
        <f t="shared" si="49"/>
        <v>0153613480</v>
      </c>
    </row>
    <row r="126" spans="1:16" x14ac:dyDescent="0.25">
      <c r="A126" t="str">
        <f t="shared" ref="A126:A189" si="51">"人民币"</f>
        <v>人民币</v>
      </c>
      <c r="B126" t="str">
        <f>"博通配号"</f>
        <v>博通配号</v>
      </c>
      <c r="C126" t="str">
        <f>"20190402"</f>
        <v>20190402</v>
      </c>
      <c r="D126" t="str">
        <f>"0.000"</f>
        <v>0.000</v>
      </c>
      <c r="E126" t="str">
        <f>"8.00"</f>
        <v>8.00</v>
      </c>
      <c r="F126" t="str">
        <f>"0.00"</f>
        <v>0.00</v>
      </c>
      <c r="G126" t="str">
        <f>"35169.48"</f>
        <v>35169.48</v>
      </c>
      <c r="H126" t="str">
        <f>"0.00"</f>
        <v>0.00</v>
      </c>
      <c r="I126" t="str">
        <f>"29"</f>
        <v>29</v>
      </c>
      <c r="J126" t="str">
        <f>"申购配号(博通配号)"</f>
        <v>申购配号(博通配号)</v>
      </c>
      <c r="K126" t="str">
        <f>"0.00"</f>
        <v>0.00</v>
      </c>
      <c r="L126" t="str">
        <f>"0.00"</f>
        <v>0.00</v>
      </c>
      <c r="M126" t="str">
        <f t="shared" si="50"/>
        <v>0.00</v>
      </c>
      <c r="N126" t="str">
        <f t="shared" si="50"/>
        <v>0.00</v>
      </c>
      <c r="O126" t="str">
        <f>"736068"</f>
        <v>736068</v>
      </c>
      <c r="P126" t="str">
        <f>"A400948245"</f>
        <v>A400948245</v>
      </c>
    </row>
    <row r="127" spans="1:16" x14ac:dyDescent="0.25">
      <c r="A127" t="str">
        <f t="shared" si="51"/>
        <v>人民币</v>
      </c>
      <c r="B127" t="str">
        <f>"德方纳米"</f>
        <v>德方纳米</v>
      </c>
      <c r="C127" t="str">
        <f t="shared" ref="C127:C136" si="52">"20190403"</f>
        <v>20190403</v>
      </c>
      <c r="D127" t="str">
        <f>"0.000"</f>
        <v>0.000</v>
      </c>
      <c r="E127" t="str">
        <f>"9.00"</f>
        <v>9.00</v>
      </c>
      <c r="F127" t="str">
        <f>"0.00"</f>
        <v>0.00</v>
      </c>
      <c r="G127" t="str">
        <f>"21580.53"</f>
        <v>21580.53</v>
      </c>
      <c r="H127" t="str">
        <f>"0.00"</f>
        <v>0.00</v>
      </c>
      <c r="I127" t="str">
        <f>"42"</f>
        <v>42</v>
      </c>
      <c r="J127" t="str">
        <f>"申购配号(德方纳米)"</f>
        <v>申购配号(德方纳米)</v>
      </c>
      <c r="K127" t="str">
        <f>"0.00"</f>
        <v>0.00</v>
      </c>
      <c r="L127" t="str">
        <f>"0.00"</f>
        <v>0.00</v>
      </c>
      <c r="M127" t="str">
        <f t="shared" si="50"/>
        <v>0.00</v>
      </c>
      <c r="N127" t="str">
        <f t="shared" si="50"/>
        <v>0.00</v>
      </c>
      <c r="O127" t="str">
        <f>"300769"</f>
        <v>300769</v>
      </c>
      <c r="P127" t="str">
        <f t="shared" ref="P127:P132" si="53">"0153613480"</f>
        <v>0153613480</v>
      </c>
    </row>
    <row r="128" spans="1:16" x14ac:dyDescent="0.25">
      <c r="A128" t="str">
        <f t="shared" si="51"/>
        <v>人民币</v>
      </c>
      <c r="B128" t="str">
        <f>"安硕信息"</f>
        <v>安硕信息</v>
      </c>
      <c r="C128" t="str">
        <f t="shared" si="52"/>
        <v>20190403</v>
      </c>
      <c r="D128" t="str">
        <f>"27.050"</f>
        <v>27.050</v>
      </c>
      <c r="E128" t="str">
        <f>"-500.00"</f>
        <v>-500.00</v>
      </c>
      <c r="F128" t="str">
        <f>"13497.94"</f>
        <v>13497.94</v>
      </c>
      <c r="G128" t="str">
        <f>"21580.53"</f>
        <v>21580.53</v>
      </c>
      <c r="H128" t="str">
        <f>"800.00"</f>
        <v>800.00</v>
      </c>
      <c r="I128" t="str">
        <f>"73"</f>
        <v>73</v>
      </c>
      <c r="J128" t="str">
        <f>"证券卖出(安硕信息)"</f>
        <v>证券卖出(安硕信息)</v>
      </c>
      <c r="K128" t="str">
        <f>"13.53"</f>
        <v>13.53</v>
      </c>
      <c r="L128" t="str">
        <f>"13.53"</f>
        <v>13.53</v>
      </c>
      <c r="M128" t="str">
        <f t="shared" si="50"/>
        <v>0.00</v>
      </c>
      <c r="N128" t="str">
        <f t="shared" si="50"/>
        <v>0.00</v>
      </c>
      <c r="O128" t="str">
        <f>"300380"</f>
        <v>300380</v>
      </c>
      <c r="P128" t="str">
        <f t="shared" si="53"/>
        <v>0153613480</v>
      </c>
    </row>
    <row r="129" spans="1:16" x14ac:dyDescent="0.25">
      <c r="A129" t="str">
        <f t="shared" si="51"/>
        <v>人民币</v>
      </c>
      <c r="B129" t="str">
        <f>"青农商行"</f>
        <v>青农商行</v>
      </c>
      <c r="C129" t="str">
        <f t="shared" si="52"/>
        <v>20190403</v>
      </c>
      <c r="D129" t="str">
        <f>"9.941"</f>
        <v>9.941</v>
      </c>
      <c r="E129" t="str">
        <f>"500.00"</f>
        <v>500.00</v>
      </c>
      <c r="F129" t="str">
        <f>"-4975.50"</f>
        <v>-4975.50</v>
      </c>
      <c r="G129" t="str">
        <f>"8082.59"</f>
        <v>8082.59</v>
      </c>
      <c r="H129" t="str">
        <f>"500.00"</f>
        <v>500.00</v>
      </c>
      <c r="I129" t="str">
        <f>"59"</f>
        <v>59</v>
      </c>
      <c r="J129" t="str">
        <f>"证券买入(青农商行)"</f>
        <v>证券买入(青农商行)</v>
      </c>
      <c r="K129" t="str">
        <f>"5.00"</f>
        <v>5.00</v>
      </c>
      <c r="L129" t="str">
        <f>"0.00"</f>
        <v>0.00</v>
      </c>
      <c r="M129" t="str">
        <f t="shared" si="50"/>
        <v>0.00</v>
      </c>
      <c r="N129" t="str">
        <f t="shared" si="50"/>
        <v>0.00</v>
      </c>
      <c r="O129" t="str">
        <f>"002958"</f>
        <v>002958</v>
      </c>
      <c r="P129" t="str">
        <f t="shared" si="53"/>
        <v>0153613480</v>
      </c>
    </row>
    <row r="130" spans="1:16" x14ac:dyDescent="0.25">
      <c r="A130" t="str">
        <f t="shared" si="51"/>
        <v>人民币</v>
      </c>
      <c r="B130" t="str">
        <f>"西部建设"</f>
        <v>西部建设</v>
      </c>
      <c r="C130" t="str">
        <f t="shared" si="52"/>
        <v>20190403</v>
      </c>
      <c r="D130" t="str">
        <f>"15.680"</f>
        <v>15.680</v>
      </c>
      <c r="E130" t="str">
        <f>"500.00"</f>
        <v>500.00</v>
      </c>
      <c r="F130" t="str">
        <f>"-7847.84"</f>
        <v>-7847.84</v>
      </c>
      <c r="G130" t="str">
        <f>"13058.09"</f>
        <v>13058.09</v>
      </c>
      <c r="H130" t="str">
        <f>"500.00"</f>
        <v>500.00</v>
      </c>
      <c r="I130" t="str">
        <f>"54"</f>
        <v>54</v>
      </c>
      <c r="J130" t="str">
        <f>"证券买入(西部建设)"</f>
        <v>证券买入(西部建设)</v>
      </c>
      <c r="K130" t="str">
        <f>"7.84"</f>
        <v>7.84</v>
      </c>
      <c r="L130" t="str">
        <f>"0.00"</f>
        <v>0.00</v>
      </c>
      <c r="M130" t="str">
        <f t="shared" si="50"/>
        <v>0.00</v>
      </c>
      <c r="N130" t="str">
        <f t="shared" si="50"/>
        <v>0.00</v>
      </c>
      <c r="O130" t="str">
        <f>"002302"</f>
        <v>002302</v>
      </c>
      <c r="P130" t="str">
        <f t="shared" si="53"/>
        <v>0153613480</v>
      </c>
    </row>
    <row r="131" spans="1:16" x14ac:dyDescent="0.25">
      <c r="A131" t="str">
        <f t="shared" si="51"/>
        <v>人民币</v>
      </c>
      <c r="B131" t="str">
        <f>"青农商行"</f>
        <v>青农商行</v>
      </c>
      <c r="C131" t="str">
        <f t="shared" si="52"/>
        <v>20190403</v>
      </c>
      <c r="D131" t="str">
        <f>"10.110"</f>
        <v>10.110</v>
      </c>
      <c r="E131" t="str">
        <f>"-500.00"</f>
        <v>-500.00</v>
      </c>
      <c r="F131" t="str">
        <f>"5044.88"</f>
        <v>5044.88</v>
      </c>
      <c r="G131" t="str">
        <f>"20905.93"</f>
        <v>20905.93</v>
      </c>
      <c r="H131" t="str">
        <f>"0.00"</f>
        <v>0.00</v>
      </c>
      <c r="I131" t="str">
        <f>"51"</f>
        <v>51</v>
      </c>
      <c r="J131" t="str">
        <f>"证券卖出(青农商行)"</f>
        <v>证券卖出(青农商行)</v>
      </c>
      <c r="K131" t="str">
        <f>"5.06"</f>
        <v>5.06</v>
      </c>
      <c r="L131" t="str">
        <f>"5.06"</f>
        <v>5.06</v>
      </c>
      <c r="M131" t="str">
        <f t="shared" si="50"/>
        <v>0.00</v>
      </c>
      <c r="N131" t="str">
        <f t="shared" si="50"/>
        <v>0.00</v>
      </c>
      <c r="O131" t="str">
        <f>"002958"</f>
        <v>002958</v>
      </c>
      <c r="P131" t="str">
        <f t="shared" si="53"/>
        <v>0153613480</v>
      </c>
    </row>
    <row r="132" spans="1:16" x14ac:dyDescent="0.25">
      <c r="A132" t="str">
        <f t="shared" si="51"/>
        <v>人民币</v>
      </c>
      <c r="B132" t="str">
        <f>"安硕信息"</f>
        <v>安硕信息</v>
      </c>
      <c r="C132" t="str">
        <f t="shared" si="52"/>
        <v>20190403</v>
      </c>
      <c r="D132" t="str">
        <f>"26.380"</f>
        <v>26.380</v>
      </c>
      <c r="E132" t="str">
        <f>"300.00"</f>
        <v>300.00</v>
      </c>
      <c r="F132" t="str">
        <f>"-7921.91"</f>
        <v>-7921.91</v>
      </c>
      <c r="G132" t="str">
        <f>"15861.05"</f>
        <v>15861.05</v>
      </c>
      <c r="H132" t="str">
        <f>"1300.00"</f>
        <v>1300.00</v>
      </c>
      <c r="I132" t="str">
        <f>"44"</f>
        <v>44</v>
      </c>
      <c r="J132" t="str">
        <f>"证券买入(安硕信息)"</f>
        <v>证券买入(安硕信息)</v>
      </c>
      <c r="K132" t="str">
        <f>"7.91"</f>
        <v>7.91</v>
      </c>
      <c r="L132" t="str">
        <f>"0.00"</f>
        <v>0.00</v>
      </c>
      <c r="M132" t="str">
        <f t="shared" si="50"/>
        <v>0.00</v>
      </c>
      <c r="N132" t="str">
        <f t="shared" si="50"/>
        <v>0.00</v>
      </c>
      <c r="O132" t="str">
        <f>"300380"</f>
        <v>300380</v>
      </c>
      <c r="P132" t="str">
        <f t="shared" si="53"/>
        <v>0153613480</v>
      </c>
    </row>
    <row r="133" spans="1:16" x14ac:dyDescent="0.25">
      <c r="A133" t="str">
        <f t="shared" si="51"/>
        <v>人民币</v>
      </c>
      <c r="B133" t="str">
        <f>"七一二"</f>
        <v>七一二</v>
      </c>
      <c r="C133" t="str">
        <f t="shared" si="52"/>
        <v>20190403</v>
      </c>
      <c r="D133" t="str">
        <f>"21.710"</f>
        <v>21.710</v>
      </c>
      <c r="E133" t="str">
        <f>"-300.00"</f>
        <v>-300.00</v>
      </c>
      <c r="F133" t="str">
        <f>"6499.85"</f>
        <v>6499.85</v>
      </c>
      <c r="G133" t="str">
        <f>"23782.96"</f>
        <v>23782.96</v>
      </c>
      <c r="H133" t="str">
        <f>"1400.00"</f>
        <v>1400.00</v>
      </c>
      <c r="I133" t="str">
        <f>"70"</f>
        <v>70</v>
      </c>
      <c r="J133" t="str">
        <f>"证券卖出(七一二)"</f>
        <v>证券卖出(七一二)</v>
      </c>
      <c r="K133" t="str">
        <f>"6.51"</f>
        <v>6.51</v>
      </c>
      <c r="L133" t="str">
        <f>"6.51"</f>
        <v>6.51</v>
      </c>
      <c r="M133" t="str">
        <f>"0.13"</f>
        <v>0.13</v>
      </c>
      <c r="N133" t="str">
        <f>"0.00"</f>
        <v>0.00</v>
      </c>
      <c r="O133" t="str">
        <f>"603712"</f>
        <v>603712</v>
      </c>
      <c r="P133" t="str">
        <f>"A400948245"</f>
        <v>A400948245</v>
      </c>
    </row>
    <row r="134" spans="1:16" x14ac:dyDescent="0.25">
      <c r="A134" t="str">
        <f t="shared" si="51"/>
        <v>人民币</v>
      </c>
      <c r="B134" t="str">
        <f>"天味配号"</f>
        <v>天味配号</v>
      </c>
      <c r="C134" t="str">
        <f t="shared" si="52"/>
        <v>20190403</v>
      </c>
      <c r="D134" t="str">
        <f>"0.000"</f>
        <v>0.000</v>
      </c>
      <c r="E134" t="str">
        <f>"8.00"</f>
        <v>8.00</v>
      </c>
      <c r="F134" t="str">
        <f>"0.00"</f>
        <v>0.00</v>
      </c>
      <c r="G134" t="str">
        <f>"4223.55"</f>
        <v>4223.55</v>
      </c>
      <c r="H134" t="str">
        <f>"0.00"</f>
        <v>0.00</v>
      </c>
      <c r="I134" t="str">
        <f>"40"</f>
        <v>40</v>
      </c>
      <c r="J134" t="str">
        <f>"申购配号(天味配号)"</f>
        <v>申购配号(天味配号)</v>
      </c>
      <c r="K134" t="str">
        <f>"0.00"</f>
        <v>0.00</v>
      </c>
      <c r="L134" t="str">
        <f>"0.00"</f>
        <v>0.00</v>
      </c>
      <c r="M134" t="str">
        <f>"0.00"</f>
        <v>0.00</v>
      </c>
      <c r="N134" t="str">
        <f>"0.00"</f>
        <v>0.00</v>
      </c>
      <c r="O134" t="str">
        <f>"736317"</f>
        <v>736317</v>
      </c>
      <c r="P134" t="str">
        <f>"A400948245"</f>
        <v>A400948245</v>
      </c>
    </row>
    <row r="135" spans="1:16" x14ac:dyDescent="0.25">
      <c r="A135" t="str">
        <f t="shared" si="51"/>
        <v>人民币</v>
      </c>
      <c r="B135" t="str">
        <f>"七一二"</f>
        <v>七一二</v>
      </c>
      <c r="C135" t="str">
        <f t="shared" si="52"/>
        <v>20190403</v>
      </c>
      <c r="D135" t="str">
        <f>"21.810"</f>
        <v>21.810</v>
      </c>
      <c r="E135" t="str">
        <f>"-600.00"</f>
        <v>-600.00</v>
      </c>
      <c r="F135" t="str">
        <f>"13059.56"</f>
        <v>13059.56</v>
      </c>
      <c r="G135" t="str">
        <f>"17283.11"</f>
        <v>17283.11</v>
      </c>
      <c r="H135" t="str">
        <f>"1700.00"</f>
        <v>1700.00</v>
      </c>
      <c r="I135" t="str">
        <f>"48"</f>
        <v>48</v>
      </c>
      <c r="J135" t="str">
        <f>"证券卖出(七一二)"</f>
        <v>证券卖出(七一二)</v>
      </c>
      <c r="K135" t="str">
        <f>"13.09"</f>
        <v>13.09</v>
      </c>
      <c r="L135" t="str">
        <f>"13.09"</f>
        <v>13.09</v>
      </c>
      <c r="M135" t="str">
        <f>"0.26"</f>
        <v>0.26</v>
      </c>
      <c r="N135" t="str">
        <f>"0.00"</f>
        <v>0.00</v>
      </c>
      <c r="O135" t="str">
        <f>"603712"</f>
        <v>603712</v>
      </c>
      <c r="P135" t="str">
        <f>"A400948245"</f>
        <v>A400948245</v>
      </c>
    </row>
    <row r="136" spans="1:16" x14ac:dyDescent="0.25">
      <c r="A136" t="str">
        <f t="shared" si="51"/>
        <v>人民币</v>
      </c>
      <c r="B136" t="str">
        <f>""</f>
        <v/>
      </c>
      <c r="C136" t="str">
        <f t="shared" si="52"/>
        <v>20190403</v>
      </c>
      <c r="D136" t="str">
        <f>"---"</f>
        <v>---</v>
      </c>
      <c r="E136" t="str">
        <f>"---"</f>
        <v>---</v>
      </c>
      <c r="F136" t="str">
        <f>"-15000.00"</f>
        <v>-15000.00</v>
      </c>
      <c r="G136" t="str">
        <f>"4223.55"</f>
        <v>4223.55</v>
      </c>
      <c r="H136" t="str">
        <f>"---"</f>
        <v>---</v>
      </c>
      <c r="I136" t="str">
        <f>"---"</f>
        <v>---</v>
      </c>
      <c r="J136" t="str">
        <f>"银行转取"</f>
        <v>银行转取</v>
      </c>
      <c r="K136" t="str">
        <f t="shared" ref="K136:P136" si="54">"---"</f>
        <v>---</v>
      </c>
      <c r="L136" t="str">
        <f t="shared" si="54"/>
        <v>---</v>
      </c>
      <c r="M136" t="str">
        <f t="shared" si="54"/>
        <v>---</v>
      </c>
      <c r="N136" t="str">
        <f t="shared" si="54"/>
        <v>---</v>
      </c>
      <c r="O136" t="str">
        <f t="shared" si="54"/>
        <v>---</v>
      </c>
      <c r="P136" t="str">
        <f t="shared" si="54"/>
        <v>---</v>
      </c>
    </row>
    <row r="137" spans="1:16" x14ac:dyDescent="0.25">
      <c r="A137" t="str">
        <f t="shared" si="51"/>
        <v>人民币</v>
      </c>
      <c r="B137" t="str">
        <f>"青农商行"</f>
        <v>青农商行</v>
      </c>
      <c r="C137" t="str">
        <f t="shared" ref="C137:C146" si="55">"20190404"</f>
        <v>20190404</v>
      </c>
      <c r="D137" t="str">
        <f>"10.790"</f>
        <v>10.790</v>
      </c>
      <c r="E137" t="str">
        <f>"-500.00"</f>
        <v>-500.00</v>
      </c>
      <c r="F137" t="str">
        <f>"5384.20"</f>
        <v>5384.20</v>
      </c>
      <c r="G137" t="str">
        <f>"33827.75"</f>
        <v>33827.75</v>
      </c>
      <c r="H137" t="str">
        <f>"0.00"</f>
        <v>0.00</v>
      </c>
      <c r="I137" t="str">
        <f>"111"</f>
        <v>111</v>
      </c>
      <c r="J137" t="str">
        <f>"证券卖出(青农商行)"</f>
        <v>证券卖出(青农商行)</v>
      </c>
      <c r="K137" t="str">
        <f>"5.40"</f>
        <v>5.40</v>
      </c>
      <c r="L137" t="str">
        <f>"5.40"</f>
        <v>5.40</v>
      </c>
      <c r="M137" t="str">
        <f t="shared" ref="M137:N141" si="56">"0.00"</f>
        <v>0.00</v>
      </c>
      <c r="N137" t="str">
        <f t="shared" si="56"/>
        <v>0.00</v>
      </c>
      <c r="O137" t="str">
        <f>"002958"</f>
        <v>002958</v>
      </c>
      <c r="P137" t="str">
        <f>"0153613480"</f>
        <v>0153613480</v>
      </c>
    </row>
    <row r="138" spans="1:16" x14ac:dyDescent="0.25">
      <c r="A138" t="str">
        <f t="shared" si="51"/>
        <v>人民币</v>
      </c>
      <c r="B138" t="str">
        <f>"西部建设"</f>
        <v>西部建设</v>
      </c>
      <c r="C138" t="str">
        <f t="shared" si="55"/>
        <v>20190404</v>
      </c>
      <c r="D138" t="str">
        <f>"15.570"</f>
        <v>15.570</v>
      </c>
      <c r="E138" t="str">
        <f>"-500.00"</f>
        <v>-500.00</v>
      </c>
      <c r="F138" t="str">
        <f>"7769.42"</f>
        <v>7769.42</v>
      </c>
      <c r="G138" t="str">
        <f>"28443.55"</f>
        <v>28443.55</v>
      </c>
      <c r="H138" t="str">
        <f>"0.00"</f>
        <v>0.00</v>
      </c>
      <c r="I138" t="str">
        <f>"124"</f>
        <v>124</v>
      </c>
      <c r="J138" t="str">
        <f>"证券卖出(西部建设)"</f>
        <v>证券卖出(西部建设)</v>
      </c>
      <c r="K138" t="str">
        <f>"7.79"</f>
        <v>7.79</v>
      </c>
      <c r="L138" t="str">
        <f>"7.79"</f>
        <v>7.79</v>
      </c>
      <c r="M138" t="str">
        <f t="shared" si="56"/>
        <v>0.00</v>
      </c>
      <c r="N138" t="str">
        <f t="shared" si="56"/>
        <v>0.00</v>
      </c>
      <c r="O138" t="str">
        <f>"002302"</f>
        <v>002302</v>
      </c>
      <c r="P138" t="str">
        <f>"0153613480"</f>
        <v>0153613480</v>
      </c>
    </row>
    <row r="139" spans="1:16" x14ac:dyDescent="0.25">
      <c r="A139" t="str">
        <f t="shared" si="51"/>
        <v>人民币</v>
      </c>
      <c r="B139" t="str">
        <f>"安硕信息"</f>
        <v>安硕信息</v>
      </c>
      <c r="C139" t="str">
        <f t="shared" si="55"/>
        <v>20190404</v>
      </c>
      <c r="D139" t="str">
        <f>"26.580"</f>
        <v>26.580</v>
      </c>
      <c r="E139" t="str">
        <f>"-300.00"</f>
        <v>-300.00</v>
      </c>
      <c r="F139" t="str">
        <f>"7958.06"</f>
        <v>7958.06</v>
      </c>
      <c r="G139" t="str">
        <f>"20674.13"</f>
        <v>20674.13</v>
      </c>
      <c r="H139" t="str">
        <f>"0.00"</f>
        <v>0.00</v>
      </c>
      <c r="I139" t="str">
        <f>"120"</f>
        <v>120</v>
      </c>
      <c r="J139" t="str">
        <f>"证券卖出(安硕信息)"</f>
        <v>证券卖出(安硕信息)</v>
      </c>
      <c r="K139" t="str">
        <f>"7.97"</f>
        <v>7.97</v>
      </c>
      <c r="L139" t="str">
        <f>"7.97"</f>
        <v>7.97</v>
      </c>
      <c r="M139" t="str">
        <f t="shared" si="56"/>
        <v>0.00</v>
      </c>
      <c r="N139" t="str">
        <f t="shared" si="56"/>
        <v>0.00</v>
      </c>
      <c r="O139" t="str">
        <f>"300380"</f>
        <v>300380</v>
      </c>
      <c r="P139" t="str">
        <f>"0153613480"</f>
        <v>0153613480</v>
      </c>
    </row>
    <row r="140" spans="1:16" x14ac:dyDescent="0.25">
      <c r="A140" t="str">
        <f t="shared" si="51"/>
        <v>人民币</v>
      </c>
      <c r="B140" t="str">
        <f>"安硕信息"</f>
        <v>安硕信息</v>
      </c>
      <c r="C140" t="str">
        <f t="shared" si="55"/>
        <v>20190404</v>
      </c>
      <c r="D140" t="str">
        <f>"27.010"</f>
        <v>27.010</v>
      </c>
      <c r="E140" t="str">
        <f>"-500.00"</f>
        <v>-500.00</v>
      </c>
      <c r="F140" t="str">
        <f>"13477.98"</f>
        <v>13477.98</v>
      </c>
      <c r="G140" t="str">
        <f>"12716.07"</f>
        <v>12716.07</v>
      </c>
      <c r="H140" t="str">
        <f>"300.00"</f>
        <v>300.00</v>
      </c>
      <c r="I140" t="str">
        <f>"88"</f>
        <v>88</v>
      </c>
      <c r="J140" t="str">
        <f>"证券卖出(安硕信息)"</f>
        <v>证券卖出(安硕信息)</v>
      </c>
      <c r="K140" t="str">
        <f>"13.51"</f>
        <v>13.51</v>
      </c>
      <c r="L140" t="str">
        <f>"13.51"</f>
        <v>13.51</v>
      </c>
      <c r="M140" t="str">
        <f t="shared" si="56"/>
        <v>0.00</v>
      </c>
      <c r="N140" t="str">
        <f t="shared" si="56"/>
        <v>0.00</v>
      </c>
      <c r="O140" t="str">
        <f>"300380"</f>
        <v>300380</v>
      </c>
      <c r="P140" t="str">
        <f>"0153613480"</f>
        <v>0153613480</v>
      </c>
    </row>
    <row r="141" spans="1:16" x14ac:dyDescent="0.25">
      <c r="A141" t="str">
        <f t="shared" si="51"/>
        <v>人民币</v>
      </c>
      <c r="B141" t="str">
        <f>"蓝思科技"</f>
        <v>蓝思科技</v>
      </c>
      <c r="C141" t="str">
        <f t="shared" si="55"/>
        <v>20190404</v>
      </c>
      <c r="D141" t="str">
        <f>"9.330"</f>
        <v>9.330</v>
      </c>
      <c r="E141" t="str">
        <f>"-2300.00"</f>
        <v>-2300.00</v>
      </c>
      <c r="F141" t="str">
        <f>"21416.08"</f>
        <v>21416.08</v>
      </c>
      <c r="G141" t="str">
        <f>"-761.91"</f>
        <v>-761.91</v>
      </c>
      <c r="H141" t="str">
        <f>"0.00"</f>
        <v>0.00</v>
      </c>
      <c r="I141" t="str">
        <f>"91"</f>
        <v>91</v>
      </c>
      <c r="J141" t="str">
        <f>"证券卖出(蓝思科技)"</f>
        <v>证券卖出(蓝思科技)</v>
      </c>
      <c r="K141" t="str">
        <f>"21.46"</f>
        <v>21.46</v>
      </c>
      <c r="L141" t="str">
        <f>"21.46"</f>
        <v>21.46</v>
      </c>
      <c r="M141" t="str">
        <f t="shared" si="56"/>
        <v>0.00</v>
      </c>
      <c r="N141" t="str">
        <f t="shared" si="56"/>
        <v>0.00</v>
      </c>
      <c r="O141" t="str">
        <f>"300433"</f>
        <v>300433</v>
      </c>
      <c r="P141" t="str">
        <f>"0153613480"</f>
        <v>0153613480</v>
      </c>
    </row>
    <row r="142" spans="1:16" x14ac:dyDescent="0.25">
      <c r="A142" t="str">
        <f t="shared" si="51"/>
        <v>人民币</v>
      </c>
      <c r="B142" t="str">
        <f>"航发科技"</f>
        <v>航发科技</v>
      </c>
      <c r="C142" t="str">
        <f t="shared" si="55"/>
        <v>20190404</v>
      </c>
      <c r="D142" t="str">
        <f>"18.250"</f>
        <v>18.250</v>
      </c>
      <c r="E142" t="str">
        <f>"300.00"</f>
        <v>300.00</v>
      </c>
      <c r="F142" t="str">
        <f>"-5480.59"</f>
        <v>-5480.59</v>
      </c>
      <c r="G142" t="str">
        <f>"-22177.99"</f>
        <v>-22177.99</v>
      </c>
      <c r="H142" t="str">
        <f>"1300.00"</f>
        <v>1300.00</v>
      </c>
      <c r="I142" t="str">
        <f>"127"</f>
        <v>127</v>
      </c>
      <c r="J142" t="str">
        <f>"证券买入(航发科技)"</f>
        <v>证券买入(航发科技)</v>
      </c>
      <c r="K142" t="str">
        <f>"5.48"</f>
        <v>5.48</v>
      </c>
      <c r="L142" t="str">
        <f>"0.00"</f>
        <v>0.00</v>
      </c>
      <c r="M142" t="str">
        <f>"0.11"</f>
        <v>0.11</v>
      </c>
      <c r="N142" t="str">
        <f>"0.00"</f>
        <v>0.00</v>
      </c>
      <c r="O142" t="str">
        <f>"600391"</f>
        <v>600391</v>
      </c>
      <c r="P142" t="str">
        <f>"A400948245"</f>
        <v>A400948245</v>
      </c>
    </row>
    <row r="143" spans="1:16" x14ac:dyDescent="0.25">
      <c r="A143" t="str">
        <f t="shared" si="51"/>
        <v>人民币</v>
      </c>
      <c r="B143" t="str">
        <f>"航发科技"</f>
        <v>航发科技</v>
      </c>
      <c r="C143" t="str">
        <f t="shared" si="55"/>
        <v>20190404</v>
      </c>
      <c r="D143" t="str">
        <f>"18.180"</f>
        <v>18.180</v>
      </c>
      <c r="E143" t="str">
        <f>"500.00"</f>
        <v>500.00</v>
      </c>
      <c r="F143" t="str">
        <f>"-9099.27"</f>
        <v>-9099.27</v>
      </c>
      <c r="G143" t="str">
        <f>"-16697.40"</f>
        <v>-16697.40</v>
      </c>
      <c r="H143" t="str">
        <f>"1000.00"</f>
        <v>1000.00</v>
      </c>
      <c r="I143" t="str">
        <f>"114"</f>
        <v>114</v>
      </c>
      <c r="J143" t="str">
        <f>"证券买入(航发科技)"</f>
        <v>证券买入(航发科技)</v>
      </c>
      <c r="K143" t="str">
        <f>"9.09"</f>
        <v>9.09</v>
      </c>
      <c r="L143" t="str">
        <f>"0.00"</f>
        <v>0.00</v>
      </c>
      <c r="M143" t="str">
        <f>"0.18"</f>
        <v>0.18</v>
      </c>
      <c r="N143" t="str">
        <f>"0.00"</f>
        <v>0.00</v>
      </c>
      <c r="O143" t="str">
        <f>"600391"</f>
        <v>600391</v>
      </c>
      <c r="P143" t="str">
        <f>"A400948245"</f>
        <v>A400948245</v>
      </c>
    </row>
    <row r="144" spans="1:16" x14ac:dyDescent="0.25">
      <c r="A144" t="str">
        <f t="shared" si="51"/>
        <v>人民币</v>
      </c>
      <c r="B144" t="str">
        <f>"航发科技"</f>
        <v>航发科技</v>
      </c>
      <c r="C144" t="str">
        <f t="shared" si="55"/>
        <v>20190404</v>
      </c>
      <c r="D144" t="str">
        <f>"18.300"</f>
        <v>18.300</v>
      </c>
      <c r="E144" t="str">
        <f>"300.00"</f>
        <v>300.00</v>
      </c>
      <c r="F144" t="str">
        <f>"-5495.59"</f>
        <v>-5495.59</v>
      </c>
      <c r="G144" t="str">
        <f>"-7598.13"</f>
        <v>-7598.13</v>
      </c>
      <c r="H144" t="str">
        <f>"500.00"</f>
        <v>500.00</v>
      </c>
      <c r="I144" t="str">
        <f>"103"</f>
        <v>103</v>
      </c>
      <c r="J144" t="str">
        <f>"证券买入(航发科技)"</f>
        <v>证券买入(航发科技)</v>
      </c>
      <c r="K144" t="str">
        <f>"5.49"</f>
        <v>5.49</v>
      </c>
      <c r="L144" t="str">
        <f>"0.00"</f>
        <v>0.00</v>
      </c>
      <c r="M144" t="str">
        <f>"0.10"</f>
        <v>0.10</v>
      </c>
      <c r="N144" t="str">
        <f>"0.00"</f>
        <v>0.00</v>
      </c>
      <c r="O144" t="str">
        <f>"600391"</f>
        <v>600391</v>
      </c>
      <c r="P144" t="str">
        <f>"A400948245"</f>
        <v>A400948245</v>
      </c>
    </row>
    <row r="145" spans="1:16" x14ac:dyDescent="0.25">
      <c r="A145" t="str">
        <f t="shared" si="51"/>
        <v>人民币</v>
      </c>
      <c r="B145" t="str">
        <f>"航发科技"</f>
        <v>航发科技</v>
      </c>
      <c r="C145" t="str">
        <f t="shared" si="55"/>
        <v>20190404</v>
      </c>
      <c r="D145" t="str">
        <f>"18.390"</f>
        <v>18.390</v>
      </c>
      <c r="E145" t="str">
        <f>"200.00"</f>
        <v>200.00</v>
      </c>
      <c r="F145" t="str">
        <f>"-3683.07"</f>
        <v>-3683.07</v>
      </c>
      <c r="G145" t="str">
        <f>"-2102.54"</f>
        <v>-2102.54</v>
      </c>
      <c r="H145" t="str">
        <f>"200.00"</f>
        <v>200.00</v>
      </c>
      <c r="I145" t="str">
        <f>"100"</f>
        <v>100</v>
      </c>
      <c r="J145" t="str">
        <f>"证券买入(航发科技)"</f>
        <v>证券买入(航发科技)</v>
      </c>
      <c r="K145" t="str">
        <f>"5.00"</f>
        <v>5.00</v>
      </c>
      <c r="L145" t="str">
        <f>"0.00"</f>
        <v>0.00</v>
      </c>
      <c r="M145" t="str">
        <f>"0.07"</f>
        <v>0.07</v>
      </c>
      <c r="N145" t="str">
        <f>"0.00"</f>
        <v>0.00</v>
      </c>
      <c r="O145" t="str">
        <f>"600391"</f>
        <v>600391</v>
      </c>
      <c r="P145" t="str">
        <f>"A400948245"</f>
        <v>A400948245</v>
      </c>
    </row>
    <row r="146" spans="1:16" x14ac:dyDescent="0.25">
      <c r="A146" t="str">
        <f t="shared" si="51"/>
        <v>人民币</v>
      </c>
      <c r="B146" t="str">
        <f>""</f>
        <v/>
      </c>
      <c r="C146" t="str">
        <f t="shared" si="55"/>
        <v>20190404</v>
      </c>
      <c r="D146" t="str">
        <f>"---"</f>
        <v>---</v>
      </c>
      <c r="E146" t="str">
        <f>"---"</f>
        <v>---</v>
      </c>
      <c r="F146" t="str">
        <f>"-20000.00"</f>
        <v>-20000.00</v>
      </c>
      <c r="G146" t="str">
        <f>"1580.53"</f>
        <v>1580.53</v>
      </c>
      <c r="H146" t="str">
        <f>"---"</f>
        <v>---</v>
      </c>
      <c r="I146" t="str">
        <f>"---"</f>
        <v>---</v>
      </c>
      <c r="J146" t="str">
        <f>"银行转取"</f>
        <v>银行转取</v>
      </c>
      <c r="K146" t="str">
        <f t="shared" ref="K146:P146" si="57">"---"</f>
        <v>---</v>
      </c>
      <c r="L146" t="str">
        <f t="shared" si="57"/>
        <v>---</v>
      </c>
      <c r="M146" t="str">
        <f t="shared" si="57"/>
        <v>---</v>
      </c>
      <c r="N146" t="str">
        <f t="shared" si="57"/>
        <v>---</v>
      </c>
      <c r="O146" t="str">
        <f t="shared" si="57"/>
        <v>---</v>
      </c>
      <c r="P146" t="str">
        <f t="shared" si="57"/>
        <v>---</v>
      </c>
    </row>
    <row r="147" spans="1:16" x14ac:dyDescent="0.25">
      <c r="A147" t="str">
        <f t="shared" si="51"/>
        <v>人民币</v>
      </c>
      <c r="B147" t="str">
        <f>"航发科技"</f>
        <v>航发科技</v>
      </c>
      <c r="C147" t="str">
        <f t="shared" ref="C147:C152" si="58">"20190408"</f>
        <v>20190408</v>
      </c>
      <c r="D147" t="str">
        <f>"17.740"</f>
        <v>17.740</v>
      </c>
      <c r="E147" t="str">
        <f>"300.00"</f>
        <v>300.00</v>
      </c>
      <c r="F147" t="str">
        <f>"-5327.43"</f>
        <v>-5327.43</v>
      </c>
      <c r="G147" t="str">
        <f>"8952.57"</f>
        <v>8952.57</v>
      </c>
      <c r="H147" t="str">
        <f>"1600.00"</f>
        <v>1600.00</v>
      </c>
      <c r="I147" t="str">
        <f>"159"</f>
        <v>159</v>
      </c>
      <c r="J147" t="str">
        <f>"证券买入(航发科技)"</f>
        <v>证券买入(航发科技)</v>
      </c>
      <c r="K147" t="str">
        <f>"5.32"</f>
        <v>5.32</v>
      </c>
      <c r="L147" t="str">
        <f>"0.00"</f>
        <v>0.00</v>
      </c>
      <c r="M147" t="str">
        <f>"0.11"</f>
        <v>0.11</v>
      </c>
      <c r="N147" t="str">
        <f t="shared" ref="N147:N160" si="59">"0.00"</f>
        <v>0.00</v>
      </c>
      <c r="O147" t="str">
        <f>"600391"</f>
        <v>600391</v>
      </c>
      <c r="P147" t="str">
        <f t="shared" ref="P147:P152" si="60">"A400948245"</f>
        <v>A400948245</v>
      </c>
    </row>
    <row r="148" spans="1:16" x14ac:dyDescent="0.25">
      <c r="A148" t="str">
        <f t="shared" si="51"/>
        <v>人民币</v>
      </c>
      <c r="B148" t="str">
        <f>"七一二"</f>
        <v>七一二</v>
      </c>
      <c r="C148" t="str">
        <f t="shared" si="58"/>
        <v>20190408</v>
      </c>
      <c r="D148" t="str">
        <f>"22.440"</f>
        <v>22.440</v>
      </c>
      <c r="E148" t="str">
        <f>"300.00"</f>
        <v>300.00</v>
      </c>
      <c r="F148" t="str">
        <f>"-6738.86"</f>
        <v>-6738.86</v>
      </c>
      <c r="G148" t="str">
        <f>"14280.00"</f>
        <v>14280.00</v>
      </c>
      <c r="H148" t="str">
        <f>"2000.00"</f>
        <v>2000.00</v>
      </c>
      <c r="I148" t="str">
        <f>"155"</f>
        <v>155</v>
      </c>
      <c r="J148" t="str">
        <f>"证券买入(七一二)"</f>
        <v>证券买入(七一二)</v>
      </c>
      <c r="K148" t="str">
        <f>"6.73"</f>
        <v>6.73</v>
      </c>
      <c r="L148" t="str">
        <f>"0.00"</f>
        <v>0.00</v>
      </c>
      <c r="M148" t="str">
        <f>"0.13"</f>
        <v>0.13</v>
      </c>
      <c r="N148" t="str">
        <f t="shared" si="59"/>
        <v>0.00</v>
      </c>
      <c r="O148" t="str">
        <f>"603712"</f>
        <v>603712</v>
      </c>
      <c r="P148" t="str">
        <f t="shared" si="60"/>
        <v>A400948245</v>
      </c>
    </row>
    <row r="149" spans="1:16" x14ac:dyDescent="0.25">
      <c r="A149" t="str">
        <f t="shared" si="51"/>
        <v>人民币</v>
      </c>
      <c r="B149" t="str">
        <f>"七一二"</f>
        <v>七一二</v>
      </c>
      <c r="C149" t="str">
        <f t="shared" si="58"/>
        <v>20190408</v>
      </c>
      <c r="D149" t="str">
        <f>"22.600"</f>
        <v>22.600</v>
      </c>
      <c r="E149" t="str">
        <f>"300.00"</f>
        <v>300.00</v>
      </c>
      <c r="F149" t="str">
        <f>"-6786.92"</f>
        <v>-6786.92</v>
      </c>
      <c r="G149" t="str">
        <f>"21018.86"</f>
        <v>21018.86</v>
      </c>
      <c r="H149" t="str">
        <f>"1700.00"</f>
        <v>1700.00</v>
      </c>
      <c r="I149" t="str">
        <f>"152"</f>
        <v>152</v>
      </c>
      <c r="J149" t="str">
        <f>"证券买入(七一二)"</f>
        <v>证券买入(七一二)</v>
      </c>
      <c r="K149" t="str">
        <f>"6.78"</f>
        <v>6.78</v>
      </c>
      <c r="L149" t="str">
        <f>"0.00"</f>
        <v>0.00</v>
      </c>
      <c r="M149" t="str">
        <f>"0.14"</f>
        <v>0.14</v>
      </c>
      <c r="N149" t="str">
        <f t="shared" si="59"/>
        <v>0.00</v>
      </c>
      <c r="O149" t="str">
        <f>"603712"</f>
        <v>603712</v>
      </c>
      <c r="P149" t="str">
        <f t="shared" si="60"/>
        <v>A400948245</v>
      </c>
    </row>
    <row r="150" spans="1:16" x14ac:dyDescent="0.25">
      <c r="A150" t="str">
        <f t="shared" si="51"/>
        <v>人民币</v>
      </c>
      <c r="B150" t="str">
        <f>"七一二"</f>
        <v>七一二</v>
      </c>
      <c r="C150" t="str">
        <f t="shared" si="58"/>
        <v>20190408</v>
      </c>
      <c r="D150" t="str">
        <f>"22.870"</f>
        <v>22.870</v>
      </c>
      <c r="E150" t="str">
        <f>"-300.00"</f>
        <v>-300.00</v>
      </c>
      <c r="F150" t="str">
        <f>"6847.14"</f>
        <v>6847.14</v>
      </c>
      <c r="G150" t="str">
        <f>"27805.78"</f>
        <v>27805.78</v>
      </c>
      <c r="H150" t="str">
        <f>"1400.00"</f>
        <v>1400.00</v>
      </c>
      <c r="I150" t="str">
        <f>"149"</f>
        <v>149</v>
      </c>
      <c r="J150" t="str">
        <f>"证券卖出(七一二)"</f>
        <v>证券卖出(七一二)</v>
      </c>
      <c r="K150" t="str">
        <f>"6.86"</f>
        <v>6.86</v>
      </c>
      <c r="L150" t="str">
        <f>"6.86"</f>
        <v>6.86</v>
      </c>
      <c r="M150" t="str">
        <f>"0.14"</f>
        <v>0.14</v>
      </c>
      <c r="N150" t="str">
        <f t="shared" si="59"/>
        <v>0.00</v>
      </c>
      <c r="O150" t="str">
        <f>"603712"</f>
        <v>603712</v>
      </c>
      <c r="P150" t="str">
        <f t="shared" si="60"/>
        <v>A400948245</v>
      </c>
    </row>
    <row r="151" spans="1:16" x14ac:dyDescent="0.25">
      <c r="A151" t="str">
        <f t="shared" si="51"/>
        <v>人民币</v>
      </c>
      <c r="B151" t="str">
        <f>"七一二"</f>
        <v>七一二</v>
      </c>
      <c r="C151" t="str">
        <f t="shared" si="58"/>
        <v>20190408</v>
      </c>
      <c r="D151" t="str">
        <f>"21.580"</f>
        <v>21.580</v>
      </c>
      <c r="E151" t="str">
        <f>"300.00"</f>
        <v>300.00</v>
      </c>
      <c r="F151" t="str">
        <f>"-6480.60"</f>
        <v>-6480.60</v>
      </c>
      <c r="G151" t="str">
        <f>"20958.64"</f>
        <v>20958.64</v>
      </c>
      <c r="H151" t="str">
        <f>"1700.00"</f>
        <v>1700.00</v>
      </c>
      <c r="I151" t="str">
        <f>"146"</f>
        <v>146</v>
      </c>
      <c r="J151" t="str">
        <f>"证券买入(七一二)"</f>
        <v>证券买入(七一二)</v>
      </c>
      <c r="K151" t="str">
        <f>"6.47"</f>
        <v>6.47</v>
      </c>
      <c r="L151" t="str">
        <f t="shared" ref="L151:L156" si="61">"0.00"</f>
        <v>0.00</v>
      </c>
      <c r="M151" t="str">
        <f>"0.13"</f>
        <v>0.13</v>
      </c>
      <c r="N151" t="str">
        <f t="shared" si="59"/>
        <v>0.00</v>
      </c>
      <c r="O151" t="str">
        <f>"603712"</f>
        <v>603712</v>
      </c>
      <c r="P151" t="str">
        <f t="shared" si="60"/>
        <v>A400948245</v>
      </c>
    </row>
    <row r="152" spans="1:16" x14ac:dyDescent="0.25">
      <c r="A152" t="str">
        <f t="shared" si="51"/>
        <v>人民币</v>
      </c>
      <c r="B152" t="str">
        <f>"上海家化"</f>
        <v>上海家化</v>
      </c>
      <c r="C152" t="str">
        <f t="shared" si="58"/>
        <v>20190408</v>
      </c>
      <c r="D152" t="str">
        <f>"31.910"</f>
        <v>31.910</v>
      </c>
      <c r="E152" t="str">
        <f>"200.00"</f>
        <v>200.00</v>
      </c>
      <c r="F152" t="str">
        <f>"-6388.51"</f>
        <v>-6388.51</v>
      </c>
      <c r="G152" t="str">
        <f>"27439.24"</f>
        <v>27439.24</v>
      </c>
      <c r="H152" t="str">
        <f>"200.00"</f>
        <v>200.00</v>
      </c>
      <c r="I152" t="str">
        <f>"143"</f>
        <v>143</v>
      </c>
      <c r="J152" t="str">
        <f>"证券买入(上海家化)"</f>
        <v>证券买入(上海家化)</v>
      </c>
      <c r="K152" t="str">
        <f>"6.38"</f>
        <v>6.38</v>
      </c>
      <c r="L152" t="str">
        <f t="shared" si="61"/>
        <v>0.00</v>
      </c>
      <c r="M152" t="str">
        <f>"0.13"</f>
        <v>0.13</v>
      </c>
      <c r="N152" t="str">
        <f t="shared" si="59"/>
        <v>0.00</v>
      </c>
      <c r="O152" t="str">
        <f>"600315"</f>
        <v>600315</v>
      </c>
      <c r="P152" t="str">
        <f t="shared" si="60"/>
        <v>A400948245</v>
      </c>
    </row>
    <row r="153" spans="1:16" x14ac:dyDescent="0.25">
      <c r="A153" t="str">
        <f t="shared" si="51"/>
        <v>人民币</v>
      </c>
      <c r="B153" t="str">
        <f>"上海新阳"</f>
        <v>上海新阳</v>
      </c>
      <c r="C153" t="str">
        <f t="shared" ref="C153:C161" si="62">"20190409"</f>
        <v>20190409</v>
      </c>
      <c r="D153" t="str">
        <f>"40.870"</f>
        <v>40.870</v>
      </c>
      <c r="E153" t="str">
        <f>"100.00"</f>
        <v>100.00</v>
      </c>
      <c r="F153" t="str">
        <f>"-4092.00"</f>
        <v>-4092.00</v>
      </c>
      <c r="G153" t="str">
        <f>"2069.97"</f>
        <v>2069.97</v>
      </c>
      <c r="H153" t="str">
        <f>"400.00"</f>
        <v>400.00</v>
      </c>
      <c r="I153" t="str">
        <f>"201"</f>
        <v>201</v>
      </c>
      <c r="J153" t="str">
        <f>"证券买入(上海新阳)"</f>
        <v>证券买入(上海新阳)</v>
      </c>
      <c r="K153" t="str">
        <f>"5.00"</f>
        <v>5.00</v>
      </c>
      <c r="L153" t="str">
        <f t="shared" si="61"/>
        <v>0.00</v>
      </c>
      <c r="M153" t="str">
        <f>"0.00"</f>
        <v>0.00</v>
      </c>
      <c r="N153" t="str">
        <f t="shared" si="59"/>
        <v>0.00</v>
      </c>
      <c r="O153" t="str">
        <f>"300236"</f>
        <v>300236</v>
      </c>
      <c r="P153" t="str">
        <f>"0153613480"</f>
        <v>0153613480</v>
      </c>
    </row>
    <row r="154" spans="1:16" x14ac:dyDescent="0.25">
      <c r="A154" t="str">
        <f t="shared" si="51"/>
        <v>人民币</v>
      </c>
      <c r="B154" t="str">
        <f>"上海新阳"</f>
        <v>上海新阳</v>
      </c>
      <c r="C154" t="str">
        <f t="shared" si="62"/>
        <v>20190409</v>
      </c>
      <c r="D154" t="str">
        <f>"40.960"</f>
        <v>40.960</v>
      </c>
      <c r="E154" t="str">
        <f>"100.00"</f>
        <v>100.00</v>
      </c>
      <c r="F154" t="str">
        <f>"-4101.00"</f>
        <v>-4101.00</v>
      </c>
      <c r="G154" t="str">
        <f>"6161.97"</f>
        <v>6161.97</v>
      </c>
      <c r="H154" t="str">
        <f>"300.00"</f>
        <v>300.00</v>
      </c>
      <c r="I154" t="str">
        <f>"198"</f>
        <v>198</v>
      </c>
      <c r="J154" t="str">
        <f>"证券买入(上海新阳)"</f>
        <v>证券买入(上海新阳)</v>
      </c>
      <c r="K154" t="str">
        <f>"5.00"</f>
        <v>5.00</v>
      </c>
      <c r="L154" t="str">
        <f t="shared" si="61"/>
        <v>0.00</v>
      </c>
      <c r="M154" t="str">
        <f>"0.00"</f>
        <v>0.00</v>
      </c>
      <c r="N154" t="str">
        <f t="shared" si="59"/>
        <v>0.00</v>
      </c>
      <c r="O154" t="str">
        <f>"300236"</f>
        <v>300236</v>
      </c>
      <c r="P154" t="str">
        <f>"0153613480"</f>
        <v>0153613480</v>
      </c>
    </row>
    <row r="155" spans="1:16" x14ac:dyDescent="0.25">
      <c r="A155" t="str">
        <f t="shared" si="51"/>
        <v>人民币</v>
      </c>
      <c r="B155" t="str">
        <f>"上海新阳"</f>
        <v>上海新阳</v>
      </c>
      <c r="C155" t="str">
        <f t="shared" si="62"/>
        <v>20190409</v>
      </c>
      <c r="D155" t="str">
        <f>"41.180"</f>
        <v>41.180</v>
      </c>
      <c r="E155" t="str">
        <f>"100.00"</f>
        <v>100.00</v>
      </c>
      <c r="F155" t="str">
        <f>"-4123.00"</f>
        <v>-4123.00</v>
      </c>
      <c r="G155" t="str">
        <f>"10262.97"</f>
        <v>10262.97</v>
      </c>
      <c r="H155" t="str">
        <f>"200.00"</f>
        <v>200.00</v>
      </c>
      <c r="I155" t="str">
        <f>"195"</f>
        <v>195</v>
      </c>
      <c r="J155" t="str">
        <f>"证券买入(上海新阳)"</f>
        <v>证券买入(上海新阳)</v>
      </c>
      <c r="K155" t="str">
        <f>"5.00"</f>
        <v>5.00</v>
      </c>
      <c r="L155" t="str">
        <f t="shared" si="61"/>
        <v>0.00</v>
      </c>
      <c r="M155" t="str">
        <f>"0.00"</f>
        <v>0.00</v>
      </c>
      <c r="N155" t="str">
        <f t="shared" si="59"/>
        <v>0.00</v>
      </c>
      <c r="O155" t="str">
        <f>"300236"</f>
        <v>300236</v>
      </c>
      <c r="P155" t="str">
        <f>"0153613480"</f>
        <v>0153613480</v>
      </c>
    </row>
    <row r="156" spans="1:16" x14ac:dyDescent="0.25">
      <c r="A156" t="str">
        <f t="shared" si="51"/>
        <v>人民币</v>
      </c>
      <c r="B156" t="str">
        <f>"上海新阳"</f>
        <v>上海新阳</v>
      </c>
      <c r="C156" t="str">
        <f t="shared" si="62"/>
        <v>20190409</v>
      </c>
      <c r="D156" t="str">
        <f>"41.000"</f>
        <v>41.000</v>
      </c>
      <c r="E156" t="str">
        <f>"100.00"</f>
        <v>100.00</v>
      </c>
      <c r="F156" t="str">
        <f>"-4105.00"</f>
        <v>-4105.00</v>
      </c>
      <c r="G156" t="str">
        <f>"14385.97"</f>
        <v>14385.97</v>
      </c>
      <c r="H156" t="str">
        <f>"100.00"</f>
        <v>100.00</v>
      </c>
      <c r="I156" t="str">
        <f>"180"</f>
        <v>180</v>
      </c>
      <c r="J156" t="str">
        <f>"证券买入(上海新阳)"</f>
        <v>证券买入(上海新阳)</v>
      </c>
      <c r="K156" t="str">
        <f>"5.00"</f>
        <v>5.00</v>
      </c>
      <c r="L156" t="str">
        <f t="shared" si="61"/>
        <v>0.00</v>
      </c>
      <c r="M156" t="str">
        <f>"0.00"</f>
        <v>0.00</v>
      </c>
      <c r="N156" t="str">
        <f t="shared" si="59"/>
        <v>0.00</v>
      </c>
      <c r="O156" t="str">
        <f>"300236"</f>
        <v>300236</v>
      </c>
      <c r="P156" t="str">
        <f>"0153613480"</f>
        <v>0153613480</v>
      </c>
    </row>
    <row r="157" spans="1:16" x14ac:dyDescent="0.25">
      <c r="A157" t="str">
        <f t="shared" si="51"/>
        <v>人民币</v>
      </c>
      <c r="B157" t="str">
        <f>"上海家化"</f>
        <v>上海家化</v>
      </c>
      <c r="C157" t="str">
        <f t="shared" si="62"/>
        <v>20190409</v>
      </c>
      <c r="D157" t="str">
        <f>"30.590"</f>
        <v>30.590</v>
      </c>
      <c r="E157" t="str">
        <f>"-200.00"</f>
        <v>-200.00</v>
      </c>
      <c r="F157" t="str">
        <f>"6105.64"</f>
        <v>6105.64</v>
      </c>
      <c r="G157" t="str">
        <f>"18490.97"</f>
        <v>18490.97</v>
      </c>
      <c r="H157" t="str">
        <f>"0.00"</f>
        <v>0.00</v>
      </c>
      <c r="I157" t="str">
        <f>"183"</f>
        <v>183</v>
      </c>
      <c r="J157" t="str">
        <f>"证券卖出(上海家化)"</f>
        <v>证券卖出(上海家化)</v>
      </c>
      <c r="K157" t="str">
        <f>"6.12"</f>
        <v>6.12</v>
      </c>
      <c r="L157" t="str">
        <f>"6.12"</f>
        <v>6.12</v>
      </c>
      <c r="M157" t="str">
        <f>"0.12"</f>
        <v>0.12</v>
      </c>
      <c r="N157" t="str">
        <f t="shared" si="59"/>
        <v>0.00</v>
      </c>
      <c r="O157" t="str">
        <f>"600315"</f>
        <v>600315</v>
      </c>
      <c r="P157" t="str">
        <f>"A400948245"</f>
        <v>A400948245</v>
      </c>
    </row>
    <row r="158" spans="1:16" x14ac:dyDescent="0.25">
      <c r="A158" t="str">
        <f t="shared" si="51"/>
        <v>人民币</v>
      </c>
      <c r="B158" t="str">
        <f>"七一二"</f>
        <v>七一二</v>
      </c>
      <c r="C158" t="str">
        <f t="shared" si="62"/>
        <v>20190409</v>
      </c>
      <c r="D158" t="str">
        <f>"23.490"</f>
        <v>23.490</v>
      </c>
      <c r="E158" t="str">
        <f>"-400.00"</f>
        <v>-400.00</v>
      </c>
      <c r="F158" t="str">
        <f>"9377.01"</f>
        <v>9377.01</v>
      </c>
      <c r="G158" t="str">
        <f>"12385.33"</f>
        <v>12385.33</v>
      </c>
      <c r="H158" t="str">
        <f>"2000.00"</f>
        <v>2000.00</v>
      </c>
      <c r="I158" t="str">
        <f>"177"</f>
        <v>177</v>
      </c>
      <c r="J158" t="str">
        <f>"证券卖出(七一二)"</f>
        <v>证券卖出(七一二)</v>
      </c>
      <c r="K158" t="str">
        <f>"9.40"</f>
        <v>9.40</v>
      </c>
      <c r="L158" t="str">
        <f>"9.40"</f>
        <v>9.40</v>
      </c>
      <c r="M158" t="str">
        <f>"0.19"</f>
        <v>0.19</v>
      </c>
      <c r="N158" t="str">
        <f t="shared" si="59"/>
        <v>0.00</v>
      </c>
      <c r="O158" t="str">
        <f>"603712"</f>
        <v>603712</v>
      </c>
      <c r="P158" t="str">
        <f>"A400948245"</f>
        <v>A400948245</v>
      </c>
    </row>
    <row r="159" spans="1:16" x14ac:dyDescent="0.25">
      <c r="A159" t="str">
        <f t="shared" si="51"/>
        <v>人民币</v>
      </c>
      <c r="B159" t="str">
        <f>"航发科技"</f>
        <v>航发科技</v>
      </c>
      <c r="C159" t="str">
        <f t="shared" si="62"/>
        <v>20190409</v>
      </c>
      <c r="D159" t="str">
        <f>"17.600"</f>
        <v>17.600</v>
      </c>
      <c r="E159" t="str">
        <f>"400.00"</f>
        <v>400.00</v>
      </c>
      <c r="F159" t="str">
        <f>"-7047.18"</f>
        <v>-7047.18</v>
      </c>
      <c r="G159" t="str">
        <f>"3008.32"</f>
        <v>3008.32</v>
      </c>
      <c r="H159" t="str">
        <f>"2000.00"</f>
        <v>2000.00</v>
      </c>
      <c r="I159" t="str">
        <f>"173"</f>
        <v>173</v>
      </c>
      <c r="J159" t="str">
        <f>"证券买入(航发科技)"</f>
        <v>证券买入(航发科技)</v>
      </c>
      <c r="K159" t="str">
        <f>"7.04"</f>
        <v>7.04</v>
      </c>
      <c r="L159" t="str">
        <f>"0.00"</f>
        <v>0.00</v>
      </c>
      <c r="M159" t="str">
        <f>"0.14"</f>
        <v>0.14</v>
      </c>
      <c r="N159" t="str">
        <f t="shared" si="59"/>
        <v>0.00</v>
      </c>
      <c r="O159" t="str">
        <f>"600391"</f>
        <v>600391</v>
      </c>
      <c r="P159" t="str">
        <f>"A400948245"</f>
        <v>A400948245</v>
      </c>
    </row>
    <row r="160" spans="1:16" x14ac:dyDescent="0.25">
      <c r="A160" t="str">
        <f t="shared" si="51"/>
        <v>人民币</v>
      </c>
      <c r="B160" t="str">
        <f>"七一二"</f>
        <v>七一二</v>
      </c>
      <c r="C160" t="str">
        <f t="shared" si="62"/>
        <v>20190409</v>
      </c>
      <c r="D160" t="str">
        <f>"22.220"</f>
        <v>22.220</v>
      </c>
      <c r="E160" t="str">
        <f>"400.00"</f>
        <v>400.00</v>
      </c>
      <c r="F160" t="str">
        <f>"-8897.07"</f>
        <v>-8897.07</v>
      </c>
      <c r="G160" t="str">
        <f>"10055.50"</f>
        <v>10055.50</v>
      </c>
      <c r="H160" t="str">
        <f>"2400.00"</f>
        <v>2400.00</v>
      </c>
      <c r="I160" t="str">
        <f>"169"</f>
        <v>169</v>
      </c>
      <c r="J160" t="str">
        <f>"证券买入(七一二)"</f>
        <v>证券买入(七一二)</v>
      </c>
      <c r="K160" t="str">
        <f>"8.89"</f>
        <v>8.89</v>
      </c>
      <c r="L160" t="str">
        <f>"0.00"</f>
        <v>0.00</v>
      </c>
      <c r="M160" t="str">
        <f>"0.18"</f>
        <v>0.18</v>
      </c>
      <c r="N160" t="str">
        <f t="shared" si="59"/>
        <v>0.00</v>
      </c>
      <c r="O160" t="str">
        <f>"603712"</f>
        <v>603712</v>
      </c>
      <c r="P160" t="str">
        <f>"A400948245"</f>
        <v>A400948245</v>
      </c>
    </row>
    <row r="161" spans="1:16" x14ac:dyDescent="0.25">
      <c r="A161" t="str">
        <f t="shared" si="51"/>
        <v>人民币</v>
      </c>
      <c r="B161" t="str">
        <f>""</f>
        <v/>
      </c>
      <c r="C161" t="str">
        <f t="shared" si="62"/>
        <v>20190409</v>
      </c>
      <c r="D161" t="str">
        <f>"---"</f>
        <v>---</v>
      </c>
      <c r="E161" t="str">
        <f>"---"</f>
        <v>---</v>
      </c>
      <c r="F161" t="str">
        <f>"10000.00"</f>
        <v>10000.00</v>
      </c>
      <c r="G161" t="str">
        <f>"18952.57"</f>
        <v>18952.57</v>
      </c>
      <c r="H161" t="str">
        <f>"---"</f>
        <v>---</v>
      </c>
      <c r="I161" t="str">
        <f>"---"</f>
        <v>---</v>
      </c>
      <c r="J161" t="str">
        <f>"银行转存"</f>
        <v>银行转存</v>
      </c>
      <c r="K161" t="str">
        <f t="shared" ref="K161:P161" si="63">"---"</f>
        <v>---</v>
      </c>
      <c r="L161" t="str">
        <f t="shared" si="63"/>
        <v>---</v>
      </c>
      <c r="M161" t="str">
        <f t="shared" si="63"/>
        <v>---</v>
      </c>
      <c r="N161" t="str">
        <f t="shared" si="63"/>
        <v>---</v>
      </c>
      <c r="O161" t="str">
        <f t="shared" si="63"/>
        <v>---</v>
      </c>
      <c r="P161" t="str">
        <f t="shared" si="63"/>
        <v>---</v>
      </c>
    </row>
    <row r="162" spans="1:16" x14ac:dyDescent="0.25">
      <c r="A162" t="str">
        <f t="shared" si="51"/>
        <v>人民币</v>
      </c>
      <c r="B162" t="str">
        <f>"新媒股份"</f>
        <v>新媒股份</v>
      </c>
      <c r="C162" t="str">
        <f>"20190410"</f>
        <v>20190410</v>
      </c>
      <c r="D162" t="str">
        <f>"0.000"</f>
        <v>0.000</v>
      </c>
      <c r="E162" t="str">
        <f>"9.00"</f>
        <v>9.00</v>
      </c>
      <c r="F162" t="str">
        <f>"0.00"</f>
        <v>0.00</v>
      </c>
      <c r="G162" t="str">
        <f>"1354.05"</f>
        <v>1354.05</v>
      </c>
      <c r="H162" t="str">
        <f>"0.00"</f>
        <v>0.00</v>
      </c>
      <c r="I162" t="str">
        <f>"219"</f>
        <v>219</v>
      </c>
      <c r="J162" t="str">
        <f>"申购配号(新媒股份)"</f>
        <v>申购配号(新媒股份)</v>
      </c>
      <c r="K162" t="str">
        <f>"0.00"</f>
        <v>0.00</v>
      </c>
      <c r="L162" t="str">
        <f>"0.00"</f>
        <v>0.00</v>
      </c>
      <c r="M162" t="str">
        <f>"0.00"</f>
        <v>0.00</v>
      </c>
      <c r="N162" t="str">
        <f>"0.00"</f>
        <v>0.00</v>
      </c>
      <c r="O162" t="str">
        <f>"300770"</f>
        <v>300770</v>
      </c>
      <c r="P162" t="str">
        <f>"0153613480"</f>
        <v>0153613480</v>
      </c>
    </row>
    <row r="163" spans="1:16" x14ac:dyDescent="0.25">
      <c r="A163" t="str">
        <f t="shared" si="51"/>
        <v>人民币</v>
      </c>
      <c r="B163" t="str">
        <f>"七一二"</f>
        <v>七一二</v>
      </c>
      <c r="C163" t="str">
        <f>"20190410"</f>
        <v>20190410</v>
      </c>
      <c r="D163" t="str">
        <f>"21.410"</f>
        <v>21.410</v>
      </c>
      <c r="E163" t="str">
        <f>"500.00"</f>
        <v>500.00</v>
      </c>
      <c r="F163" t="str">
        <f>"-10715.92"</f>
        <v>-10715.92</v>
      </c>
      <c r="G163" t="str">
        <f>"1354.05"</f>
        <v>1354.05</v>
      </c>
      <c r="H163" t="str">
        <f>"2500.00"</f>
        <v>2500.00</v>
      </c>
      <c r="I163" t="str">
        <f>"221"</f>
        <v>221</v>
      </c>
      <c r="J163" t="str">
        <f>"证券买入(七一二)"</f>
        <v>证券买入(七一二)</v>
      </c>
      <c r="K163" t="str">
        <f>"10.71"</f>
        <v>10.71</v>
      </c>
      <c r="L163" t="str">
        <f>"0.00"</f>
        <v>0.00</v>
      </c>
      <c r="M163" t="str">
        <f>"0.21"</f>
        <v>0.21</v>
      </c>
      <c r="N163" t="str">
        <f>"0.00"</f>
        <v>0.00</v>
      </c>
      <c r="O163" t="str">
        <f>"603712"</f>
        <v>603712</v>
      </c>
      <c r="P163" t="str">
        <f>"A400948245"</f>
        <v>A400948245</v>
      </c>
    </row>
    <row r="164" spans="1:16" x14ac:dyDescent="0.25">
      <c r="A164" t="str">
        <f t="shared" si="51"/>
        <v>人民币</v>
      </c>
      <c r="B164" t="str">
        <f>""</f>
        <v/>
      </c>
      <c r="C164" t="str">
        <f>"20190410"</f>
        <v>20190410</v>
      </c>
      <c r="D164" t="str">
        <f>"---"</f>
        <v>---</v>
      </c>
      <c r="E164" t="str">
        <f>"---"</f>
        <v>---</v>
      </c>
      <c r="F164" t="str">
        <f>"10000.00"</f>
        <v>10000.00</v>
      </c>
      <c r="G164" t="str">
        <f>"12069.97"</f>
        <v>12069.97</v>
      </c>
      <c r="H164" t="str">
        <f>"---"</f>
        <v>---</v>
      </c>
      <c r="I164" t="str">
        <f>"---"</f>
        <v>---</v>
      </c>
      <c r="J164" t="str">
        <f>"银行转存"</f>
        <v>银行转存</v>
      </c>
      <c r="K164" t="str">
        <f t="shared" ref="K164:P164" si="64">"---"</f>
        <v>---</v>
      </c>
      <c r="L164" t="str">
        <f t="shared" si="64"/>
        <v>---</v>
      </c>
      <c r="M164" t="str">
        <f t="shared" si="64"/>
        <v>---</v>
      </c>
      <c r="N164" t="str">
        <f t="shared" si="64"/>
        <v>---</v>
      </c>
      <c r="O164" t="str">
        <f t="shared" si="64"/>
        <v>---</v>
      </c>
      <c r="P164" t="str">
        <f t="shared" si="64"/>
        <v>---</v>
      </c>
    </row>
    <row r="165" spans="1:16" x14ac:dyDescent="0.25">
      <c r="A165" t="str">
        <f t="shared" si="51"/>
        <v>人民币</v>
      </c>
      <c r="B165" t="str">
        <f>"上海新阳"</f>
        <v>上海新阳</v>
      </c>
      <c r="C165" t="str">
        <f>"20190411"</f>
        <v>20190411</v>
      </c>
      <c r="D165" t="str">
        <f>"37.800"</f>
        <v>37.800</v>
      </c>
      <c r="E165" t="str">
        <f>"100.00"</f>
        <v>100.00</v>
      </c>
      <c r="F165" t="str">
        <f>"-3785.00"</f>
        <v>-3785.00</v>
      </c>
      <c r="G165" t="str">
        <f>"605.95"</f>
        <v>605.95</v>
      </c>
      <c r="H165" t="str">
        <f>"500.00"</f>
        <v>500.00</v>
      </c>
      <c r="I165" t="str">
        <f>"229"</f>
        <v>229</v>
      </c>
      <c r="J165" t="str">
        <f>"证券买入(上海新阳)"</f>
        <v>证券买入(上海新阳)</v>
      </c>
      <c r="K165" t="str">
        <f>"5.00"</f>
        <v>5.00</v>
      </c>
      <c r="L165" t="str">
        <f>"0.00"</f>
        <v>0.00</v>
      </c>
      <c r="M165" t="str">
        <f>"0.00"</f>
        <v>0.00</v>
      </c>
      <c r="N165" t="str">
        <f>"0.00"</f>
        <v>0.00</v>
      </c>
      <c r="O165" t="str">
        <f>"300236"</f>
        <v>300236</v>
      </c>
      <c r="P165" t="str">
        <f>"0153613480"</f>
        <v>0153613480</v>
      </c>
    </row>
    <row r="166" spans="1:16" x14ac:dyDescent="0.25">
      <c r="A166" t="str">
        <f t="shared" si="51"/>
        <v>人民币</v>
      </c>
      <c r="B166" t="str">
        <f>"航发科技"</f>
        <v>航发科技</v>
      </c>
      <c r="C166" t="str">
        <f>"20190411"</f>
        <v>20190411</v>
      </c>
      <c r="D166" t="str">
        <f>"17.390"</f>
        <v>17.390</v>
      </c>
      <c r="E166" t="str">
        <f>"400.00"</f>
        <v>400.00</v>
      </c>
      <c r="F166" t="str">
        <f>"-6963.10"</f>
        <v>-6963.10</v>
      </c>
      <c r="G166" t="str">
        <f>"4390.95"</f>
        <v>4390.95</v>
      </c>
      <c r="H166" t="str">
        <f>"2400.00"</f>
        <v>2400.00</v>
      </c>
      <c r="I166" t="str">
        <f>"235"</f>
        <v>235</v>
      </c>
      <c r="J166" t="str">
        <f>"证券买入(航发科技)"</f>
        <v>证券买入(航发科技)</v>
      </c>
      <c r="K166" t="str">
        <f>"6.96"</f>
        <v>6.96</v>
      </c>
      <c r="L166" t="str">
        <f>"0.00"</f>
        <v>0.00</v>
      </c>
      <c r="M166" t="str">
        <f>"0.14"</f>
        <v>0.14</v>
      </c>
      <c r="N166" t="str">
        <f>"0.00"</f>
        <v>0.00</v>
      </c>
      <c r="O166" t="str">
        <f>"600391"</f>
        <v>600391</v>
      </c>
      <c r="P166" t="str">
        <f>"A400948245"</f>
        <v>A400948245</v>
      </c>
    </row>
    <row r="167" spans="1:16" x14ac:dyDescent="0.25">
      <c r="A167" t="str">
        <f t="shared" si="51"/>
        <v>人民币</v>
      </c>
      <c r="B167" t="str">
        <f>""</f>
        <v/>
      </c>
      <c r="C167" t="str">
        <f>"20190411"</f>
        <v>20190411</v>
      </c>
      <c r="D167" t="str">
        <f>"---"</f>
        <v>---</v>
      </c>
      <c r="E167" t="str">
        <f>"---"</f>
        <v>---</v>
      </c>
      <c r="F167" t="str">
        <f>"10000.00"</f>
        <v>10000.00</v>
      </c>
      <c r="G167" t="str">
        <f>"11354.05"</f>
        <v>11354.05</v>
      </c>
      <c r="H167" t="str">
        <f>"---"</f>
        <v>---</v>
      </c>
      <c r="I167" t="str">
        <f>"---"</f>
        <v>---</v>
      </c>
      <c r="J167" t="str">
        <f>"银行转存"</f>
        <v>银行转存</v>
      </c>
      <c r="K167" t="str">
        <f t="shared" ref="K167:P167" si="65">"---"</f>
        <v>---</v>
      </c>
      <c r="L167" t="str">
        <f t="shared" si="65"/>
        <v>---</v>
      </c>
      <c r="M167" t="str">
        <f t="shared" si="65"/>
        <v>---</v>
      </c>
      <c r="N167" t="str">
        <f t="shared" si="65"/>
        <v>---</v>
      </c>
      <c r="O167" t="str">
        <f t="shared" si="65"/>
        <v>---</v>
      </c>
      <c r="P167" t="str">
        <f t="shared" si="65"/>
        <v>---</v>
      </c>
    </row>
    <row r="168" spans="1:16" x14ac:dyDescent="0.25">
      <c r="A168" t="str">
        <f t="shared" si="51"/>
        <v>人民币</v>
      </c>
      <c r="B168" t="str">
        <f>"上海新阳"</f>
        <v>上海新阳</v>
      </c>
      <c r="C168" t="str">
        <f>"20190412"</f>
        <v>20190412</v>
      </c>
      <c r="D168" t="str">
        <f>"38.770"</f>
        <v>38.770</v>
      </c>
      <c r="E168" t="str">
        <f>"-100.00"</f>
        <v>-100.00</v>
      </c>
      <c r="F168" t="str">
        <f>"3868.12"</f>
        <v>3868.12</v>
      </c>
      <c r="G168" t="str">
        <f>"4474.07"</f>
        <v>4474.07</v>
      </c>
      <c r="H168" t="str">
        <f>"400.00"</f>
        <v>400.00</v>
      </c>
      <c r="I168" t="str">
        <f>"243"</f>
        <v>243</v>
      </c>
      <c r="J168" t="str">
        <f>"证券卖出(上海新阳)"</f>
        <v>证券卖出(上海新阳)</v>
      </c>
      <c r="K168" t="str">
        <f>"5.00"</f>
        <v>5.00</v>
      </c>
      <c r="L168" t="str">
        <f>"3.88"</f>
        <v>3.88</v>
      </c>
      <c r="M168" t="str">
        <f>"0.00"</f>
        <v>0.00</v>
      </c>
      <c r="N168" t="str">
        <f>"0.00"</f>
        <v>0.00</v>
      </c>
      <c r="O168" t="str">
        <f>"300236"</f>
        <v>300236</v>
      </c>
      <c r="P168" t="str">
        <f>"0153613480"</f>
        <v>0153613480</v>
      </c>
    </row>
    <row r="169" spans="1:16" x14ac:dyDescent="0.25">
      <c r="A169" t="str">
        <f t="shared" si="51"/>
        <v>人民币</v>
      </c>
      <c r="B169" t="str">
        <f>""</f>
        <v/>
      </c>
      <c r="C169" t="str">
        <f>"20190415"</f>
        <v>20190415</v>
      </c>
      <c r="D169" t="str">
        <f>"---"</f>
        <v>---</v>
      </c>
      <c r="E169" t="str">
        <f>"---"</f>
        <v>---</v>
      </c>
      <c r="F169" t="str">
        <f>"-4000.00"</f>
        <v>-4000.00</v>
      </c>
      <c r="G169" t="str">
        <f>"474.07"</f>
        <v>474.07</v>
      </c>
      <c r="H169" t="str">
        <f>"---"</f>
        <v>---</v>
      </c>
      <c r="I169" t="str">
        <f>"---"</f>
        <v>---</v>
      </c>
      <c r="J169" t="str">
        <f>"银行转取"</f>
        <v>银行转取</v>
      </c>
      <c r="K169" t="str">
        <f t="shared" ref="K169:P169" si="66">"---"</f>
        <v>---</v>
      </c>
      <c r="L169" t="str">
        <f t="shared" si="66"/>
        <v>---</v>
      </c>
      <c r="M169" t="str">
        <f t="shared" si="66"/>
        <v>---</v>
      </c>
      <c r="N169" t="str">
        <f t="shared" si="66"/>
        <v>---</v>
      </c>
      <c r="O169" t="str">
        <f t="shared" si="66"/>
        <v>---</v>
      </c>
      <c r="P169" t="str">
        <f t="shared" si="66"/>
        <v>---</v>
      </c>
    </row>
    <row r="170" spans="1:16" x14ac:dyDescent="0.25">
      <c r="A170" t="str">
        <f t="shared" si="51"/>
        <v>人民币</v>
      </c>
      <c r="B170" t="str">
        <f>"拉卡拉"</f>
        <v>拉卡拉</v>
      </c>
      <c r="C170" t="str">
        <f>"20190416"</f>
        <v>20190416</v>
      </c>
      <c r="D170" t="str">
        <f>"0.000"</f>
        <v>0.000</v>
      </c>
      <c r="E170" t="str">
        <f>"9.00"</f>
        <v>9.00</v>
      </c>
      <c r="F170" t="str">
        <f>"0.00"</f>
        <v>0.00</v>
      </c>
      <c r="G170" t="str">
        <f>"474.07"</f>
        <v>474.07</v>
      </c>
      <c r="H170" t="str">
        <f>"0.00"</f>
        <v>0.00</v>
      </c>
      <c r="I170" t="str">
        <f>"248"</f>
        <v>248</v>
      </c>
      <c r="J170" t="str">
        <f>"申购配号(拉卡拉)"</f>
        <v>申购配号(拉卡拉)</v>
      </c>
      <c r="K170" t="str">
        <f t="shared" ref="K170:N172" si="67">"0.00"</f>
        <v>0.00</v>
      </c>
      <c r="L170" t="str">
        <f t="shared" si="67"/>
        <v>0.00</v>
      </c>
      <c r="M170" t="str">
        <f t="shared" si="67"/>
        <v>0.00</v>
      </c>
      <c r="N170" t="str">
        <f t="shared" si="67"/>
        <v>0.00</v>
      </c>
      <c r="O170" t="str">
        <f>"300773"</f>
        <v>300773</v>
      </c>
      <c r="P170" t="str">
        <f>"0153613480"</f>
        <v>0153613480</v>
      </c>
    </row>
    <row r="171" spans="1:16" x14ac:dyDescent="0.25">
      <c r="A171" t="str">
        <f t="shared" si="51"/>
        <v>人民币</v>
      </c>
      <c r="B171" t="str">
        <f>"运达股份"</f>
        <v>运达股份</v>
      </c>
      <c r="C171" t="str">
        <f>"20190417"</f>
        <v>20190417</v>
      </c>
      <c r="D171" t="str">
        <f>"0.000"</f>
        <v>0.000</v>
      </c>
      <c r="E171" t="str">
        <f>"9.00"</f>
        <v>9.00</v>
      </c>
      <c r="F171" t="str">
        <f>"0.00"</f>
        <v>0.00</v>
      </c>
      <c r="G171" t="str">
        <f>"474.07"</f>
        <v>474.07</v>
      </c>
      <c r="H171" t="str">
        <f>"0.00"</f>
        <v>0.00</v>
      </c>
      <c r="I171" t="str">
        <f>"253"</f>
        <v>253</v>
      </c>
      <c r="J171" t="str">
        <f>"申购配号(运达股份)"</f>
        <v>申购配号(运达股份)</v>
      </c>
      <c r="K171" t="str">
        <f t="shared" si="67"/>
        <v>0.00</v>
      </c>
      <c r="L171" t="str">
        <f t="shared" si="67"/>
        <v>0.00</v>
      </c>
      <c r="M171" t="str">
        <f t="shared" si="67"/>
        <v>0.00</v>
      </c>
      <c r="N171" t="str">
        <f t="shared" si="67"/>
        <v>0.00</v>
      </c>
      <c r="O171" t="str">
        <f>"300772"</f>
        <v>300772</v>
      </c>
      <c r="P171" t="str">
        <f>"0153613480"</f>
        <v>0153613480</v>
      </c>
    </row>
    <row r="172" spans="1:16" x14ac:dyDescent="0.25">
      <c r="A172" t="str">
        <f t="shared" si="51"/>
        <v>人民币</v>
      </c>
      <c r="B172" t="str">
        <f>"中创配号"</f>
        <v>中创配号</v>
      </c>
      <c r="C172" t="str">
        <f>"20190417"</f>
        <v>20190417</v>
      </c>
      <c r="D172" t="str">
        <f>"0.000"</f>
        <v>0.000</v>
      </c>
      <c r="E172" t="str">
        <f>"10.00"</f>
        <v>10.00</v>
      </c>
      <c r="F172" t="str">
        <f>"0.00"</f>
        <v>0.00</v>
      </c>
      <c r="G172" t="str">
        <f>"474.07"</f>
        <v>474.07</v>
      </c>
      <c r="H172" t="str">
        <f>"0.00"</f>
        <v>0.00</v>
      </c>
      <c r="I172" t="str">
        <f>"251"</f>
        <v>251</v>
      </c>
      <c r="J172" t="str">
        <f>"申购配号(中创配号)"</f>
        <v>申购配号(中创配号)</v>
      </c>
      <c r="K172" t="str">
        <f t="shared" si="67"/>
        <v>0.00</v>
      </c>
      <c r="L172" t="str">
        <f t="shared" si="67"/>
        <v>0.00</v>
      </c>
      <c r="M172" t="str">
        <f t="shared" si="67"/>
        <v>0.00</v>
      </c>
      <c r="N172" t="str">
        <f t="shared" si="67"/>
        <v>0.00</v>
      </c>
      <c r="O172" t="str">
        <f>"736967"</f>
        <v>736967</v>
      </c>
      <c r="P172" t="str">
        <f>"A400948245"</f>
        <v>A400948245</v>
      </c>
    </row>
    <row r="173" spans="1:16" x14ac:dyDescent="0.25">
      <c r="A173" t="str">
        <f t="shared" si="51"/>
        <v>人民币</v>
      </c>
      <c r="B173" t="str">
        <f>"中通国脉"</f>
        <v>中通国脉</v>
      </c>
      <c r="C173" t="str">
        <f>"20190422"</f>
        <v>20190422</v>
      </c>
      <c r="D173" t="str">
        <f>"26.530"</f>
        <v>26.530</v>
      </c>
      <c r="E173" t="str">
        <f>"300.00"</f>
        <v>300.00</v>
      </c>
      <c r="F173" t="str">
        <f>"-7967.12"</f>
        <v>-7967.12</v>
      </c>
      <c r="G173" t="str">
        <f>"1137.16"</f>
        <v>1137.16</v>
      </c>
      <c r="H173" t="str">
        <f>"1600.00"</f>
        <v>1600.00</v>
      </c>
      <c r="I173" t="str">
        <f>"264"</f>
        <v>264</v>
      </c>
      <c r="J173" t="str">
        <f>"证券买入(中通国脉)"</f>
        <v>证券买入(中通国脉)</v>
      </c>
      <c r="K173" t="str">
        <f>"7.96"</f>
        <v>7.96</v>
      </c>
      <c r="L173" t="str">
        <f>"0.00"</f>
        <v>0.00</v>
      </c>
      <c r="M173" t="str">
        <f>"0.16"</f>
        <v>0.16</v>
      </c>
      <c r="N173" t="str">
        <f>"0.00"</f>
        <v>0.00</v>
      </c>
      <c r="O173" t="str">
        <f>"603559"</f>
        <v>603559</v>
      </c>
      <c r="P173" t="str">
        <f>"A400948245"</f>
        <v>A400948245</v>
      </c>
    </row>
    <row r="174" spans="1:16" x14ac:dyDescent="0.25">
      <c r="A174" t="str">
        <f t="shared" si="51"/>
        <v>人民币</v>
      </c>
      <c r="B174" t="str">
        <f>"七一二"</f>
        <v>七一二</v>
      </c>
      <c r="C174" t="str">
        <f>"20190422"</f>
        <v>20190422</v>
      </c>
      <c r="D174" t="str">
        <f>"21.210"</f>
        <v>21.210</v>
      </c>
      <c r="E174" t="str">
        <f>"500.00"</f>
        <v>500.00</v>
      </c>
      <c r="F174" t="str">
        <f>"-10615.82"</f>
        <v>-10615.82</v>
      </c>
      <c r="G174" t="str">
        <f>"9104.28"</f>
        <v>9104.28</v>
      </c>
      <c r="H174" t="str">
        <f>"3000.00"</f>
        <v>3000.00</v>
      </c>
      <c r="I174" t="str">
        <f>"260"</f>
        <v>260</v>
      </c>
      <c r="J174" t="str">
        <f>"证券买入(七一二)"</f>
        <v>证券买入(七一二)</v>
      </c>
      <c r="K174" t="str">
        <f>"10.61"</f>
        <v>10.61</v>
      </c>
      <c r="L174" t="str">
        <f>"0.00"</f>
        <v>0.00</v>
      </c>
      <c r="M174" t="str">
        <f>"0.21"</f>
        <v>0.21</v>
      </c>
      <c r="N174" t="str">
        <f>"0.00"</f>
        <v>0.00</v>
      </c>
      <c r="O174" t="str">
        <f>"603712"</f>
        <v>603712</v>
      </c>
      <c r="P174" t="str">
        <f>"A400948245"</f>
        <v>A400948245</v>
      </c>
    </row>
    <row r="175" spans="1:16" x14ac:dyDescent="0.25">
      <c r="A175" t="str">
        <f t="shared" si="51"/>
        <v>人民币</v>
      </c>
      <c r="B175" t="str">
        <f>"中通国脉"</f>
        <v>中通国脉</v>
      </c>
      <c r="C175" t="str">
        <f>"20190422"</f>
        <v>20190422</v>
      </c>
      <c r="D175" t="str">
        <f>"27.550"</f>
        <v>27.550</v>
      </c>
      <c r="E175" t="str">
        <f>"-700.00"</f>
        <v>-700.00</v>
      </c>
      <c r="F175" t="str">
        <f>"19246.03"</f>
        <v>19246.03</v>
      </c>
      <c r="G175" t="str">
        <f>"19720.10"</f>
        <v>19720.10</v>
      </c>
      <c r="H175" t="str">
        <f>"1300.00"</f>
        <v>1300.00</v>
      </c>
      <c r="I175" t="str">
        <f>"257"</f>
        <v>257</v>
      </c>
      <c r="J175" t="str">
        <f>"证券卖出(中通国脉)"</f>
        <v>证券卖出(中通国脉)</v>
      </c>
      <c r="K175" t="str">
        <f>"19.29"</f>
        <v>19.29</v>
      </c>
      <c r="L175" t="str">
        <f>"19.29"</f>
        <v>19.29</v>
      </c>
      <c r="M175" t="str">
        <f>"0.39"</f>
        <v>0.39</v>
      </c>
      <c r="N175" t="str">
        <f>"0.00"</f>
        <v>0.00</v>
      </c>
      <c r="O175" t="str">
        <f>"603559"</f>
        <v>603559</v>
      </c>
      <c r="P175" t="str">
        <f>"A400948245"</f>
        <v>A400948245</v>
      </c>
    </row>
    <row r="176" spans="1:16" x14ac:dyDescent="0.25">
      <c r="A176" t="str">
        <f t="shared" si="51"/>
        <v>人民币</v>
      </c>
      <c r="B176" t="str">
        <f>"日丰股份"</f>
        <v>日丰股份</v>
      </c>
      <c r="C176" t="str">
        <f>"20190424"</f>
        <v>20190424</v>
      </c>
      <c r="D176" t="str">
        <f>"0.000"</f>
        <v>0.000</v>
      </c>
      <c r="E176" t="str">
        <f>"8.00"</f>
        <v>8.00</v>
      </c>
      <c r="F176" t="str">
        <f>"0.00"</f>
        <v>0.00</v>
      </c>
      <c r="G176" t="str">
        <f>"1137.16"</f>
        <v>1137.16</v>
      </c>
      <c r="H176" t="str">
        <f>"0.00"</f>
        <v>0.00</v>
      </c>
      <c r="I176" t="str">
        <f>"270"</f>
        <v>270</v>
      </c>
      <c r="J176" t="str">
        <f>"申购配号(日丰股份)"</f>
        <v>申购配号(日丰股份)</v>
      </c>
      <c r="K176" t="str">
        <f>"0.00"</f>
        <v>0.00</v>
      </c>
      <c r="L176" t="str">
        <f>"0.00"</f>
        <v>0.00</v>
      </c>
      <c r="M176" t="str">
        <f>"0.00"</f>
        <v>0.00</v>
      </c>
      <c r="N176" t="str">
        <f>"0.00"</f>
        <v>0.00</v>
      </c>
      <c r="O176" t="str">
        <f>"002953"</f>
        <v>002953</v>
      </c>
      <c r="P176" t="str">
        <f>"0153613480"</f>
        <v>0153613480</v>
      </c>
    </row>
    <row r="177" spans="1:16" x14ac:dyDescent="0.25">
      <c r="A177" t="str">
        <f t="shared" si="51"/>
        <v>人民币</v>
      </c>
      <c r="B177" t="str">
        <f>"中通国脉"</f>
        <v>中通国脉</v>
      </c>
      <c r="C177" t="str">
        <f>"20190429"</f>
        <v>20190429</v>
      </c>
      <c r="D177" t="str">
        <f>"22.020"</f>
        <v>22.020</v>
      </c>
      <c r="E177" t="str">
        <f>"500.00"</f>
        <v>500.00</v>
      </c>
      <c r="F177" t="str">
        <f>"-11021.23"</f>
        <v>-11021.23</v>
      </c>
      <c r="G177" t="str">
        <f>"115.93"</f>
        <v>115.93</v>
      </c>
      <c r="H177" t="str">
        <f>"2100.00"</f>
        <v>2100.00</v>
      </c>
      <c r="I177" t="str">
        <f>"277"</f>
        <v>277</v>
      </c>
      <c r="J177" t="str">
        <f>"证券买入(中通国脉)"</f>
        <v>证券买入(中通国脉)</v>
      </c>
      <c r="K177" t="str">
        <f>"11.01"</f>
        <v>11.01</v>
      </c>
      <c r="L177" t="str">
        <f>"0.00"</f>
        <v>0.00</v>
      </c>
      <c r="M177" t="str">
        <f>"0.22"</f>
        <v>0.22</v>
      </c>
      <c r="N177" t="str">
        <f>"0.00"</f>
        <v>0.00</v>
      </c>
      <c r="O177" t="str">
        <f>"603559"</f>
        <v>603559</v>
      </c>
      <c r="P177" t="str">
        <f>"A400948245"</f>
        <v>A400948245</v>
      </c>
    </row>
    <row r="178" spans="1:16" x14ac:dyDescent="0.25">
      <c r="A178" t="str">
        <f t="shared" si="51"/>
        <v>人民币</v>
      </c>
      <c r="B178" t="str">
        <f>""</f>
        <v/>
      </c>
      <c r="C178" t="str">
        <f>"20190429"</f>
        <v>20190429</v>
      </c>
      <c r="D178" t="str">
        <f>"---"</f>
        <v>---</v>
      </c>
      <c r="E178" t="str">
        <f>"---"</f>
        <v>---</v>
      </c>
      <c r="F178" t="str">
        <f>"10000.00"</f>
        <v>10000.00</v>
      </c>
      <c r="G178" t="str">
        <f>"11137.16"</f>
        <v>11137.16</v>
      </c>
      <c r="H178" t="str">
        <f>"---"</f>
        <v>---</v>
      </c>
      <c r="I178" t="str">
        <f>"---"</f>
        <v>---</v>
      </c>
      <c r="J178" t="str">
        <f>"银行转存"</f>
        <v>银行转存</v>
      </c>
      <c r="K178" t="str">
        <f t="shared" ref="K178:P178" si="68">"---"</f>
        <v>---</v>
      </c>
      <c r="L178" t="str">
        <f t="shared" si="68"/>
        <v>---</v>
      </c>
      <c r="M178" t="str">
        <f t="shared" si="68"/>
        <v>---</v>
      </c>
      <c r="N178" t="str">
        <f t="shared" si="68"/>
        <v>---</v>
      </c>
      <c r="O178" t="str">
        <f t="shared" si="68"/>
        <v>---</v>
      </c>
      <c r="P178" t="str">
        <f t="shared" si="68"/>
        <v>---</v>
      </c>
    </row>
    <row r="179" spans="1:16" x14ac:dyDescent="0.25">
      <c r="A179" t="str">
        <f t="shared" si="51"/>
        <v>人民币</v>
      </c>
      <c r="B179" t="str">
        <f>"宝丰配号"</f>
        <v>宝丰配号</v>
      </c>
      <c r="C179" t="str">
        <f>"20190430"</f>
        <v>20190430</v>
      </c>
      <c r="D179" t="str">
        <f>"0.000"</f>
        <v>0.000</v>
      </c>
      <c r="E179" t="str">
        <f>"13.00"</f>
        <v>13.00</v>
      </c>
      <c r="F179" t="str">
        <f>"0.00"</f>
        <v>0.00</v>
      </c>
      <c r="G179" t="str">
        <f>"115.93"</f>
        <v>115.93</v>
      </c>
      <c r="H179" t="str">
        <f>"0.00"</f>
        <v>0.00</v>
      </c>
      <c r="I179" t="str">
        <f>"283"</f>
        <v>283</v>
      </c>
      <c r="J179" t="str">
        <f>"申购配号(宝丰配号)"</f>
        <v>申购配号(宝丰配号)</v>
      </c>
      <c r="K179" t="str">
        <f t="shared" ref="K179:N181" si="69">"0.00"</f>
        <v>0.00</v>
      </c>
      <c r="L179" t="str">
        <f t="shared" si="69"/>
        <v>0.00</v>
      </c>
      <c r="M179" t="str">
        <f t="shared" si="69"/>
        <v>0.00</v>
      </c>
      <c r="N179" t="str">
        <f t="shared" si="69"/>
        <v>0.00</v>
      </c>
      <c r="O179" t="str">
        <f>"741989"</f>
        <v>741989</v>
      </c>
      <c r="P179" t="str">
        <f>"A400948245"</f>
        <v>A400948245</v>
      </c>
    </row>
    <row r="180" spans="1:16" x14ac:dyDescent="0.25">
      <c r="A180" t="str">
        <f t="shared" si="51"/>
        <v>人民币</v>
      </c>
      <c r="B180" t="str">
        <f>"鸿远配号"</f>
        <v>鸿远配号</v>
      </c>
      <c r="C180" t="str">
        <f>"20190430"</f>
        <v>20190430</v>
      </c>
      <c r="D180" t="str">
        <f>"0.000"</f>
        <v>0.000</v>
      </c>
      <c r="E180" t="str">
        <f>"13.00"</f>
        <v>13.00</v>
      </c>
      <c r="F180" t="str">
        <f>"0.00"</f>
        <v>0.00</v>
      </c>
      <c r="G180" t="str">
        <f>"115.93"</f>
        <v>115.93</v>
      </c>
      <c r="H180" t="str">
        <f>"0.00"</f>
        <v>0.00</v>
      </c>
      <c r="I180" t="str">
        <f>"281"</f>
        <v>281</v>
      </c>
      <c r="J180" t="str">
        <f>"申购配号(鸿远配号)"</f>
        <v>申购配号(鸿远配号)</v>
      </c>
      <c r="K180" t="str">
        <f t="shared" si="69"/>
        <v>0.00</v>
      </c>
      <c r="L180" t="str">
        <f t="shared" si="69"/>
        <v>0.00</v>
      </c>
      <c r="M180" t="str">
        <f t="shared" si="69"/>
        <v>0.00</v>
      </c>
      <c r="N180" t="str">
        <f t="shared" si="69"/>
        <v>0.00</v>
      </c>
      <c r="O180" t="str">
        <f>"736267"</f>
        <v>736267</v>
      </c>
      <c r="P180" t="str">
        <f>"A400948245"</f>
        <v>A400948245</v>
      </c>
    </row>
    <row r="181" spans="1:16" x14ac:dyDescent="0.25">
      <c r="A181" t="str">
        <f t="shared" si="51"/>
        <v>人民币</v>
      </c>
      <c r="B181" t="str">
        <f>"中简科技"</f>
        <v>中简科技</v>
      </c>
      <c r="C181" t="str">
        <f>"20190506"</f>
        <v>20190506</v>
      </c>
      <c r="D181" t="str">
        <f>"0.000"</f>
        <v>0.000</v>
      </c>
      <c r="E181" t="str">
        <f>"5.00"</f>
        <v>5.00</v>
      </c>
      <c r="F181" t="str">
        <f>"0.00"</f>
        <v>0.00</v>
      </c>
      <c r="G181" t="str">
        <f>"1390.10"</f>
        <v>1390.10</v>
      </c>
      <c r="H181" t="str">
        <f>"0.00"</f>
        <v>0.00</v>
      </c>
      <c r="I181" t="str">
        <f>"292"</f>
        <v>292</v>
      </c>
      <c r="J181" t="str">
        <f>"申购配号(中简科技)"</f>
        <v>申购配号(中简科技)</v>
      </c>
      <c r="K181" t="str">
        <f t="shared" si="69"/>
        <v>0.00</v>
      </c>
      <c r="L181" t="str">
        <f t="shared" si="69"/>
        <v>0.00</v>
      </c>
      <c r="M181" t="str">
        <f t="shared" si="69"/>
        <v>0.00</v>
      </c>
      <c r="N181" t="str">
        <f t="shared" si="69"/>
        <v>0.00</v>
      </c>
      <c r="O181" t="str">
        <f>"300777"</f>
        <v>300777</v>
      </c>
      <c r="P181" t="str">
        <f>"0153613480"</f>
        <v>0153613480</v>
      </c>
    </row>
    <row r="182" spans="1:16" x14ac:dyDescent="0.25">
      <c r="A182" t="str">
        <f t="shared" si="51"/>
        <v>人民币</v>
      </c>
      <c r="B182" t="str">
        <f>"航发科技"</f>
        <v>航发科技</v>
      </c>
      <c r="C182" t="str">
        <f>"20190506"</f>
        <v>20190506</v>
      </c>
      <c r="D182" t="str">
        <f>"14.300"</f>
        <v>14.300</v>
      </c>
      <c r="E182" t="str">
        <f>"400.00"</f>
        <v>400.00</v>
      </c>
      <c r="F182" t="str">
        <f>"-5725.83"</f>
        <v>-5725.83</v>
      </c>
      <c r="G182" t="str">
        <f>"1390.10"</f>
        <v>1390.10</v>
      </c>
      <c r="H182" t="str">
        <f>"2800.00"</f>
        <v>2800.00</v>
      </c>
      <c r="I182" t="str">
        <f>"288"</f>
        <v>288</v>
      </c>
      <c r="J182" t="str">
        <f>"证券买入(航发科技)"</f>
        <v>证券买入(航发科技)</v>
      </c>
      <c r="K182" t="str">
        <f>"5.72"</f>
        <v>5.72</v>
      </c>
      <c r="L182" t="str">
        <f>"0.00"</f>
        <v>0.00</v>
      </c>
      <c r="M182" t="str">
        <f>"0.11"</f>
        <v>0.11</v>
      </c>
      <c r="N182" t="str">
        <f>"0.00"</f>
        <v>0.00</v>
      </c>
      <c r="O182" t="str">
        <f>"600391"</f>
        <v>600391</v>
      </c>
      <c r="P182" t="str">
        <f>"A400948245"</f>
        <v>A400948245</v>
      </c>
    </row>
    <row r="183" spans="1:16" x14ac:dyDescent="0.25">
      <c r="A183" t="str">
        <f t="shared" si="51"/>
        <v>人民币</v>
      </c>
      <c r="B183" t="str">
        <f>""</f>
        <v/>
      </c>
      <c r="C183" t="str">
        <f>"20190506"</f>
        <v>20190506</v>
      </c>
      <c r="D183" t="str">
        <f>"---"</f>
        <v>---</v>
      </c>
      <c r="E183" t="str">
        <f>"---"</f>
        <v>---</v>
      </c>
      <c r="F183" t="str">
        <f>"7000.00"</f>
        <v>7000.00</v>
      </c>
      <c r="G183" t="str">
        <f>"7115.93"</f>
        <v>7115.93</v>
      </c>
      <c r="H183" t="str">
        <f>"---"</f>
        <v>---</v>
      </c>
      <c r="I183" t="str">
        <f>"---"</f>
        <v>---</v>
      </c>
      <c r="J183" t="str">
        <f>"银行转存"</f>
        <v>银行转存</v>
      </c>
      <c r="K183" t="str">
        <f t="shared" ref="K183:P183" si="70">"---"</f>
        <v>---</v>
      </c>
      <c r="L183" t="str">
        <f t="shared" si="70"/>
        <v>---</v>
      </c>
      <c r="M183" t="str">
        <f t="shared" si="70"/>
        <v>---</v>
      </c>
      <c r="N183" t="str">
        <f t="shared" si="70"/>
        <v>---</v>
      </c>
      <c r="O183" t="str">
        <f t="shared" si="70"/>
        <v>---</v>
      </c>
      <c r="P183" t="str">
        <f t="shared" si="70"/>
        <v>---</v>
      </c>
    </row>
    <row r="184" spans="1:16" x14ac:dyDescent="0.25">
      <c r="A184" t="str">
        <f t="shared" si="51"/>
        <v>人民币</v>
      </c>
      <c r="B184" t="str">
        <f>"帝尔激光"</f>
        <v>帝尔激光</v>
      </c>
      <c r="C184" t="str">
        <f>"20190507"</f>
        <v>20190507</v>
      </c>
      <c r="D184" t="str">
        <f>"0.000"</f>
        <v>0.000</v>
      </c>
      <c r="E184" t="str">
        <f>"5.00"</f>
        <v>5.00</v>
      </c>
      <c r="F184" t="str">
        <f>"0.00"</f>
        <v>0.00</v>
      </c>
      <c r="G184" t="str">
        <f>"1390.10"</f>
        <v>1390.10</v>
      </c>
      <c r="H184" t="str">
        <f>"0.00"</f>
        <v>0.00</v>
      </c>
      <c r="I184" t="str">
        <f>"1"</f>
        <v>1</v>
      </c>
      <c r="J184" t="str">
        <f>"申购配号(帝尔激光)"</f>
        <v>申购配号(帝尔激光)</v>
      </c>
      <c r="K184" t="str">
        <f t="shared" ref="K184:N186" si="71">"0.00"</f>
        <v>0.00</v>
      </c>
      <c r="L184" t="str">
        <f t="shared" si="71"/>
        <v>0.00</v>
      </c>
      <c r="M184" t="str">
        <f t="shared" si="71"/>
        <v>0.00</v>
      </c>
      <c r="N184" t="str">
        <f t="shared" si="71"/>
        <v>0.00</v>
      </c>
      <c r="O184" t="str">
        <f>"300776"</f>
        <v>300776</v>
      </c>
      <c r="P184" t="str">
        <f>"0153613480"</f>
        <v>0153613480</v>
      </c>
    </row>
    <row r="185" spans="1:16" x14ac:dyDescent="0.25">
      <c r="A185" t="str">
        <f t="shared" si="51"/>
        <v>人民币</v>
      </c>
      <c r="B185" t="str">
        <f>"鸿合科技"</f>
        <v>鸿合科技</v>
      </c>
      <c r="C185" t="str">
        <f t="shared" ref="C185:C192" si="72">"20190510"</f>
        <v>20190510</v>
      </c>
      <c r="D185" t="str">
        <f>"0.000"</f>
        <v>0.000</v>
      </c>
      <c r="E185" t="str">
        <f>"4.00"</f>
        <v>4.00</v>
      </c>
      <c r="F185" t="str">
        <f>"0.00"</f>
        <v>0.00</v>
      </c>
      <c r="G185" t="str">
        <f>"7450.80"</f>
        <v>7450.80</v>
      </c>
      <c r="H185" t="str">
        <f>"0.00"</f>
        <v>0.00</v>
      </c>
      <c r="I185" t="str">
        <f>"4"</f>
        <v>4</v>
      </c>
      <c r="J185" t="str">
        <f>"申购配号(鸿合科技)"</f>
        <v>申购配号(鸿合科技)</v>
      </c>
      <c r="K185" t="str">
        <f t="shared" si="71"/>
        <v>0.00</v>
      </c>
      <c r="L185" t="str">
        <f t="shared" si="71"/>
        <v>0.00</v>
      </c>
      <c r="M185" t="str">
        <f t="shared" si="71"/>
        <v>0.00</v>
      </c>
      <c r="N185" t="str">
        <f t="shared" si="71"/>
        <v>0.00</v>
      </c>
      <c r="O185" t="str">
        <f>"002955"</f>
        <v>002955</v>
      </c>
      <c r="P185" t="str">
        <f>"0153613480"</f>
        <v>0153613480</v>
      </c>
    </row>
    <row r="186" spans="1:16" x14ac:dyDescent="0.25">
      <c r="A186" t="str">
        <f t="shared" si="51"/>
        <v>人民币</v>
      </c>
      <c r="B186" t="str">
        <f>"三角防务"</f>
        <v>三角防务</v>
      </c>
      <c r="C186" t="str">
        <f t="shared" si="72"/>
        <v>20190510</v>
      </c>
      <c r="D186" t="str">
        <f>"0.000"</f>
        <v>0.000</v>
      </c>
      <c r="E186" t="str">
        <f>"4.00"</f>
        <v>4.00</v>
      </c>
      <c r="F186" t="str">
        <f>"0.00"</f>
        <v>0.00</v>
      </c>
      <c r="G186" t="str">
        <f>"7450.80"</f>
        <v>7450.80</v>
      </c>
      <c r="H186" t="str">
        <f>"0.00"</f>
        <v>0.00</v>
      </c>
      <c r="I186" t="str">
        <f>"8"</f>
        <v>8</v>
      </c>
      <c r="J186" t="str">
        <f>"申购配号(三角防务)"</f>
        <v>申购配号(三角防务)</v>
      </c>
      <c r="K186" t="str">
        <f t="shared" si="71"/>
        <v>0.00</v>
      </c>
      <c r="L186" t="str">
        <f t="shared" si="71"/>
        <v>0.00</v>
      </c>
      <c r="M186" t="str">
        <f t="shared" si="71"/>
        <v>0.00</v>
      </c>
      <c r="N186" t="str">
        <f t="shared" si="71"/>
        <v>0.00</v>
      </c>
      <c r="O186" t="str">
        <f>"300775"</f>
        <v>300775</v>
      </c>
      <c r="P186" t="str">
        <f>"0153613480"</f>
        <v>0153613480</v>
      </c>
    </row>
    <row r="187" spans="1:16" x14ac:dyDescent="0.25">
      <c r="A187" t="str">
        <f t="shared" si="51"/>
        <v>人民币</v>
      </c>
      <c r="B187" t="str">
        <f>"上海新阳"</f>
        <v>上海新阳</v>
      </c>
      <c r="C187" t="str">
        <f t="shared" si="72"/>
        <v>20190510</v>
      </c>
      <c r="D187" t="str">
        <f>"33.800"</f>
        <v>33.800</v>
      </c>
      <c r="E187" t="str">
        <f>"-100.00"</f>
        <v>-100.00</v>
      </c>
      <c r="F187" t="str">
        <f>"3371.62"</f>
        <v>3371.62</v>
      </c>
      <c r="G187" t="str">
        <f>"7450.80"</f>
        <v>7450.80</v>
      </c>
      <c r="H187" t="str">
        <f>"400.00"</f>
        <v>400.00</v>
      </c>
      <c r="I187" t="str">
        <f>"21"</f>
        <v>21</v>
      </c>
      <c r="J187" t="str">
        <f>"证券卖出(上海新阳)"</f>
        <v>证券卖出(上海新阳)</v>
      </c>
      <c r="K187" t="str">
        <f>"5.00"</f>
        <v>5.00</v>
      </c>
      <c r="L187" t="str">
        <f>"3.38"</f>
        <v>3.38</v>
      </c>
      <c r="M187" t="str">
        <f>"0.00"</f>
        <v>0.00</v>
      </c>
      <c r="N187" t="str">
        <f>"0.00"</f>
        <v>0.00</v>
      </c>
      <c r="O187" t="str">
        <f>"300236"</f>
        <v>300236</v>
      </c>
      <c r="P187" t="str">
        <f>"0153613480"</f>
        <v>0153613480</v>
      </c>
    </row>
    <row r="188" spans="1:16" x14ac:dyDescent="0.25">
      <c r="A188" t="str">
        <f t="shared" si="51"/>
        <v>人民币</v>
      </c>
      <c r="B188" t="str">
        <f>"上海新阳"</f>
        <v>上海新阳</v>
      </c>
      <c r="C188" t="str">
        <f t="shared" si="72"/>
        <v>20190510</v>
      </c>
      <c r="D188" t="str">
        <f>"31.900"</f>
        <v>31.900</v>
      </c>
      <c r="E188" t="str">
        <f>"100.00"</f>
        <v>100.00</v>
      </c>
      <c r="F188" t="str">
        <f>"-3195.00"</f>
        <v>-3195.00</v>
      </c>
      <c r="G188" t="str">
        <f>"4079.18"</f>
        <v>4079.18</v>
      </c>
      <c r="H188" t="str">
        <f>"500.00"</f>
        <v>500.00</v>
      </c>
      <c r="I188" t="str">
        <f>"11"</f>
        <v>11</v>
      </c>
      <c r="J188" t="str">
        <f>"证券买入(上海新阳)"</f>
        <v>证券买入(上海新阳)</v>
      </c>
      <c r="K188" t="str">
        <f>"5.00"</f>
        <v>5.00</v>
      </c>
      <c r="L188" t="str">
        <f>"0.00"</f>
        <v>0.00</v>
      </c>
      <c r="M188" t="str">
        <f>"0.00"</f>
        <v>0.00</v>
      </c>
      <c r="N188" t="str">
        <f>"0.00"</f>
        <v>0.00</v>
      </c>
      <c r="O188" t="str">
        <f>"300236"</f>
        <v>300236</v>
      </c>
      <c r="P188" t="str">
        <f>"0153613480"</f>
        <v>0153613480</v>
      </c>
    </row>
    <row r="189" spans="1:16" x14ac:dyDescent="0.25">
      <c r="A189" t="str">
        <f t="shared" si="51"/>
        <v>人民币</v>
      </c>
      <c r="B189" t="str">
        <f>"航发科技"</f>
        <v>航发科技</v>
      </c>
      <c r="C189" t="str">
        <f t="shared" si="72"/>
        <v>20190510</v>
      </c>
      <c r="D189" t="str">
        <f>"14.740"</f>
        <v>14.740</v>
      </c>
      <c r="E189" t="str">
        <f>"-400.00"</f>
        <v>-400.00</v>
      </c>
      <c r="F189" t="str">
        <f>"5884.08"</f>
        <v>5884.08</v>
      </c>
      <c r="G189" t="str">
        <f>"7274.18"</f>
        <v>7274.18</v>
      </c>
      <c r="H189" t="str">
        <f>"2400.00"</f>
        <v>2400.00</v>
      </c>
      <c r="I189" t="str">
        <f>"24"</f>
        <v>24</v>
      </c>
      <c r="J189" t="str">
        <f>"证券卖出(航发科技)"</f>
        <v>证券卖出(航发科技)</v>
      </c>
      <c r="K189" t="str">
        <f>"5.90"</f>
        <v>5.90</v>
      </c>
      <c r="L189" t="str">
        <f>"5.90"</f>
        <v>5.90</v>
      </c>
      <c r="M189" t="str">
        <f>"0.12"</f>
        <v>0.12</v>
      </c>
      <c r="N189" t="str">
        <f>"0.00"</f>
        <v>0.00</v>
      </c>
      <c r="O189" t="str">
        <f>"600391"</f>
        <v>600391</v>
      </c>
      <c r="P189" t="str">
        <f>"A400948245"</f>
        <v>A400948245</v>
      </c>
    </row>
    <row r="190" spans="1:16" x14ac:dyDescent="0.25">
      <c r="A190" t="str">
        <f t="shared" ref="A190:A252" si="73">"人民币"</f>
        <v>人民币</v>
      </c>
      <c r="B190" t="str">
        <f>"泉峰配号"</f>
        <v>泉峰配号</v>
      </c>
      <c r="C190" t="str">
        <f t="shared" si="72"/>
        <v>20190510</v>
      </c>
      <c r="D190" t="str">
        <f>"0.000"</f>
        <v>0.000</v>
      </c>
      <c r="E190" t="str">
        <f>"14.00"</f>
        <v>14.00</v>
      </c>
      <c r="F190" t="str">
        <f>"0.00"</f>
        <v>0.00</v>
      </c>
      <c r="G190" t="str">
        <f>"1390.10"</f>
        <v>1390.10</v>
      </c>
      <c r="H190" t="str">
        <f>"0.00"</f>
        <v>0.00</v>
      </c>
      <c r="I190" t="str">
        <f>"6"</f>
        <v>6</v>
      </c>
      <c r="J190" t="str">
        <f>"申购配号(泉峰配号)"</f>
        <v>申购配号(泉峰配号)</v>
      </c>
      <c r="K190" t="str">
        <f>"0.00"</f>
        <v>0.00</v>
      </c>
      <c r="L190" t="str">
        <f>"0.00"</f>
        <v>0.00</v>
      </c>
      <c r="M190" t="str">
        <f>"0.00"</f>
        <v>0.00</v>
      </c>
      <c r="N190" t="str">
        <f>"0.00"</f>
        <v>0.00</v>
      </c>
      <c r="O190" t="str">
        <f>"736982"</f>
        <v>736982</v>
      </c>
      <c r="P190" t="str">
        <f>"A400948245"</f>
        <v>A400948245</v>
      </c>
    </row>
    <row r="191" spans="1:16" x14ac:dyDescent="0.25">
      <c r="A191" t="str">
        <f t="shared" si="73"/>
        <v>人民币</v>
      </c>
      <c r="B191" t="str">
        <f>""</f>
        <v/>
      </c>
      <c r="C191" t="str">
        <f t="shared" si="72"/>
        <v>20190510</v>
      </c>
      <c r="D191" t="str">
        <f>"---"</f>
        <v>---</v>
      </c>
      <c r="E191" t="str">
        <f>"---"</f>
        <v>---</v>
      </c>
      <c r="F191" t="str">
        <f>"-10000.00"</f>
        <v>-10000.00</v>
      </c>
      <c r="G191" t="str">
        <f>"1390.10"</f>
        <v>1390.10</v>
      </c>
      <c r="H191" t="str">
        <f>"---"</f>
        <v>---</v>
      </c>
      <c r="I191" t="str">
        <f>"---"</f>
        <v>---</v>
      </c>
      <c r="J191" t="str">
        <f>"银行转取"</f>
        <v>银行转取</v>
      </c>
      <c r="K191" t="str">
        <f t="shared" ref="K191:P192" si="74">"---"</f>
        <v>---</v>
      </c>
      <c r="L191" t="str">
        <f t="shared" si="74"/>
        <v>---</v>
      </c>
      <c r="M191" t="str">
        <f t="shared" si="74"/>
        <v>---</v>
      </c>
      <c r="N191" t="str">
        <f t="shared" si="74"/>
        <v>---</v>
      </c>
      <c r="O191" t="str">
        <f t="shared" si="74"/>
        <v>---</v>
      </c>
      <c r="P191" t="str">
        <f t="shared" si="74"/>
        <v>---</v>
      </c>
    </row>
    <row r="192" spans="1:16" x14ac:dyDescent="0.25">
      <c r="A192" t="str">
        <f t="shared" si="73"/>
        <v>人民币</v>
      </c>
      <c r="B192" t="str">
        <f>""</f>
        <v/>
      </c>
      <c r="C192" t="str">
        <f t="shared" si="72"/>
        <v>20190510</v>
      </c>
      <c r="D192" t="str">
        <f>"---"</f>
        <v>---</v>
      </c>
      <c r="E192" t="str">
        <f>"---"</f>
        <v>---</v>
      </c>
      <c r="F192" t="str">
        <f>"10000.00"</f>
        <v>10000.00</v>
      </c>
      <c r="G192" t="str">
        <f>"11390.10"</f>
        <v>11390.10</v>
      </c>
      <c r="H192" t="str">
        <f>"---"</f>
        <v>---</v>
      </c>
      <c r="I192" t="str">
        <f>"---"</f>
        <v>---</v>
      </c>
      <c r="J192" t="str">
        <f>"银行转存"</f>
        <v>银行转存</v>
      </c>
      <c r="K192" t="str">
        <f t="shared" si="74"/>
        <v>---</v>
      </c>
      <c r="L192" t="str">
        <f t="shared" si="74"/>
        <v>---</v>
      </c>
      <c r="M192" t="str">
        <f t="shared" si="74"/>
        <v>---</v>
      </c>
      <c r="N192" t="str">
        <f t="shared" si="74"/>
        <v>---</v>
      </c>
      <c r="O192" t="str">
        <f t="shared" si="74"/>
        <v>---</v>
      </c>
      <c r="P192" t="str">
        <f t="shared" si="74"/>
        <v>---</v>
      </c>
    </row>
    <row r="193" spans="1:16" x14ac:dyDescent="0.25">
      <c r="A193" t="str">
        <f t="shared" si="73"/>
        <v>人民币</v>
      </c>
      <c r="B193" t="str">
        <f>"惠城环保"</f>
        <v>惠城环保</v>
      </c>
      <c r="C193" t="str">
        <f>"20190513"</f>
        <v>20190513</v>
      </c>
      <c r="D193" t="str">
        <f>"0.000"</f>
        <v>0.000</v>
      </c>
      <c r="E193" t="str">
        <f>"4.00"</f>
        <v>4.00</v>
      </c>
      <c r="F193" t="str">
        <f>"0.00"</f>
        <v>0.00</v>
      </c>
      <c r="G193" t="str">
        <f>"1450.80"</f>
        <v>1450.80</v>
      </c>
      <c r="H193" t="str">
        <f>"0.00"</f>
        <v>0.00</v>
      </c>
      <c r="I193" t="str">
        <f>"36"</f>
        <v>36</v>
      </c>
      <c r="J193" t="str">
        <f>"申购配号(惠城环保)"</f>
        <v>申购配号(惠城环保)</v>
      </c>
      <c r="K193" t="str">
        <f t="shared" ref="K193:N194" si="75">"0.00"</f>
        <v>0.00</v>
      </c>
      <c r="L193" t="str">
        <f t="shared" si="75"/>
        <v>0.00</v>
      </c>
      <c r="M193" t="str">
        <f t="shared" si="75"/>
        <v>0.00</v>
      </c>
      <c r="N193" t="str">
        <f t="shared" si="75"/>
        <v>0.00</v>
      </c>
      <c r="O193" t="str">
        <f>"300779"</f>
        <v>300779</v>
      </c>
      <c r="P193" t="str">
        <f>"0153613480"</f>
        <v>0153613480</v>
      </c>
    </row>
    <row r="194" spans="1:16" x14ac:dyDescent="0.25">
      <c r="A194" t="str">
        <f t="shared" si="73"/>
        <v>人民币</v>
      </c>
      <c r="B194" t="str">
        <f>"福蓉配号"</f>
        <v>福蓉配号</v>
      </c>
      <c r="C194" t="str">
        <f>"20190513"</f>
        <v>20190513</v>
      </c>
      <c r="D194" t="str">
        <f>"0.000"</f>
        <v>0.000</v>
      </c>
      <c r="E194" t="str">
        <f>"14.00"</f>
        <v>14.00</v>
      </c>
      <c r="F194" t="str">
        <f>"0.00"</f>
        <v>0.00</v>
      </c>
      <c r="G194" t="str">
        <f>"1450.80"</f>
        <v>1450.80</v>
      </c>
      <c r="H194" t="str">
        <f>"0.00"</f>
        <v>0.00</v>
      </c>
      <c r="I194" t="str">
        <f>"34"</f>
        <v>34</v>
      </c>
      <c r="J194" t="str">
        <f>"申购配号(福蓉配号)"</f>
        <v>申购配号(福蓉配号)</v>
      </c>
      <c r="K194" t="str">
        <f t="shared" si="75"/>
        <v>0.00</v>
      </c>
      <c r="L194" t="str">
        <f t="shared" si="75"/>
        <v>0.00</v>
      </c>
      <c r="M194" t="str">
        <f t="shared" si="75"/>
        <v>0.00</v>
      </c>
      <c r="N194" t="str">
        <f t="shared" si="75"/>
        <v>0.00</v>
      </c>
      <c r="O194" t="str">
        <f>"736327"</f>
        <v>736327</v>
      </c>
      <c r="P194" t="str">
        <f>"A400948245"</f>
        <v>A400948245</v>
      </c>
    </row>
    <row r="195" spans="1:16" x14ac:dyDescent="0.25">
      <c r="A195" t="str">
        <f t="shared" si="73"/>
        <v>人民币</v>
      </c>
      <c r="B195" t="str">
        <f>""</f>
        <v/>
      </c>
      <c r="C195" t="str">
        <f>"20190513"</f>
        <v>20190513</v>
      </c>
      <c r="D195" t="str">
        <f>"---"</f>
        <v>---</v>
      </c>
      <c r="E195" t="str">
        <f>"---"</f>
        <v>---</v>
      </c>
      <c r="F195" t="str">
        <f>"-6000.00"</f>
        <v>-6000.00</v>
      </c>
      <c r="G195" t="str">
        <f>"1450.80"</f>
        <v>1450.80</v>
      </c>
      <c r="H195" t="str">
        <f>"---"</f>
        <v>---</v>
      </c>
      <c r="I195" t="str">
        <f>"---"</f>
        <v>---</v>
      </c>
      <c r="J195" t="str">
        <f>"银行转取"</f>
        <v>银行转取</v>
      </c>
      <c r="K195" t="str">
        <f t="shared" ref="K195:P195" si="76">"---"</f>
        <v>---</v>
      </c>
      <c r="L195" t="str">
        <f t="shared" si="76"/>
        <v>---</v>
      </c>
      <c r="M195" t="str">
        <f t="shared" si="76"/>
        <v>---</v>
      </c>
      <c r="N195" t="str">
        <f t="shared" si="76"/>
        <v>---</v>
      </c>
      <c r="O195" t="str">
        <f t="shared" si="76"/>
        <v>---</v>
      </c>
      <c r="P195" t="str">
        <f t="shared" si="76"/>
        <v>---</v>
      </c>
    </row>
    <row r="196" spans="1:16" x14ac:dyDescent="0.25">
      <c r="A196" t="str">
        <f t="shared" si="73"/>
        <v>人民币</v>
      </c>
      <c r="B196" t="str">
        <f>"德恩精工"</f>
        <v>德恩精工</v>
      </c>
      <c r="C196" t="str">
        <f>"20190522"</f>
        <v>20190522</v>
      </c>
      <c r="D196" t="str">
        <f>"0.000"</f>
        <v>0.000</v>
      </c>
      <c r="E196" t="str">
        <f>"3.00"</f>
        <v>3.00</v>
      </c>
      <c r="F196" t="str">
        <f>"0.00"</f>
        <v>0.00</v>
      </c>
      <c r="G196" t="str">
        <f>"1450.80"</f>
        <v>1450.80</v>
      </c>
      <c r="H196" t="str">
        <f>"0.00"</f>
        <v>0.00</v>
      </c>
      <c r="I196" t="str">
        <f>"41"</f>
        <v>41</v>
      </c>
      <c r="J196" t="str">
        <f>"申购配号(德恩精工)"</f>
        <v>申购配号(德恩精工)</v>
      </c>
      <c r="K196" t="str">
        <f>"0.00"</f>
        <v>0.00</v>
      </c>
      <c r="L196" t="str">
        <f>"0.00"</f>
        <v>0.00</v>
      </c>
      <c r="M196" t="str">
        <f>"0.00"</f>
        <v>0.00</v>
      </c>
      <c r="N196" t="str">
        <f>"0.00"</f>
        <v>0.00</v>
      </c>
      <c r="O196" t="str">
        <f>"300780"</f>
        <v>300780</v>
      </c>
      <c r="P196" t="str">
        <f>"0153613480"</f>
        <v>0153613480</v>
      </c>
    </row>
    <row r="197" spans="1:16" x14ac:dyDescent="0.25">
      <c r="A197" t="str">
        <f t="shared" si="73"/>
        <v>人民币</v>
      </c>
      <c r="B197" t="str">
        <f>"中国人保"</f>
        <v>中国人保</v>
      </c>
      <c r="C197" t="str">
        <f>"20190527"</f>
        <v>20190527</v>
      </c>
      <c r="D197" t="str">
        <f>"8.390"</f>
        <v>8.390</v>
      </c>
      <c r="E197" t="str">
        <f>"2000.00"</f>
        <v>2000.00</v>
      </c>
      <c r="F197" t="str">
        <f>"-16797.12"</f>
        <v>-16797.12</v>
      </c>
      <c r="G197" t="str">
        <f>"6948.55"</f>
        <v>6948.55</v>
      </c>
      <c r="H197" t="str">
        <f>"2000.00"</f>
        <v>2000.00</v>
      </c>
      <c r="I197" t="str">
        <f>"47"</f>
        <v>47</v>
      </c>
      <c r="J197" t="str">
        <f>"证券买入(中国人保)"</f>
        <v>证券买入(中国人保)</v>
      </c>
      <c r="K197" t="str">
        <f>"16.78"</f>
        <v>16.78</v>
      </c>
      <c r="L197" t="str">
        <f>"0.00"</f>
        <v>0.00</v>
      </c>
      <c r="M197" t="str">
        <f>"0.34"</f>
        <v>0.34</v>
      </c>
      <c r="N197" t="str">
        <f t="shared" ref="N197:N214" si="77">"0.00"</f>
        <v>0.00</v>
      </c>
      <c r="O197" t="str">
        <f>"601319"</f>
        <v>601319</v>
      </c>
      <c r="P197" t="str">
        <f>"A400948245"</f>
        <v>A400948245</v>
      </c>
    </row>
    <row r="198" spans="1:16" x14ac:dyDescent="0.25">
      <c r="A198" t="str">
        <f t="shared" si="73"/>
        <v>人民币</v>
      </c>
      <c r="B198" t="str">
        <f>"七一二"</f>
        <v>七一二</v>
      </c>
      <c r="C198" t="str">
        <f>"20190527"</f>
        <v>20190527</v>
      </c>
      <c r="D198" t="str">
        <f>"22.340"</f>
        <v>22.340</v>
      </c>
      <c r="E198" t="str">
        <f>"-1000.00"</f>
        <v>-1000.00</v>
      </c>
      <c r="F198" t="str">
        <f>"22294.87"</f>
        <v>22294.87</v>
      </c>
      <c r="G198" t="str">
        <f>"23745.67"</f>
        <v>23745.67</v>
      </c>
      <c r="H198" t="str">
        <f>"2000.00"</f>
        <v>2000.00</v>
      </c>
      <c r="I198" t="str">
        <f>"44"</f>
        <v>44</v>
      </c>
      <c r="J198" t="str">
        <f>"证券卖出(七一二)"</f>
        <v>证券卖出(七一二)</v>
      </c>
      <c r="K198" t="str">
        <f>"22.34"</f>
        <v>22.34</v>
      </c>
      <c r="L198" t="str">
        <f>"22.34"</f>
        <v>22.34</v>
      </c>
      <c r="M198" t="str">
        <f>"0.45"</f>
        <v>0.45</v>
      </c>
      <c r="N198" t="str">
        <f t="shared" si="77"/>
        <v>0.00</v>
      </c>
      <c r="O198" t="str">
        <f>"603712"</f>
        <v>603712</v>
      </c>
      <c r="P198" t="str">
        <f>"A400948245"</f>
        <v>A400948245</v>
      </c>
    </row>
    <row r="199" spans="1:16" x14ac:dyDescent="0.25">
      <c r="A199" t="str">
        <f t="shared" si="73"/>
        <v>人民币</v>
      </c>
      <c r="B199" t="str">
        <f>"因赛集团"</f>
        <v>因赛集团</v>
      </c>
      <c r="C199" t="str">
        <f>"20190528"</f>
        <v>20190528</v>
      </c>
      <c r="D199" t="str">
        <f>"0.000"</f>
        <v>0.000</v>
      </c>
      <c r="E199" t="str">
        <f>"2.00"</f>
        <v>2.00</v>
      </c>
      <c r="F199" t="str">
        <f>"0.00"</f>
        <v>0.00</v>
      </c>
      <c r="G199" t="str">
        <f>"6853.07"</f>
        <v>6853.07</v>
      </c>
      <c r="H199" t="str">
        <f>"0.00"</f>
        <v>0.00</v>
      </c>
      <c r="I199" t="str">
        <f>"52"</f>
        <v>52</v>
      </c>
      <c r="J199" t="str">
        <f>"申购配号(因赛集团)"</f>
        <v>申购配号(因赛集团)</v>
      </c>
      <c r="K199" t="str">
        <f>"0.00"</f>
        <v>0.00</v>
      </c>
      <c r="L199" t="str">
        <f>"0.00"</f>
        <v>0.00</v>
      </c>
      <c r="M199" t="str">
        <f>"0.00"</f>
        <v>0.00</v>
      </c>
      <c r="N199" t="str">
        <f t="shared" si="77"/>
        <v>0.00</v>
      </c>
      <c r="O199" t="str">
        <f>"300781"</f>
        <v>300781</v>
      </c>
      <c r="P199" t="str">
        <f>"0153613480"</f>
        <v>0153613480</v>
      </c>
    </row>
    <row r="200" spans="1:16" x14ac:dyDescent="0.25">
      <c r="A200" t="str">
        <f t="shared" si="73"/>
        <v>人民币</v>
      </c>
      <c r="B200" t="str">
        <f>"七一二"</f>
        <v>七一二</v>
      </c>
      <c r="C200" t="str">
        <f>"20190528"</f>
        <v>20190528</v>
      </c>
      <c r="D200" t="str">
        <f>"22.300"</f>
        <v>22.300</v>
      </c>
      <c r="E200" t="str">
        <f>"500.00"</f>
        <v>500.00</v>
      </c>
      <c r="F200" t="str">
        <f>"-11161.37"</f>
        <v>-11161.37</v>
      </c>
      <c r="G200" t="str">
        <f>"6853.07"</f>
        <v>6853.07</v>
      </c>
      <c r="H200" t="str">
        <f>"2500.00"</f>
        <v>2500.00</v>
      </c>
      <c r="I200" t="str">
        <f>"63"</f>
        <v>63</v>
      </c>
      <c r="J200" t="str">
        <f>"证券买入(七一二)"</f>
        <v>证券买入(七一二)</v>
      </c>
      <c r="K200" t="str">
        <f>"11.15"</f>
        <v>11.15</v>
      </c>
      <c r="L200" t="str">
        <f>"0.00"</f>
        <v>0.00</v>
      </c>
      <c r="M200" t="str">
        <f>"0.22"</f>
        <v>0.22</v>
      </c>
      <c r="N200" t="str">
        <f t="shared" si="77"/>
        <v>0.00</v>
      </c>
      <c r="O200" t="str">
        <f>"603712"</f>
        <v>603712</v>
      </c>
      <c r="P200" t="str">
        <f>"A400948245"</f>
        <v>A400948245</v>
      </c>
    </row>
    <row r="201" spans="1:16" x14ac:dyDescent="0.25">
      <c r="A201" t="str">
        <f t="shared" si="73"/>
        <v>人民币</v>
      </c>
      <c r="B201" t="str">
        <f>"中国人保"</f>
        <v>中国人保</v>
      </c>
      <c r="C201" t="str">
        <f>"20190528"</f>
        <v>20190528</v>
      </c>
      <c r="D201" t="str">
        <f>"8.460"</f>
        <v>8.460</v>
      </c>
      <c r="E201" t="str">
        <f>"-2000.00"</f>
        <v>-2000.00</v>
      </c>
      <c r="F201" t="str">
        <f>"16885.82"</f>
        <v>16885.82</v>
      </c>
      <c r="G201" t="str">
        <f>"18014.44"</f>
        <v>18014.44</v>
      </c>
      <c r="H201" t="str">
        <f>"0.00"</f>
        <v>0.00</v>
      </c>
      <c r="I201" t="str">
        <f>"60"</f>
        <v>60</v>
      </c>
      <c r="J201" t="str">
        <f>"证券卖出(中国人保)"</f>
        <v>证券卖出(中国人保)</v>
      </c>
      <c r="K201" t="str">
        <f>"16.92"</f>
        <v>16.92</v>
      </c>
      <c r="L201" t="str">
        <f>"16.92"</f>
        <v>16.92</v>
      </c>
      <c r="M201" t="str">
        <f>"0.34"</f>
        <v>0.34</v>
      </c>
      <c r="N201" t="str">
        <f t="shared" si="77"/>
        <v>0.00</v>
      </c>
      <c r="O201" t="str">
        <f>"601319"</f>
        <v>601319</v>
      </c>
      <c r="P201" t="str">
        <f>"A400948245"</f>
        <v>A400948245</v>
      </c>
    </row>
    <row r="202" spans="1:16" x14ac:dyDescent="0.25">
      <c r="A202" t="str">
        <f t="shared" si="73"/>
        <v>人民币</v>
      </c>
      <c r="B202" t="str">
        <f>"中通国脉"</f>
        <v>中通国脉</v>
      </c>
      <c r="C202" t="str">
        <f>"20190528"</f>
        <v>20190528</v>
      </c>
      <c r="D202" t="str">
        <f>"19.380"</f>
        <v>19.380</v>
      </c>
      <c r="E202" t="str">
        <f>"300.00"</f>
        <v>300.00</v>
      </c>
      <c r="F202" t="str">
        <f>"-5819.93"</f>
        <v>-5819.93</v>
      </c>
      <c r="G202" t="str">
        <f>"1128.62"</f>
        <v>1128.62</v>
      </c>
      <c r="H202" t="str">
        <f>"2400.00"</f>
        <v>2400.00</v>
      </c>
      <c r="I202" t="str">
        <f>"54"</f>
        <v>54</v>
      </c>
      <c r="J202" t="str">
        <f>"证券买入(中通国脉)"</f>
        <v>证券买入(中通国脉)</v>
      </c>
      <c r="K202" t="str">
        <f>"5.81"</f>
        <v>5.81</v>
      </c>
      <c r="L202" t="str">
        <f>"0.00"</f>
        <v>0.00</v>
      </c>
      <c r="M202" t="str">
        <f>"0.12"</f>
        <v>0.12</v>
      </c>
      <c r="N202" t="str">
        <f t="shared" si="77"/>
        <v>0.00</v>
      </c>
      <c r="O202" t="str">
        <f>"603559"</f>
        <v>603559</v>
      </c>
      <c r="P202" t="str">
        <f>"A400948245"</f>
        <v>A400948245</v>
      </c>
    </row>
    <row r="203" spans="1:16" x14ac:dyDescent="0.25">
      <c r="A203" t="str">
        <f t="shared" si="73"/>
        <v>人民币</v>
      </c>
      <c r="B203" t="str">
        <f>"丰乐种业"</f>
        <v>丰乐种业</v>
      </c>
      <c r="C203" t="str">
        <f>"20190529"</f>
        <v>20190529</v>
      </c>
      <c r="D203" t="str">
        <f>"11.390"</f>
        <v>11.390</v>
      </c>
      <c r="E203" t="str">
        <f>"600.00"</f>
        <v>600.00</v>
      </c>
      <c r="F203" t="str">
        <f>"-6840.83"</f>
        <v>-6840.83</v>
      </c>
      <c r="G203" t="str">
        <f>"5883.36"</f>
        <v>5883.36</v>
      </c>
      <c r="H203" t="str">
        <f>"600.00"</f>
        <v>600.00</v>
      </c>
      <c r="I203" t="str">
        <f>"79"</f>
        <v>79</v>
      </c>
      <c r="J203" t="str">
        <f>"证券买入(丰乐种业)"</f>
        <v>证券买入(丰乐种业)</v>
      </c>
      <c r="K203" t="str">
        <f>"6.83"</f>
        <v>6.83</v>
      </c>
      <c r="L203" t="str">
        <f>"0.00"</f>
        <v>0.00</v>
      </c>
      <c r="M203" t="str">
        <f>"0.00"</f>
        <v>0.00</v>
      </c>
      <c r="N203" t="str">
        <f t="shared" si="77"/>
        <v>0.00</v>
      </c>
      <c r="O203" t="str">
        <f>"000713"</f>
        <v>000713</v>
      </c>
      <c r="P203" t="str">
        <f>"0153613480"</f>
        <v>0153613480</v>
      </c>
    </row>
    <row r="204" spans="1:16" x14ac:dyDescent="0.25">
      <c r="A204" t="str">
        <f t="shared" si="73"/>
        <v>人民币</v>
      </c>
      <c r="B204" t="str">
        <f>"中通国脉"</f>
        <v>中通国脉</v>
      </c>
      <c r="C204" t="str">
        <f>"20190529"</f>
        <v>20190529</v>
      </c>
      <c r="D204" t="str">
        <f>"19.610"</f>
        <v>19.610</v>
      </c>
      <c r="E204" t="str">
        <f>"-300.00"</f>
        <v>-300.00</v>
      </c>
      <c r="F204" t="str">
        <f>"5871.12"</f>
        <v>5871.12</v>
      </c>
      <c r="G204" t="str">
        <f>"12724.19"</f>
        <v>12724.19</v>
      </c>
      <c r="H204" t="str">
        <f>"2100.00"</f>
        <v>2100.00</v>
      </c>
      <c r="I204" t="str">
        <f>"82"</f>
        <v>82</v>
      </c>
      <c r="J204" t="str">
        <f>"证券卖出(中通国脉)"</f>
        <v>证券卖出(中通国脉)</v>
      </c>
      <c r="K204" t="str">
        <f>"5.88"</f>
        <v>5.88</v>
      </c>
      <c r="L204" t="str">
        <f>"5.88"</f>
        <v>5.88</v>
      </c>
      <c r="M204" t="str">
        <f>"0.12"</f>
        <v>0.12</v>
      </c>
      <c r="N204" t="str">
        <f t="shared" si="77"/>
        <v>0.00</v>
      </c>
      <c r="O204" t="str">
        <f>"603559"</f>
        <v>603559</v>
      </c>
      <c r="P204" t="str">
        <f>"A400948245"</f>
        <v>A400948245</v>
      </c>
    </row>
    <row r="205" spans="1:16" x14ac:dyDescent="0.25">
      <c r="A205" t="str">
        <f t="shared" si="73"/>
        <v>人民币</v>
      </c>
      <c r="B205" t="str">
        <f>"丰乐种业"</f>
        <v>丰乐种业</v>
      </c>
      <c r="C205" t="str">
        <f>"20190530"</f>
        <v>20190530</v>
      </c>
      <c r="D205" t="str">
        <f>"13.780"</f>
        <v>13.780</v>
      </c>
      <c r="E205" t="str">
        <f>"-600.00"</f>
        <v>-600.00</v>
      </c>
      <c r="F205" t="str">
        <f>"8251.46"</f>
        <v>8251.46</v>
      </c>
      <c r="G205" t="str">
        <f>"14134.82"</f>
        <v>14134.82</v>
      </c>
      <c r="H205" t="str">
        <f>"0.00"</f>
        <v>0.00</v>
      </c>
      <c r="I205" t="str">
        <f>"87"</f>
        <v>87</v>
      </c>
      <c r="J205" t="str">
        <f>"证券卖出(丰乐种业)"</f>
        <v>证券卖出(丰乐种业)</v>
      </c>
      <c r="K205" t="str">
        <f>"8.27"</f>
        <v>8.27</v>
      </c>
      <c r="L205" t="str">
        <f>"8.27"</f>
        <v>8.27</v>
      </c>
      <c r="M205" t="str">
        <f>"0.00"</f>
        <v>0.00</v>
      </c>
      <c r="N205" t="str">
        <f t="shared" si="77"/>
        <v>0.00</v>
      </c>
      <c r="O205" t="str">
        <f>"000713"</f>
        <v>000713</v>
      </c>
      <c r="P205" t="str">
        <f>"0153613480"</f>
        <v>0153613480</v>
      </c>
    </row>
    <row r="206" spans="1:16" x14ac:dyDescent="0.25">
      <c r="A206" t="str">
        <f t="shared" si="73"/>
        <v>人民币</v>
      </c>
      <c r="B206" t="str">
        <f>"东方通信"</f>
        <v>东方通信</v>
      </c>
      <c r="C206" t="str">
        <f>"20190531"</f>
        <v>20190531</v>
      </c>
      <c r="D206" t="str">
        <f>"24.100"</f>
        <v>24.100</v>
      </c>
      <c r="E206" t="str">
        <f>"500.00"</f>
        <v>500.00</v>
      </c>
      <c r="F206" t="str">
        <f>"-12062.29"</f>
        <v>-12062.29</v>
      </c>
      <c r="G206" t="str">
        <f>"2072.53"</f>
        <v>2072.53</v>
      </c>
      <c r="H206" t="str">
        <f>"500.00"</f>
        <v>500.00</v>
      </c>
      <c r="I206" t="str">
        <f>"91"</f>
        <v>91</v>
      </c>
      <c r="J206" t="str">
        <f>"证券买入(东方通信)"</f>
        <v>证券买入(东方通信)</v>
      </c>
      <c r="K206" t="str">
        <f>"12.05"</f>
        <v>12.05</v>
      </c>
      <c r="L206" t="str">
        <f>"0.00"</f>
        <v>0.00</v>
      </c>
      <c r="M206" t="str">
        <f>"0.24"</f>
        <v>0.24</v>
      </c>
      <c r="N206" t="str">
        <f t="shared" si="77"/>
        <v>0.00</v>
      </c>
      <c r="O206" t="str">
        <f>"600776"</f>
        <v>600776</v>
      </c>
      <c r="P206" t="str">
        <f>"A400948245"</f>
        <v>A400948245</v>
      </c>
    </row>
    <row r="207" spans="1:16" x14ac:dyDescent="0.25">
      <c r="A207" t="str">
        <f t="shared" si="73"/>
        <v>人民币</v>
      </c>
      <c r="B207" t="str">
        <f>"东方通信"</f>
        <v>东方通信</v>
      </c>
      <c r="C207" t="str">
        <f>"20190603"</f>
        <v>20190603</v>
      </c>
      <c r="D207" t="str">
        <f>"25.490"</f>
        <v>25.490</v>
      </c>
      <c r="E207" t="str">
        <f>"-500.00"</f>
        <v>-500.00</v>
      </c>
      <c r="F207" t="str">
        <f>"12719.25"</f>
        <v>12719.25</v>
      </c>
      <c r="G207" t="str">
        <f>"14791.78"</f>
        <v>14791.78</v>
      </c>
      <c r="H207" t="str">
        <f>"0.00"</f>
        <v>0.00</v>
      </c>
      <c r="I207" t="str">
        <f>"96"</f>
        <v>96</v>
      </c>
      <c r="J207" t="str">
        <f>"证券卖出(东方通信)"</f>
        <v>证券卖出(东方通信)</v>
      </c>
      <c r="K207" t="str">
        <f>"12.75"</f>
        <v>12.75</v>
      </c>
      <c r="L207" t="str">
        <f>"12.75"</f>
        <v>12.75</v>
      </c>
      <c r="M207" t="str">
        <f>"0.25"</f>
        <v>0.25</v>
      </c>
      <c r="N207" t="str">
        <f t="shared" si="77"/>
        <v>0.00</v>
      </c>
      <c r="O207" t="str">
        <f>"600776"</f>
        <v>600776</v>
      </c>
      <c r="P207" t="str">
        <f>"A400948245"</f>
        <v>A400948245</v>
      </c>
    </row>
    <row r="208" spans="1:16" x14ac:dyDescent="0.25">
      <c r="A208" t="str">
        <f t="shared" si="73"/>
        <v>人民币</v>
      </c>
      <c r="B208" t="str">
        <f>"卓胜微"</f>
        <v>卓胜微</v>
      </c>
      <c r="C208" t="str">
        <f t="shared" ref="C208:C215" si="78">"20190604"</f>
        <v>20190604</v>
      </c>
      <c r="D208" t="str">
        <f>"0.000"</f>
        <v>0.000</v>
      </c>
      <c r="E208" t="str">
        <f>"2.00"</f>
        <v>2.00</v>
      </c>
      <c r="F208" t="str">
        <f>"0.00"</f>
        <v>0.00</v>
      </c>
      <c r="G208" t="str">
        <f>"905.27"</f>
        <v>905.27</v>
      </c>
      <c r="H208" t="str">
        <f>"0.00"</f>
        <v>0.00</v>
      </c>
      <c r="I208" t="str">
        <f>"115"</f>
        <v>115</v>
      </c>
      <c r="J208" t="str">
        <f>"申购配号(卓胜微)"</f>
        <v>申购配号(卓胜微)</v>
      </c>
      <c r="K208" t="str">
        <f t="shared" ref="K208:M209" si="79">"0.00"</f>
        <v>0.00</v>
      </c>
      <c r="L208" t="str">
        <f t="shared" si="79"/>
        <v>0.00</v>
      </c>
      <c r="M208" t="str">
        <f t="shared" si="79"/>
        <v>0.00</v>
      </c>
      <c r="N208" t="str">
        <f t="shared" si="77"/>
        <v>0.00</v>
      </c>
      <c r="O208" t="str">
        <f>"300782"</f>
        <v>300782</v>
      </c>
      <c r="P208" t="str">
        <f>"0153613480"</f>
        <v>0153613480</v>
      </c>
    </row>
    <row r="209" spans="1:16" x14ac:dyDescent="0.25">
      <c r="A209" t="str">
        <f t="shared" si="73"/>
        <v>人民币</v>
      </c>
      <c r="B209" t="str">
        <f>"国茂配号"</f>
        <v>国茂配号</v>
      </c>
      <c r="C209" t="str">
        <f t="shared" si="78"/>
        <v>20190604</v>
      </c>
      <c r="D209" t="str">
        <f>"0.000"</f>
        <v>0.000</v>
      </c>
      <c r="E209" t="str">
        <f>"13.00"</f>
        <v>13.00</v>
      </c>
      <c r="F209" t="str">
        <f>"0.00"</f>
        <v>0.00</v>
      </c>
      <c r="G209" t="str">
        <f>"8973.49"</f>
        <v>8973.49</v>
      </c>
      <c r="H209" t="str">
        <f>"0.00"</f>
        <v>0.00</v>
      </c>
      <c r="I209" t="str">
        <f>"113"</f>
        <v>113</v>
      </c>
      <c r="J209" t="str">
        <f>"申购配号(国茂配号)"</f>
        <v>申购配号(国茂配号)</v>
      </c>
      <c r="K209" t="str">
        <f t="shared" si="79"/>
        <v>0.00</v>
      </c>
      <c r="L209" t="str">
        <f t="shared" si="79"/>
        <v>0.00</v>
      </c>
      <c r="M209" t="str">
        <f t="shared" si="79"/>
        <v>0.00</v>
      </c>
      <c r="N209" t="str">
        <f t="shared" si="77"/>
        <v>0.00</v>
      </c>
      <c r="O209" t="str">
        <f>"736915"</f>
        <v>736915</v>
      </c>
      <c r="P209" t="str">
        <f t="shared" ref="P209:P214" si="80">"A400948245"</f>
        <v>A400948245</v>
      </c>
    </row>
    <row r="210" spans="1:16" x14ac:dyDescent="0.25">
      <c r="A210" t="str">
        <f t="shared" si="73"/>
        <v>人民币</v>
      </c>
      <c r="B210" t="str">
        <f>"七一二"</f>
        <v>七一二</v>
      </c>
      <c r="C210" t="str">
        <f t="shared" si="78"/>
        <v>20190604</v>
      </c>
      <c r="D210" t="str">
        <f>"20.150"</f>
        <v>20.150</v>
      </c>
      <c r="E210" t="str">
        <f>"400.00"</f>
        <v>400.00</v>
      </c>
      <c r="F210" t="str">
        <f>"-8068.22"</f>
        <v>-8068.22</v>
      </c>
      <c r="G210" t="str">
        <f>"905.27"</f>
        <v>905.27</v>
      </c>
      <c r="H210" t="str">
        <f>"3400.00"</f>
        <v>3400.00</v>
      </c>
      <c r="I210" t="str">
        <f>"126"</f>
        <v>126</v>
      </c>
      <c r="J210" t="str">
        <f>"证券买入(七一二)"</f>
        <v>证券买入(七一二)</v>
      </c>
      <c r="K210" t="str">
        <f>"8.06"</f>
        <v>8.06</v>
      </c>
      <c r="L210" t="str">
        <f>"0.00"</f>
        <v>0.00</v>
      </c>
      <c r="M210" t="str">
        <f>"0.16"</f>
        <v>0.16</v>
      </c>
      <c r="N210" t="str">
        <f t="shared" si="77"/>
        <v>0.00</v>
      </c>
      <c r="O210" t="str">
        <f>"603712"</f>
        <v>603712</v>
      </c>
      <c r="P210" t="str">
        <f t="shared" si="80"/>
        <v>A400948245</v>
      </c>
    </row>
    <row r="211" spans="1:16" x14ac:dyDescent="0.25">
      <c r="A211" t="str">
        <f t="shared" si="73"/>
        <v>人民币</v>
      </c>
      <c r="B211" t="str">
        <f>"国茂配号"</f>
        <v>国茂配号</v>
      </c>
      <c r="C211" t="str">
        <f t="shared" si="78"/>
        <v>20190604</v>
      </c>
      <c r="D211" t="str">
        <f>"0.000"</f>
        <v>0.000</v>
      </c>
      <c r="E211" t="str">
        <f>"0.00"</f>
        <v>0.00</v>
      </c>
      <c r="F211" t="str">
        <f>"0.00"</f>
        <v>0.00</v>
      </c>
      <c r="G211" t="str">
        <f>"905.27"</f>
        <v>905.27</v>
      </c>
      <c r="H211" t="str">
        <f>"0.00"</f>
        <v>0.00</v>
      </c>
      <c r="I211" t="str">
        <f>"121"</f>
        <v>121</v>
      </c>
      <c r="J211" t="str">
        <f>"申购配号(国茂配号)"</f>
        <v>申购配号(国茂配号)</v>
      </c>
      <c r="K211" t="str">
        <f>"0.00"</f>
        <v>0.00</v>
      </c>
      <c r="L211" t="str">
        <f>"0.00"</f>
        <v>0.00</v>
      </c>
      <c r="M211" t="str">
        <f>"0.00"</f>
        <v>0.00</v>
      </c>
      <c r="N211" t="str">
        <f t="shared" si="77"/>
        <v>0.00</v>
      </c>
      <c r="O211" t="str">
        <f>"736915"</f>
        <v>736915</v>
      </c>
      <c r="P211" t="str">
        <f t="shared" si="80"/>
        <v>A400948245</v>
      </c>
    </row>
    <row r="212" spans="1:16" x14ac:dyDescent="0.25">
      <c r="A212" t="str">
        <f t="shared" si="73"/>
        <v>人民币</v>
      </c>
      <c r="B212" t="str">
        <f>"国茂配号"</f>
        <v>国茂配号</v>
      </c>
      <c r="C212" t="str">
        <f t="shared" si="78"/>
        <v>20190604</v>
      </c>
      <c r="D212" t="str">
        <f>"0.000"</f>
        <v>0.000</v>
      </c>
      <c r="E212" t="str">
        <f>"0.00"</f>
        <v>0.00</v>
      </c>
      <c r="F212" t="str">
        <f>"0.00"</f>
        <v>0.00</v>
      </c>
      <c r="G212" t="str">
        <f>"905.27"</f>
        <v>905.27</v>
      </c>
      <c r="H212" t="str">
        <f>"0.00"</f>
        <v>0.00</v>
      </c>
      <c r="I212" t="str">
        <f>"117"</f>
        <v>117</v>
      </c>
      <c r="J212" t="str">
        <f>"申购配号(国茂配号)"</f>
        <v>申购配号(国茂配号)</v>
      </c>
      <c r="K212" t="str">
        <f>"0.00"</f>
        <v>0.00</v>
      </c>
      <c r="L212" t="str">
        <f>"0.00"</f>
        <v>0.00</v>
      </c>
      <c r="M212" t="str">
        <f>"0.00"</f>
        <v>0.00</v>
      </c>
      <c r="N212" t="str">
        <f t="shared" si="77"/>
        <v>0.00</v>
      </c>
      <c r="O212" t="str">
        <f>"736915"</f>
        <v>736915</v>
      </c>
      <c r="P212" t="str">
        <f t="shared" si="80"/>
        <v>A400948245</v>
      </c>
    </row>
    <row r="213" spans="1:16" x14ac:dyDescent="0.25">
      <c r="A213" t="str">
        <f t="shared" si="73"/>
        <v>人民币</v>
      </c>
      <c r="B213" t="str">
        <f>"七一二"</f>
        <v>七一二</v>
      </c>
      <c r="C213" t="str">
        <f t="shared" si="78"/>
        <v>20190604</v>
      </c>
      <c r="D213" t="str">
        <f>"20.280"</f>
        <v>20.280</v>
      </c>
      <c r="E213" t="str">
        <f>"500.00"</f>
        <v>500.00</v>
      </c>
      <c r="F213" t="str">
        <f>"-10150.34"</f>
        <v>-10150.34</v>
      </c>
      <c r="G213" t="str">
        <f>"8973.49"</f>
        <v>8973.49</v>
      </c>
      <c r="H213" t="str">
        <f>"3000.00"</f>
        <v>3000.00</v>
      </c>
      <c r="I213" t="str">
        <f>"109"</f>
        <v>109</v>
      </c>
      <c r="J213" t="str">
        <f>"证券买入(七一二)"</f>
        <v>证券买入(七一二)</v>
      </c>
      <c r="K213" t="str">
        <f>"10.14"</f>
        <v>10.14</v>
      </c>
      <c r="L213" t="str">
        <f>"0.00"</f>
        <v>0.00</v>
      </c>
      <c r="M213" t="str">
        <f>"0.20"</f>
        <v>0.20</v>
      </c>
      <c r="N213" t="str">
        <f t="shared" si="77"/>
        <v>0.00</v>
      </c>
      <c r="O213" t="str">
        <f>"603712"</f>
        <v>603712</v>
      </c>
      <c r="P213" t="str">
        <f t="shared" si="80"/>
        <v>A400948245</v>
      </c>
    </row>
    <row r="214" spans="1:16" x14ac:dyDescent="0.25">
      <c r="A214" t="str">
        <f t="shared" si="73"/>
        <v>人民币</v>
      </c>
      <c r="B214" t="str">
        <f>"中通国脉"</f>
        <v>中通国脉</v>
      </c>
      <c r="C214" t="str">
        <f t="shared" si="78"/>
        <v>20190604</v>
      </c>
      <c r="D214" t="str">
        <f>"22.710"</f>
        <v>22.710</v>
      </c>
      <c r="E214" t="str">
        <f>"-500.00"</f>
        <v>-500.00</v>
      </c>
      <c r="F214" t="str">
        <f>"11332.05"</f>
        <v>11332.05</v>
      </c>
      <c r="G214" t="str">
        <f>"19123.83"</f>
        <v>19123.83</v>
      </c>
      <c r="H214" t="str">
        <f>"1600.00"</f>
        <v>1600.00</v>
      </c>
      <c r="I214" t="str">
        <f>"100"</f>
        <v>100</v>
      </c>
      <c r="J214" t="str">
        <f>"证券卖出(中通国脉)"</f>
        <v>证券卖出(中通国脉)</v>
      </c>
      <c r="K214" t="str">
        <f>"11.36"</f>
        <v>11.36</v>
      </c>
      <c r="L214" t="str">
        <f>"11.36"</f>
        <v>11.36</v>
      </c>
      <c r="M214" t="str">
        <f>"0.23"</f>
        <v>0.23</v>
      </c>
      <c r="N214" t="str">
        <f t="shared" si="77"/>
        <v>0.00</v>
      </c>
      <c r="O214" t="str">
        <f>"603559"</f>
        <v>603559</v>
      </c>
      <c r="P214" t="str">
        <f t="shared" si="80"/>
        <v>A400948245</v>
      </c>
    </row>
    <row r="215" spans="1:16" x14ac:dyDescent="0.25">
      <c r="A215" t="str">
        <f t="shared" si="73"/>
        <v>人民币</v>
      </c>
      <c r="B215" t="str">
        <f>""</f>
        <v/>
      </c>
      <c r="C215" t="str">
        <f t="shared" si="78"/>
        <v>20190604</v>
      </c>
      <c r="D215" t="str">
        <f>"---"</f>
        <v>---</v>
      </c>
      <c r="E215" t="str">
        <f>"---"</f>
        <v>---</v>
      </c>
      <c r="F215" t="str">
        <f>"-7000.00"</f>
        <v>-7000.00</v>
      </c>
      <c r="G215" t="str">
        <f>"7791.78"</f>
        <v>7791.78</v>
      </c>
      <c r="H215" t="str">
        <f>"---"</f>
        <v>---</v>
      </c>
      <c r="I215" t="str">
        <f>"---"</f>
        <v>---</v>
      </c>
      <c r="J215" t="str">
        <f>"银行转取"</f>
        <v>银行转取</v>
      </c>
      <c r="K215" t="str">
        <f t="shared" ref="K215:P215" si="81">"---"</f>
        <v>---</v>
      </c>
      <c r="L215" t="str">
        <f t="shared" si="81"/>
        <v>---</v>
      </c>
      <c r="M215" t="str">
        <f t="shared" si="81"/>
        <v>---</v>
      </c>
      <c r="N215" t="str">
        <f t="shared" si="81"/>
        <v>---</v>
      </c>
      <c r="O215" t="str">
        <f t="shared" si="81"/>
        <v>---</v>
      </c>
      <c r="P215" t="str">
        <f t="shared" si="81"/>
        <v>---</v>
      </c>
    </row>
    <row r="216" spans="1:16" x14ac:dyDescent="0.25">
      <c r="A216" t="str">
        <f t="shared" si="73"/>
        <v>人民币</v>
      </c>
      <c r="B216" t="str">
        <f>"西麦食品"</f>
        <v>西麦食品</v>
      </c>
      <c r="C216" t="str">
        <f>"20190605"</f>
        <v>20190605</v>
      </c>
      <c r="D216" t="str">
        <f>"0.000"</f>
        <v>0.000</v>
      </c>
      <c r="E216" t="str">
        <f>"2.00"</f>
        <v>2.00</v>
      </c>
      <c r="F216" t="str">
        <f>"0.00"</f>
        <v>0.00</v>
      </c>
      <c r="G216" t="str">
        <f>"6598.20"</f>
        <v>6598.20</v>
      </c>
      <c r="H216" t="str">
        <f>"0.00"</f>
        <v>0.00</v>
      </c>
      <c r="I216" t="str">
        <f>"144"</f>
        <v>144</v>
      </c>
      <c r="J216" t="str">
        <f>"申购配号(西麦食品)"</f>
        <v>申购配号(西麦食品)</v>
      </c>
      <c r="K216" t="str">
        <f>"0.00"</f>
        <v>0.00</v>
      </c>
      <c r="L216" t="str">
        <f>"0.00"</f>
        <v>0.00</v>
      </c>
      <c r="M216" t="str">
        <f>"0.00"</f>
        <v>0.00</v>
      </c>
      <c r="N216" t="str">
        <f>"0.00"</f>
        <v>0.00</v>
      </c>
      <c r="O216" t="str">
        <f>"002956"</f>
        <v>002956</v>
      </c>
      <c r="P216" t="str">
        <f>"0153613480"</f>
        <v>0153613480</v>
      </c>
    </row>
    <row r="217" spans="1:16" x14ac:dyDescent="0.25">
      <c r="A217" t="str">
        <f t="shared" si="73"/>
        <v>人民币</v>
      </c>
      <c r="B217" t="str">
        <f>"吴通控股"</f>
        <v>吴通控股</v>
      </c>
      <c r="C217" t="str">
        <f>"20190605"</f>
        <v>20190605</v>
      </c>
      <c r="D217" t="str">
        <f>"7.870"</f>
        <v>7.870</v>
      </c>
      <c r="E217" t="str">
        <f>"1000.00"</f>
        <v>1000.00</v>
      </c>
      <c r="F217" t="str">
        <f>"-7877.87"</f>
        <v>-7877.87</v>
      </c>
      <c r="G217" t="str">
        <f>"6598.20"</f>
        <v>6598.20</v>
      </c>
      <c r="H217" t="str">
        <f>"1000.00"</f>
        <v>1000.00</v>
      </c>
      <c r="I217" t="str">
        <f>"141"</f>
        <v>141</v>
      </c>
      <c r="J217" t="str">
        <f>"证券买入(吴通控股)"</f>
        <v>证券买入(吴通控股)</v>
      </c>
      <c r="K217" t="str">
        <f>"7.87"</f>
        <v>7.87</v>
      </c>
      <c r="L217" t="str">
        <f>"0.00"</f>
        <v>0.00</v>
      </c>
      <c r="M217" t="str">
        <f>"0.00"</f>
        <v>0.00</v>
      </c>
      <c r="N217" t="str">
        <f>"0.00"</f>
        <v>0.00</v>
      </c>
      <c r="O217" t="str">
        <f>"300292"</f>
        <v>300292</v>
      </c>
      <c r="P217" t="str">
        <f>"0153613480"</f>
        <v>0153613480</v>
      </c>
    </row>
    <row r="218" spans="1:16" x14ac:dyDescent="0.25">
      <c r="A218" t="str">
        <f t="shared" si="73"/>
        <v>人民币</v>
      </c>
      <c r="B218" t="str">
        <f>"上海新阳"</f>
        <v>上海新阳</v>
      </c>
      <c r="C218" t="str">
        <f>"20190605"</f>
        <v>20190605</v>
      </c>
      <c r="D218" t="str">
        <f>"33.995"</f>
        <v>33.995</v>
      </c>
      <c r="E218" t="str">
        <f>"-400.00"</f>
        <v>-400.00</v>
      </c>
      <c r="F218" t="str">
        <f>"13570.80"</f>
        <v>13570.80</v>
      </c>
      <c r="G218" t="str">
        <f>"14476.07"</f>
        <v>14476.07</v>
      </c>
      <c r="H218" t="str">
        <f>"0.00"</f>
        <v>0.00</v>
      </c>
      <c r="I218" t="str">
        <f>"137"</f>
        <v>137</v>
      </c>
      <c r="J218" t="str">
        <f>"证券卖出(上海新阳)"</f>
        <v>证券卖出(上海新阳)</v>
      </c>
      <c r="K218" t="str">
        <f>"13.60"</f>
        <v>13.60</v>
      </c>
      <c r="L218" t="str">
        <f>"13.60"</f>
        <v>13.60</v>
      </c>
      <c r="M218" t="str">
        <f t="shared" ref="M218:N233" si="82">"0.00"</f>
        <v>0.00</v>
      </c>
      <c r="N218" t="str">
        <f t="shared" si="82"/>
        <v>0.00</v>
      </c>
      <c r="O218" t="str">
        <f>"300236"</f>
        <v>300236</v>
      </c>
      <c r="P218" t="str">
        <f>"0153613480"</f>
        <v>0153613480</v>
      </c>
    </row>
    <row r="219" spans="1:16" x14ac:dyDescent="0.25">
      <c r="A219" t="str">
        <f t="shared" si="73"/>
        <v>人民币</v>
      </c>
      <c r="B219" t="str">
        <f>"吴通控股"</f>
        <v>吴通控股</v>
      </c>
      <c r="C219" t="str">
        <f>"20190606"</f>
        <v>20190606</v>
      </c>
      <c r="D219" t="str">
        <f>"7.250"</f>
        <v>7.250</v>
      </c>
      <c r="E219" t="str">
        <f>"900.00"</f>
        <v>900.00</v>
      </c>
      <c r="F219" t="str">
        <f>"-6531.53"</f>
        <v>-6531.53</v>
      </c>
      <c r="G219" t="str">
        <f>"66.67"</f>
        <v>66.67</v>
      </c>
      <c r="H219" t="str">
        <f>"1900.00"</f>
        <v>1900.00</v>
      </c>
      <c r="I219" t="str">
        <f>"152"</f>
        <v>152</v>
      </c>
      <c r="J219" t="str">
        <f>"证券买入(吴通控股)"</f>
        <v>证券买入(吴通控股)</v>
      </c>
      <c r="K219" t="str">
        <f>"6.53"</f>
        <v>6.53</v>
      </c>
      <c r="L219" t="str">
        <f>"0.00"</f>
        <v>0.00</v>
      </c>
      <c r="M219" t="str">
        <f t="shared" si="82"/>
        <v>0.00</v>
      </c>
      <c r="N219" t="str">
        <f t="shared" si="82"/>
        <v>0.00</v>
      </c>
      <c r="O219" t="str">
        <f>"300292"</f>
        <v>300292</v>
      </c>
      <c r="P219" t="str">
        <f>"0153613480"</f>
        <v>0153613480</v>
      </c>
    </row>
    <row r="220" spans="1:16" x14ac:dyDescent="0.25">
      <c r="A220" t="str">
        <f t="shared" si="73"/>
        <v>人民币</v>
      </c>
      <c r="B220" t="str">
        <f>"松炀配号"</f>
        <v>松炀配号</v>
      </c>
      <c r="C220" t="str">
        <f>"20190611"</f>
        <v>20190611</v>
      </c>
      <c r="D220" t="str">
        <f>"0.000"</f>
        <v>0.000</v>
      </c>
      <c r="E220" t="str">
        <f>"13.00"</f>
        <v>13.00</v>
      </c>
      <c r="F220" t="str">
        <f>"0.00"</f>
        <v>0.00</v>
      </c>
      <c r="G220" t="str">
        <f>"66.67"</f>
        <v>66.67</v>
      </c>
      <c r="H220" t="str">
        <f>"0.00"</f>
        <v>0.00</v>
      </c>
      <c r="I220" t="str">
        <f>"157"</f>
        <v>157</v>
      </c>
      <c r="J220" t="str">
        <f>"申购配号(松炀配号)"</f>
        <v>申购配号(松炀配号)</v>
      </c>
      <c r="K220" t="str">
        <f>"0.00"</f>
        <v>0.00</v>
      </c>
      <c r="L220" t="str">
        <f>"0.00"</f>
        <v>0.00</v>
      </c>
      <c r="M220" t="str">
        <f t="shared" si="82"/>
        <v>0.00</v>
      </c>
      <c r="N220" t="str">
        <f t="shared" si="82"/>
        <v>0.00</v>
      </c>
      <c r="O220" t="str">
        <f>"736863"</f>
        <v>736863</v>
      </c>
      <c r="P220" t="str">
        <f>"A400948245"</f>
        <v>A400948245</v>
      </c>
    </row>
    <row r="221" spans="1:16" x14ac:dyDescent="0.25">
      <c r="A221" t="str">
        <f t="shared" si="73"/>
        <v>人民币</v>
      </c>
      <c r="B221" t="str">
        <f>"元利配号"</f>
        <v>元利配号</v>
      </c>
      <c r="C221" t="str">
        <f>"20190611"</f>
        <v>20190611</v>
      </c>
      <c r="D221" t="str">
        <f>"0.000"</f>
        <v>0.000</v>
      </c>
      <c r="E221" t="str">
        <f>"9.00"</f>
        <v>9.00</v>
      </c>
      <c r="F221" t="str">
        <f>"0.00"</f>
        <v>0.00</v>
      </c>
      <c r="G221" t="str">
        <f>"66.67"</f>
        <v>66.67</v>
      </c>
      <c r="H221" t="str">
        <f>"0.00"</f>
        <v>0.00</v>
      </c>
      <c r="I221" t="str">
        <f>"159"</f>
        <v>159</v>
      </c>
      <c r="J221" t="str">
        <f>"申购配号(元利配号)"</f>
        <v>申购配号(元利配号)</v>
      </c>
      <c r="K221" t="str">
        <f>"0.00"</f>
        <v>0.00</v>
      </c>
      <c r="L221" t="str">
        <f>"0.00"</f>
        <v>0.00</v>
      </c>
      <c r="M221" t="str">
        <f t="shared" si="82"/>
        <v>0.00</v>
      </c>
      <c r="N221" t="str">
        <f t="shared" si="82"/>
        <v>0.00</v>
      </c>
      <c r="O221" t="str">
        <f>"736217"</f>
        <v>736217</v>
      </c>
      <c r="P221" t="str">
        <f>"A400948245"</f>
        <v>A400948245</v>
      </c>
    </row>
    <row r="222" spans="1:16" x14ac:dyDescent="0.25">
      <c r="A222" t="str">
        <f t="shared" si="73"/>
        <v>人民币</v>
      </c>
      <c r="B222" t="str">
        <f>"朗进科技"</f>
        <v>朗进科技</v>
      </c>
      <c r="C222" t="str">
        <f>"20190612"</f>
        <v>20190612</v>
      </c>
      <c r="D222" t="str">
        <f>"0.000"</f>
        <v>0.000</v>
      </c>
      <c r="E222" t="str">
        <f>"2.00"</f>
        <v>2.00</v>
      </c>
      <c r="F222" t="str">
        <f>"0.00"</f>
        <v>0.00</v>
      </c>
      <c r="G222" t="str">
        <f>"6148.82"</f>
        <v>6148.82</v>
      </c>
      <c r="H222" t="str">
        <f>"0.00"</f>
        <v>0.00</v>
      </c>
      <c r="I222" t="str">
        <f>"169"</f>
        <v>169</v>
      </c>
      <c r="J222" t="str">
        <f>"申购配号(朗进科技)"</f>
        <v>申购配号(朗进科技)</v>
      </c>
      <c r="K222" t="str">
        <f>"0.00"</f>
        <v>0.00</v>
      </c>
      <c r="L222" t="str">
        <f>"0.00"</f>
        <v>0.00</v>
      </c>
      <c r="M222" t="str">
        <f t="shared" si="82"/>
        <v>0.00</v>
      </c>
      <c r="N222" t="str">
        <f t="shared" si="82"/>
        <v>0.00</v>
      </c>
      <c r="O222" t="str">
        <f>"300594"</f>
        <v>300594</v>
      </c>
      <c r="P222" t="str">
        <f>"0153613480"</f>
        <v>0153613480</v>
      </c>
    </row>
    <row r="223" spans="1:16" x14ac:dyDescent="0.25">
      <c r="A223" t="str">
        <f t="shared" si="73"/>
        <v>人民币</v>
      </c>
      <c r="B223" t="str">
        <f>"吴通控股"</f>
        <v>吴通控股</v>
      </c>
      <c r="C223" t="str">
        <f>"20190612"</f>
        <v>20190612</v>
      </c>
      <c r="D223" t="str">
        <f>"7.900"</f>
        <v>7.900</v>
      </c>
      <c r="E223" t="str">
        <f>"-1000.00"</f>
        <v>-1000.00</v>
      </c>
      <c r="F223" t="str">
        <f>"7884.20"</f>
        <v>7884.20</v>
      </c>
      <c r="G223" t="str">
        <f>"6148.82"</f>
        <v>6148.82</v>
      </c>
      <c r="H223" t="str">
        <f>"0.00"</f>
        <v>0.00</v>
      </c>
      <c r="I223" t="str">
        <f>"174"</f>
        <v>174</v>
      </c>
      <c r="J223" t="str">
        <f>"证券卖出(吴通控股)"</f>
        <v>证券卖出(吴通控股)</v>
      </c>
      <c r="K223" t="str">
        <f>"7.90"</f>
        <v>7.90</v>
      </c>
      <c r="L223" t="str">
        <f>"7.90"</f>
        <v>7.90</v>
      </c>
      <c r="M223" t="str">
        <f t="shared" si="82"/>
        <v>0.00</v>
      </c>
      <c r="N223" t="str">
        <f t="shared" si="82"/>
        <v>0.00</v>
      </c>
      <c r="O223" t="str">
        <f>"300292"</f>
        <v>300292</v>
      </c>
      <c r="P223" t="str">
        <f>"0153613480"</f>
        <v>0153613480</v>
      </c>
    </row>
    <row r="224" spans="1:16" x14ac:dyDescent="0.25">
      <c r="A224" t="str">
        <f t="shared" si="73"/>
        <v>人民币</v>
      </c>
      <c r="B224" t="str">
        <f>"吴通控股"</f>
        <v>吴通控股</v>
      </c>
      <c r="C224" t="str">
        <f>"20190612"</f>
        <v>20190612</v>
      </c>
      <c r="D224" t="str">
        <f>"7.810"</f>
        <v>7.810</v>
      </c>
      <c r="E224" t="str">
        <f>"-900.00"</f>
        <v>-900.00</v>
      </c>
      <c r="F224" t="str">
        <f>"7014.94"</f>
        <v>7014.94</v>
      </c>
      <c r="G224" t="str">
        <f>"-1735.38"</f>
        <v>-1735.38</v>
      </c>
      <c r="H224" t="str">
        <f>"1000.00"</f>
        <v>1000.00</v>
      </c>
      <c r="I224" t="str">
        <f>"166"</f>
        <v>166</v>
      </c>
      <c r="J224" t="str">
        <f>"证券卖出(吴通控股)"</f>
        <v>证券卖出(吴通控股)</v>
      </c>
      <c r="K224" t="str">
        <f>"7.03"</f>
        <v>7.03</v>
      </c>
      <c r="L224" t="str">
        <f>"7.03"</f>
        <v>7.03</v>
      </c>
      <c r="M224" t="str">
        <f t="shared" si="82"/>
        <v>0.00</v>
      </c>
      <c r="N224" t="str">
        <f t="shared" si="82"/>
        <v>0.00</v>
      </c>
      <c r="O224" t="str">
        <f>"300292"</f>
        <v>300292</v>
      </c>
      <c r="P224" t="str">
        <f>"0153613480"</f>
        <v>0153613480</v>
      </c>
    </row>
    <row r="225" spans="1:16" x14ac:dyDescent="0.25">
      <c r="A225" t="str">
        <f t="shared" si="73"/>
        <v>人民币</v>
      </c>
      <c r="B225" t="str">
        <f>"中通国脉"</f>
        <v>中通国脉</v>
      </c>
      <c r="C225" t="str">
        <f>"20190612"</f>
        <v>20190612</v>
      </c>
      <c r="D225" t="str">
        <f>"22.020"</f>
        <v>22.020</v>
      </c>
      <c r="E225" t="str">
        <f>"400.00"</f>
        <v>400.00</v>
      </c>
      <c r="F225" t="str">
        <f>"-8816.99"</f>
        <v>-8816.99</v>
      </c>
      <c r="G225" t="str">
        <f>"-8750.32"</f>
        <v>-8750.32</v>
      </c>
      <c r="H225" t="str">
        <f>"2000.00"</f>
        <v>2000.00</v>
      </c>
      <c r="I225" t="str">
        <f>"177"</f>
        <v>177</v>
      </c>
      <c r="J225" t="str">
        <f>"证券买入(中通国脉)"</f>
        <v>证券买入(中通国脉)</v>
      </c>
      <c r="K225" t="str">
        <f>"8.81"</f>
        <v>8.81</v>
      </c>
      <c r="L225" t="str">
        <f>"0.00"</f>
        <v>0.00</v>
      </c>
      <c r="M225" t="str">
        <f>"0.18"</f>
        <v>0.18</v>
      </c>
      <c r="N225" t="str">
        <f t="shared" si="82"/>
        <v>0.00</v>
      </c>
      <c r="O225" t="str">
        <f>"603559"</f>
        <v>603559</v>
      </c>
      <c r="P225" t="str">
        <f>"A400948245"</f>
        <v>A400948245</v>
      </c>
    </row>
    <row r="226" spans="1:16" x14ac:dyDescent="0.25">
      <c r="A226" t="str">
        <f t="shared" si="73"/>
        <v>人民币</v>
      </c>
      <c r="B226" t="str">
        <f>"七一二"</f>
        <v>七一二</v>
      </c>
      <c r="C226" t="str">
        <f>"20190613"</f>
        <v>20190613</v>
      </c>
      <c r="D226" t="str">
        <f>"23.960"</f>
        <v>23.960</v>
      </c>
      <c r="E226" t="str">
        <f>"-1000.00"</f>
        <v>-1000.00</v>
      </c>
      <c r="F226" t="str">
        <f>"23911.60"</f>
        <v>23911.60</v>
      </c>
      <c r="G226" t="str">
        <f>"87482.19"</f>
        <v>87482.19</v>
      </c>
      <c r="H226" t="str">
        <f>"0.00"</f>
        <v>0.00</v>
      </c>
      <c r="I226" t="str">
        <f>"194"</f>
        <v>194</v>
      </c>
      <c r="J226" t="str">
        <f>"证券卖出(七一二)"</f>
        <v>证券卖出(七一二)</v>
      </c>
      <c r="K226" t="str">
        <f>"23.96"</f>
        <v>23.96</v>
      </c>
      <c r="L226" t="str">
        <f>"23.96"</f>
        <v>23.96</v>
      </c>
      <c r="M226" t="str">
        <f>"0.48"</f>
        <v>0.48</v>
      </c>
      <c r="N226" t="str">
        <f t="shared" si="82"/>
        <v>0.00</v>
      </c>
      <c r="O226" t="str">
        <f>"603712"</f>
        <v>603712</v>
      </c>
      <c r="P226" t="str">
        <f>"A400948245"</f>
        <v>A400948245</v>
      </c>
    </row>
    <row r="227" spans="1:16" x14ac:dyDescent="0.25">
      <c r="A227" t="str">
        <f t="shared" si="73"/>
        <v>人民币</v>
      </c>
      <c r="B227" t="str">
        <f>"七一二"</f>
        <v>七一二</v>
      </c>
      <c r="C227" t="str">
        <f>"20190613"</f>
        <v>20190613</v>
      </c>
      <c r="D227" t="str">
        <f>"23.910"</f>
        <v>23.910</v>
      </c>
      <c r="E227" t="str">
        <f>"-1000.00"</f>
        <v>-1000.00</v>
      </c>
      <c r="F227" t="str">
        <f>"23861.70"</f>
        <v>23861.70</v>
      </c>
      <c r="G227" t="str">
        <f>"63570.59"</f>
        <v>63570.59</v>
      </c>
      <c r="H227" t="str">
        <f>"1000.00"</f>
        <v>1000.00</v>
      </c>
      <c r="I227" t="str">
        <f>"190"</f>
        <v>190</v>
      </c>
      <c r="J227" t="str">
        <f>"证券卖出(七一二)"</f>
        <v>证券卖出(七一二)</v>
      </c>
      <c r="K227" t="str">
        <f>"23.91"</f>
        <v>23.91</v>
      </c>
      <c r="L227" t="str">
        <f>"23.91"</f>
        <v>23.91</v>
      </c>
      <c r="M227" t="str">
        <f>"0.48"</f>
        <v>0.48</v>
      </c>
      <c r="N227" t="str">
        <f t="shared" si="82"/>
        <v>0.00</v>
      </c>
      <c r="O227" t="str">
        <f>"603712"</f>
        <v>603712</v>
      </c>
      <c r="P227" t="str">
        <f>"A400948245"</f>
        <v>A400948245</v>
      </c>
    </row>
    <row r="228" spans="1:16" x14ac:dyDescent="0.25">
      <c r="A228" t="str">
        <f t="shared" si="73"/>
        <v>人民币</v>
      </c>
      <c r="B228" t="str">
        <f>"七一二"</f>
        <v>七一二</v>
      </c>
      <c r="C228" t="str">
        <f>"20190613"</f>
        <v>20190613</v>
      </c>
      <c r="D228" t="str">
        <f>"24.020"</f>
        <v>24.020</v>
      </c>
      <c r="E228" t="str">
        <f>"-1400.00"</f>
        <v>-1400.00</v>
      </c>
      <c r="F228" t="str">
        <f>"33560.07"</f>
        <v>33560.07</v>
      </c>
      <c r="G228" t="str">
        <f>"39708.89"</f>
        <v>39708.89</v>
      </c>
      <c r="H228" t="str">
        <f>"2000.00"</f>
        <v>2000.00</v>
      </c>
      <c r="I228" t="str">
        <f>"187"</f>
        <v>187</v>
      </c>
      <c r="J228" t="str">
        <f>"证券卖出(七一二)"</f>
        <v>证券卖出(七一二)</v>
      </c>
      <c r="K228" t="str">
        <f>"33.63"</f>
        <v>33.63</v>
      </c>
      <c r="L228" t="str">
        <f>"33.63"</f>
        <v>33.63</v>
      </c>
      <c r="M228" t="str">
        <f>"0.67"</f>
        <v>0.67</v>
      </c>
      <c r="N228" t="str">
        <f t="shared" si="82"/>
        <v>0.00</v>
      </c>
      <c r="O228" t="str">
        <f>"603712"</f>
        <v>603712</v>
      </c>
      <c r="P228" t="str">
        <f>"A400948245"</f>
        <v>A400948245</v>
      </c>
    </row>
    <row r="229" spans="1:16" x14ac:dyDescent="0.25">
      <c r="A229" t="str">
        <f t="shared" si="73"/>
        <v>人民币</v>
      </c>
      <c r="B229" t="str">
        <f>"凯龙股份"</f>
        <v>凯龙股份</v>
      </c>
      <c r="C229" t="str">
        <f t="shared" ref="C229:C234" si="83">"20190614"</f>
        <v>20190614</v>
      </c>
      <c r="D229" t="str">
        <f>"13.770"</f>
        <v>13.770</v>
      </c>
      <c r="E229" t="str">
        <f>"500.00"</f>
        <v>500.00</v>
      </c>
      <c r="F229" t="str">
        <f>"-6891.89"</f>
        <v>-6891.89</v>
      </c>
      <c r="G229" t="str">
        <f>"38075.20"</f>
        <v>38075.20</v>
      </c>
      <c r="H229" t="str">
        <f>"2500.00"</f>
        <v>2500.00</v>
      </c>
      <c r="I229" t="str">
        <f>"221"</f>
        <v>221</v>
      </c>
      <c r="J229" t="str">
        <f>"证券买入(凯龙股份)"</f>
        <v>证券买入(凯龙股份)</v>
      </c>
      <c r="K229" t="str">
        <f>"6.89"</f>
        <v>6.89</v>
      </c>
      <c r="L229" t="str">
        <f t="shared" ref="L229:M232" si="84">"0.00"</f>
        <v>0.00</v>
      </c>
      <c r="M229" t="str">
        <f t="shared" si="84"/>
        <v>0.00</v>
      </c>
      <c r="N229" t="str">
        <f t="shared" si="82"/>
        <v>0.00</v>
      </c>
      <c r="O229" t="str">
        <f>"002783"</f>
        <v>002783</v>
      </c>
      <c r="P229" t="str">
        <f>"0153613480"</f>
        <v>0153613480</v>
      </c>
    </row>
    <row r="230" spans="1:16" x14ac:dyDescent="0.25">
      <c r="A230" t="str">
        <f t="shared" si="73"/>
        <v>人民币</v>
      </c>
      <c r="B230" t="str">
        <f>"凯龙股份"</f>
        <v>凯龙股份</v>
      </c>
      <c r="C230" t="str">
        <f t="shared" si="83"/>
        <v>20190614</v>
      </c>
      <c r="D230" t="str">
        <f>"14.164"</f>
        <v>14.164</v>
      </c>
      <c r="E230" t="str">
        <f>"1000.00"</f>
        <v>1000.00</v>
      </c>
      <c r="F230" t="str">
        <f>"-14177.96"</f>
        <v>-14177.96</v>
      </c>
      <c r="G230" t="str">
        <f>"44967.09"</f>
        <v>44967.09</v>
      </c>
      <c r="H230" t="str">
        <f>"2000.00"</f>
        <v>2000.00</v>
      </c>
      <c r="I230" t="str">
        <f>"212"</f>
        <v>212</v>
      </c>
      <c r="J230" t="str">
        <f>"证券买入(凯龙股份)"</f>
        <v>证券买入(凯龙股份)</v>
      </c>
      <c r="K230" t="str">
        <f>"14.16"</f>
        <v>14.16</v>
      </c>
      <c r="L230" t="str">
        <f t="shared" si="84"/>
        <v>0.00</v>
      </c>
      <c r="M230" t="str">
        <f t="shared" si="84"/>
        <v>0.00</v>
      </c>
      <c r="N230" t="str">
        <f t="shared" si="82"/>
        <v>0.00</v>
      </c>
      <c r="O230" t="str">
        <f>"002783"</f>
        <v>002783</v>
      </c>
      <c r="P230" t="str">
        <f>"0153613480"</f>
        <v>0153613480</v>
      </c>
    </row>
    <row r="231" spans="1:16" x14ac:dyDescent="0.25">
      <c r="A231" t="str">
        <f t="shared" si="73"/>
        <v>人民币</v>
      </c>
      <c r="B231" t="str">
        <f>"凯龙股份"</f>
        <v>凯龙股份</v>
      </c>
      <c r="C231" t="str">
        <f t="shared" si="83"/>
        <v>20190614</v>
      </c>
      <c r="D231" t="str">
        <f>"14.050"</f>
        <v>14.050</v>
      </c>
      <c r="E231" t="str">
        <f>"1000.00"</f>
        <v>1000.00</v>
      </c>
      <c r="F231" t="str">
        <f>"-14064.05"</f>
        <v>-14064.05</v>
      </c>
      <c r="G231" t="str">
        <f>"59145.05"</f>
        <v>59145.05</v>
      </c>
      <c r="H231" t="str">
        <f>"1000.00"</f>
        <v>1000.00</v>
      </c>
      <c r="I231" t="str">
        <f>"200"</f>
        <v>200</v>
      </c>
      <c r="J231" t="str">
        <f>"证券买入(凯龙股份)"</f>
        <v>证券买入(凯龙股份)</v>
      </c>
      <c r="K231" t="str">
        <f>"14.05"</f>
        <v>14.05</v>
      </c>
      <c r="L231" t="str">
        <f t="shared" si="84"/>
        <v>0.00</v>
      </c>
      <c r="M231" t="str">
        <f t="shared" si="84"/>
        <v>0.00</v>
      </c>
      <c r="N231" t="str">
        <f t="shared" si="82"/>
        <v>0.00</v>
      </c>
      <c r="O231" t="str">
        <f>"002783"</f>
        <v>002783</v>
      </c>
      <c r="P231" t="str">
        <f>"0153613480"</f>
        <v>0153613480</v>
      </c>
    </row>
    <row r="232" spans="1:16" x14ac:dyDescent="0.25">
      <c r="A232" t="str">
        <f t="shared" si="73"/>
        <v>人民币</v>
      </c>
      <c r="B232" t="str">
        <f>"海油配号"</f>
        <v>海油配号</v>
      </c>
      <c r="C232" t="str">
        <f t="shared" si="83"/>
        <v>20190614</v>
      </c>
      <c r="D232" t="str">
        <f>"0.000"</f>
        <v>0.000</v>
      </c>
      <c r="E232" t="str">
        <f>"13.00"</f>
        <v>13.00</v>
      </c>
      <c r="F232" t="str">
        <f>"0.00"</f>
        <v>0.00</v>
      </c>
      <c r="G232" t="str">
        <f>"77482.19"</f>
        <v>77482.19</v>
      </c>
      <c r="H232" t="str">
        <f>"0.00"</f>
        <v>0.00</v>
      </c>
      <c r="I232" t="str">
        <f>"206"</f>
        <v>206</v>
      </c>
      <c r="J232" t="str">
        <f>"申购配号(海油配号)"</f>
        <v>申购配号(海油配号)</v>
      </c>
      <c r="K232" t="str">
        <f>"0.00"</f>
        <v>0.00</v>
      </c>
      <c r="L232" t="str">
        <f t="shared" si="84"/>
        <v>0.00</v>
      </c>
      <c r="M232" t="str">
        <f t="shared" si="84"/>
        <v>0.00</v>
      </c>
      <c r="N232" t="str">
        <f t="shared" si="82"/>
        <v>0.00</v>
      </c>
      <c r="O232" t="str">
        <f>"741968"</f>
        <v>741968</v>
      </c>
      <c r="P232" t="str">
        <f>"A400948245"</f>
        <v>A400948245</v>
      </c>
    </row>
    <row r="233" spans="1:16" x14ac:dyDescent="0.25">
      <c r="A233" t="str">
        <f t="shared" si="73"/>
        <v>人民币</v>
      </c>
      <c r="B233" t="str">
        <f>"中通国脉"</f>
        <v>中通国脉</v>
      </c>
      <c r="C233" t="str">
        <f t="shared" si="83"/>
        <v>20190614</v>
      </c>
      <c r="D233" t="str">
        <f>"21.340"</f>
        <v>21.340</v>
      </c>
      <c r="E233" t="str">
        <f>"200.00"</f>
        <v>200.00</v>
      </c>
      <c r="F233" t="str">
        <f>"-4273.09"</f>
        <v>-4273.09</v>
      </c>
      <c r="G233" t="str">
        <f>"73209.10"</f>
        <v>73209.10</v>
      </c>
      <c r="H233" t="str">
        <f>"2200.00"</f>
        <v>2200.00</v>
      </c>
      <c r="I233" t="str">
        <f>"204"</f>
        <v>204</v>
      </c>
      <c r="J233" t="str">
        <f>"证券买入(中通国脉)"</f>
        <v>证券买入(中通国脉)</v>
      </c>
      <c r="K233" t="str">
        <f>"5.00"</f>
        <v>5.00</v>
      </c>
      <c r="L233" t="str">
        <f>"0.00"</f>
        <v>0.00</v>
      </c>
      <c r="M233" t="str">
        <f>"0.09"</f>
        <v>0.09</v>
      </c>
      <c r="N233" t="str">
        <f t="shared" si="82"/>
        <v>0.00</v>
      </c>
      <c r="O233" t="str">
        <f>"603559"</f>
        <v>603559</v>
      </c>
      <c r="P233" t="str">
        <f>"A400948245"</f>
        <v>A400948245</v>
      </c>
    </row>
    <row r="234" spans="1:16" x14ac:dyDescent="0.25">
      <c r="A234" t="str">
        <f t="shared" si="73"/>
        <v>人民币</v>
      </c>
      <c r="B234" t="str">
        <f>""</f>
        <v/>
      </c>
      <c r="C234" t="str">
        <f t="shared" si="83"/>
        <v>20190614</v>
      </c>
      <c r="D234" t="str">
        <f>"---"</f>
        <v>---</v>
      </c>
      <c r="E234" t="str">
        <f>"---"</f>
        <v>---</v>
      </c>
      <c r="F234" t="str">
        <f>"-10000.00"</f>
        <v>-10000.00</v>
      </c>
      <c r="G234" t="str">
        <f>"77482.19"</f>
        <v>77482.19</v>
      </c>
      <c r="H234" t="str">
        <f>"---"</f>
        <v>---</v>
      </c>
      <c r="I234" t="str">
        <f>"---"</f>
        <v>---</v>
      </c>
      <c r="J234" t="str">
        <f>"银行转取"</f>
        <v>银行转取</v>
      </c>
      <c r="K234" t="str">
        <f t="shared" ref="K234:P234" si="85">"---"</f>
        <v>---</v>
      </c>
      <c r="L234" t="str">
        <f t="shared" si="85"/>
        <v>---</v>
      </c>
      <c r="M234" t="str">
        <f t="shared" si="85"/>
        <v>---</v>
      </c>
      <c r="N234" t="str">
        <f t="shared" si="85"/>
        <v>---</v>
      </c>
      <c r="O234" t="str">
        <f t="shared" si="85"/>
        <v>---</v>
      </c>
      <c r="P234" t="str">
        <f t="shared" si="85"/>
        <v>---</v>
      </c>
    </row>
    <row r="235" spans="1:16" x14ac:dyDescent="0.25">
      <c r="A235" t="str">
        <f t="shared" si="73"/>
        <v>人民币</v>
      </c>
      <c r="B235" t="str">
        <f>"凯龙股份"</f>
        <v>凯龙股份</v>
      </c>
      <c r="C235" t="str">
        <f>"20190617"</f>
        <v>20190617</v>
      </c>
      <c r="D235" t="str">
        <f>"13.100"</f>
        <v>13.100</v>
      </c>
      <c r="E235" t="str">
        <f>"500.00"</f>
        <v>500.00</v>
      </c>
      <c r="F235" t="str">
        <f>"-6556.55"</f>
        <v>-6556.55</v>
      </c>
      <c r="G235" t="str">
        <f>"31518.65"</f>
        <v>31518.65</v>
      </c>
      <c r="H235" t="str">
        <f>"3000.00"</f>
        <v>3000.00</v>
      </c>
      <c r="I235" t="str">
        <f>"234"</f>
        <v>234</v>
      </c>
      <c r="J235" t="str">
        <f>"证券买入(凯龙股份)"</f>
        <v>证券买入(凯龙股份)</v>
      </c>
      <c r="K235" t="str">
        <f>"6.55"</f>
        <v>6.55</v>
      </c>
      <c r="L235" t="str">
        <f t="shared" ref="L235:N241" si="86">"0.00"</f>
        <v>0.00</v>
      </c>
      <c r="M235" t="str">
        <f t="shared" si="86"/>
        <v>0.00</v>
      </c>
      <c r="N235" t="str">
        <f t="shared" si="86"/>
        <v>0.00</v>
      </c>
      <c r="O235" t="str">
        <f>"002783"</f>
        <v>002783</v>
      </c>
      <c r="P235" t="str">
        <f>"0153613480"</f>
        <v>0153613480</v>
      </c>
    </row>
    <row r="236" spans="1:16" x14ac:dyDescent="0.25">
      <c r="A236" t="str">
        <f t="shared" si="73"/>
        <v>人民币</v>
      </c>
      <c r="B236" t="str">
        <f>"新化配号"</f>
        <v>新化配号</v>
      </c>
      <c r="C236" t="str">
        <f>"20190617"</f>
        <v>20190617</v>
      </c>
      <c r="D236" t="str">
        <f>"0.000"</f>
        <v>0.000</v>
      </c>
      <c r="E236" t="str">
        <f>"13.00"</f>
        <v>13.00</v>
      </c>
      <c r="F236" t="str">
        <f>"0.00"</f>
        <v>0.00</v>
      </c>
      <c r="G236" t="str">
        <f>"38075.20"</f>
        <v>38075.20</v>
      </c>
      <c r="H236" t="str">
        <f>"0.00"</f>
        <v>0.00</v>
      </c>
      <c r="I236" t="str">
        <f>"232"</f>
        <v>232</v>
      </c>
      <c r="J236" t="str">
        <f>"申购配号(新化配号)"</f>
        <v>申购配号(新化配号)</v>
      </c>
      <c r="K236" t="str">
        <f>"0.00"</f>
        <v>0.00</v>
      </c>
      <c r="L236" t="str">
        <f t="shared" si="86"/>
        <v>0.00</v>
      </c>
      <c r="M236" t="str">
        <f t="shared" si="86"/>
        <v>0.00</v>
      </c>
      <c r="N236" t="str">
        <f t="shared" si="86"/>
        <v>0.00</v>
      </c>
      <c r="O236" t="str">
        <f>"736867"</f>
        <v>736867</v>
      </c>
      <c r="P236" t="str">
        <f>"A400948245"</f>
        <v>A400948245</v>
      </c>
    </row>
    <row r="237" spans="1:16" x14ac:dyDescent="0.25">
      <c r="A237" t="str">
        <f t="shared" si="73"/>
        <v>人民币</v>
      </c>
      <c r="B237" t="str">
        <f>"凯龙股份"</f>
        <v>凯龙股份</v>
      </c>
      <c r="C237" t="str">
        <f>"20190618"</f>
        <v>20190618</v>
      </c>
      <c r="D237" t="str">
        <f>"12.760"</f>
        <v>12.760</v>
      </c>
      <c r="E237" t="str">
        <f>"-800.00"</f>
        <v>-800.00</v>
      </c>
      <c r="F237" t="str">
        <f>"10187.58"</f>
        <v>10187.58</v>
      </c>
      <c r="G237" t="str">
        <f>"31744.28"</f>
        <v>31744.28</v>
      </c>
      <c r="H237" t="str">
        <f>"3000.00"</f>
        <v>3000.00</v>
      </c>
      <c r="I237" t="str">
        <f>"6"</f>
        <v>6</v>
      </c>
      <c r="J237" t="str">
        <f>"证券卖出(凯龙股份)"</f>
        <v>证券卖出(凯龙股份)</v>
      </c>
      <c r="K237" t="str">
        <f>"10.21"</f>
        <v>10.21</v>
      </c>
      <c r="L237" t="str">
        <f>"10.21"</f>
        <v>10.21</v>
      </c>
      <c r="M237" t="str">
        <f t="shared" si="86"/>
        <v>0.00</v>
      </c>
      <c r="N237" t="str">
        <f t="shared" si="86"/>
        <v>0.00</v>
      </c>
      <c r="O237" t="str">
        <f>"002783"</f>
        <v>002783</v>
      </c>
      <c r="P237" t="str">
        <f>"0153613480"</f>
        <v>0153613480</v>
      </c>
    </row>
    <row r="238" spans="1:16" x14ac:dyDescent="0.25">
      <c r="A238" t="str">
        <f t="shared" si="73"/>
        <v>人民币</v>
      </c>
      <c r="B238" t="str">
        <f>"凯龙股份"</f>
        <v>凯龙股份</v>
      </c>
      <c r="C238" t="str">
        <f>"20190618"</f>
        <v>20190618</v>
      </c>
      <c r="D238" t="str">
        <f>"12.440"</f>
        <v>12.440</v>
      </c>
      <c r="E238" t="str">
        <f>"800.00"</f>
        <v>800.00</v>
      </c>
      <c r="F238" t="str">
        <f>"-9961.95"</f>
        <v>-9961.95</v>
      </c>
      <c r="G238" t="str">
        <f>"21556.70"</f>
        <v>21556.70</v>
      </c>
      <c r="H238" t="str">
        <f>"3800.00"</f>
        <v>3800.00</v>
      </c>
      <c r="I238" t="str">
        <f>"3"</f>
        <v>3</v>
      </c>
      <c r="J238" t="str">
        <f>"证券买入(凯龙股份)"</f>
        <v>证券买入(凯龙股份)</v>
      </c>
      <c r="K238" t="str">
        <f>"9.95"</f>
        <v>9.95</v>
      </c>
      <c r="L238" t="str">
        <f t="shared" ref="L238:L243" si="87">"0.00"</f>
        <v>0.00</v>
      </c>
      <c r="M238" t="str">
        <f t="shared" si="86"/>
        <v>0.00</v>
      </c>
      <c r="N238" t="str">
        <f t="shared" si="86"/>
        <v>0.00</v>
      </c>
      <c r="O238" t="str">
        <f>"002783"</f>
        <v>002783</v>
      </c>
      <c r="P238" t="str">
        <f>"0153613480"</f>
        <v>0153613480</v>
      </c>
    </row>
    <row r="239" spans="1:16" x14ac:dyDescent="0.25">
      <c r="A239" t="str">
        <f t="shared" si="73"/>
        <v>人民币</v>
      </c>
      <c r="B239" t="str">
        <f>"卫通配号"</f>
        <v>卫通配号</v>
      </c>
      <c r="C239" t="str">
        <f>"20190618"</f>
        <v>20190618</v>
      </c>
      <c r="D239" t="str">
        <f>"0.000"</f>
        <v>0.000</v>
      </c>
      <c r="E239" t="str">
        <f>"13.00"</f>
        <v>13.00</v>
      </c>
      <c r="F239" t="str">
        <f>"0.00"</f>
        <v>0.00</v>
      </c>
      <c r="G239" t="str">
        <f>"31518.65"</f>
        <v>31518.65</v>
      </c>
      <c r="H239" t="str">
        <f>"0.00"</f>
        <v>0.00</v>
      </c>
      <c r="I239" t="str">
        <f>"1"</f>
        <v>1</v>
      </c>
      <c r="J239" t="str">
        <f>"申购配号(卫通配号)"</f>
        <v>申购配号(卫通配号)</v>
      </c>
      <c r="K239" t="str">
        <f>"0.00"</f>
        <v>0.00</v>
      </c>
      <c r="L239" t="str">
        <f t="shared" si="87"/>
        <v>0.00</v>
      </c>
      <c r="M239" t="str">
        <f t="shared" si="86"/>
        <v>0.00</v>
      </c>
      <c r="N239" t="str">
        <f t="shared" si="86"/>
        <v>0.00</v>
      </c>
      <c r="O239" t="str">
        <f>"791698"</f>
        <v>791698</v>
      </c>
      <c r="P239" t="str">
        <f>"A400948245"</f>
        <v>A400948245</v>
      </c>
    </row>
    <row r="240" spans="1:16" x14ac:dyDescent="0.25">
      <c r="A240" t="str">
        <f t="shared" si="73"/>
        <v>人民币</v>
      </c>
      <c r="B240" t="str">
        <f>"凯龙股份"</f>
        <v>凯龙股份</v>
      </c>
      <c r="C240" t="str">
        <f>"20190619"</f>
        <v>20190619</v>
      </c>
      <c r="D240" t="str">
        <f>"13.230"</f>
        <v>13.230</v>
      </c>
      <c r="E240" t="str">
        <f>"500.00"</f>
        <v>500.00</v>
      </c>
      <c r="F240" t="str">
        <f>"-6621.62"</f>
        <v>-6621.62</v>
      </c>
      <c r="G240" t="str">
        <f>"14102.89"</f>
        <v>14102.89</v>
      </c>
      <c r="H240" t="str">
        <f>"4000.00"</f>
        <v>4000.00</v>
      </c>
      <c r="I240" t="str">
        <f>"23"</f>
        <v>23</v>
      </c>
      <c r="J240" t="str">
        <f>"证券买入(凯龙股份)"</f>
        <v>证券买入(凯龙股份)</v>
      </c>
      <c r="K240" t="str">
        <f>"6.62"</f>
        <v>6.62</v>
      </c>
      <c r="L240" t="str">
        <f t="shared" si="87"/>
        <v>0.00</v>
      </c>
      <c r="M240" t="str">
        <f t="shared" si="86"/>
        <v>0.00</v>
      </c>
      <c r="N240" t="str">
        <f t="shared" si="86"/>
        <v>0.00</v>
      </c>
      <c r="O240" t="str">
        <f>"002783"</f>
        <v>002783</v>
      </c>
      <c r="P240" t="str">
        <f>"0153613480"</f>
        <v>0153613480</v>
      </c>
    </row>
    <row r="241" spans="1:16" x14ac:dyDescent="0.25">
      <c r="A241" t="str">
        <f t="shared" si="73"/>
        <v>人民币</v>
      </c>
      <c r="B241" t="str">
        <f>"凯龙股份"</f>
        <v>凯龙股份</v>
      </c>
      <c r="C241" t="str">
        <f>"20190619"</f>
        <v>20190619</v>
      </c>
      <c r="D241" t="str">
        <f>"13.360"</f>
        <v>13.360</v>
      </c>
      <c r="E241" t="str">
        <f>"500.00"</f>
        <v>500.00</v>
      </c>
      <c r="F241" t="str">
        <f>"-6686.68"</f>
        <v>-6686.68</v>
      </c>
      <c r="G241" t="str">
        <f>"20724.51"</f>
        <v>20724.51</v>
      </c>
      <c r="H241" t="str">
        <f>"3500.00"</f>
        <v>3500.00</v>
      </c>
      <c r="I241" t="str">
        <f>"13"</f>
        <v>13</v>
      </c>
      <c r="J241" t="str">
        <f>"证券买入(凯龙股份)"</f>
        <v>证券买入(凯龙股份)</v>
      </c>
      <c r="K241" t="str">
        <f>"6.68"</f>
        <v>6.68</v>
      </c>
      <c r="L241" t="str">
        <f t="shared" si="87"/>
        <v>0.00</v>
      </c>
      <c r="M241" t="str">
        <f t="shared" si="86"/>
        <v>0.00</v>
      </c>
      <c r="N241" t="str">
        <f t="shared" si="86"/>
        <v>0.00</v>
      </c>
      <c r="O241" t="str">
        <f>"002783"</f>
        <v>002783</v>
      </c>
      <c r="P241" t="str">
        <f>"0153613480"</f>
        <v>0153613480</v>
      </c>
    </row>
    <row r="242" spans="1:16" x14ac:dyDescent="0.25">
      <c r="A242" t="str">
        <f t="shared" si="73"/>
        <v>人民币</v>
      </c>
      <c r="B242" t="str">
        <f>"中通国脉"</f>
        <v>中通国脉</v>
      </c>
      <c r="C242" t="str">
        <f>"20190619"</f>
        <v>20190619</v>
      </c>
      <c r="D242" t="str">
        <f>"21.640"</f>
        <v>21.640</v>
      </c>
      <c r="E242" t="str">
        <f>"200.00"</f>
        <v>200.00</v>
      </c>
      <c r="F242" t="str">
        <f>"-4333.09"</f>
        <v>-4333.09</v>
      </c>
      <c r="G242" t="str">
        <f>"27411.19"</f>
        <v>27411.19</v>
      </c>
      <c r="H242" t="str">
        <f>"2400.00"</f>
        <v>2400.00</v>
      </c>
      <c r="I242" t="str">
        <f>"20"</f>
        <v>20</v>
      </c>
      <c r="J242" t="str">
        <f>"证券买入(中通国脉)"</f>
        <v>证券买入(中通国脉)</v>
      </c>
      <c r="K242" t="str">
        <f>"5.00"</f>
        <v>5.00</v>
      </c>
      <c r="L242" t="str">
        <f t="shared" si="87"/>
        <v>0.00</v>
      </c>
      <c r="M242" t="str">
        <f>"0.09"</f>
        <v>0.09</v>
      </c>
      <c r="N242" t="str">
        <f>"0.00"</f>
        <v>0.00</v>
      </c>
      <c r="O242" t="str">
        <f>"603559"</f>
        <v>603559</v>
      </c>
      <c r="P242" t="str">
        <f>"A400948245"</f>
        <v>A400948245</v>
      </c>
    </row>
    <row r="243" spans="1:16" x14ac:dyDescent="0.25">
      <c r="A243" t="str">
        <f t="shared" si="73"/>
        <v>人民币</v>
      </c>
      <c r="B243" t="str">
        <f>"凯龙股份"</f>
        <v>凯龙股份</v>
      </c>
      <c r="C243" t="str">
        <f>"20190620"</f>
        <v>20190620</v>
      </c>
      <c r="D243" t="str">
        <f>"13.130"</f>
        <v>13.130</v>
      </c>
      <c r="E243" t="str">
        <f>"1000.00"</f>
        <v>1000.00</v>
      </c>
      <c r="F243" t="str">
        <f>"-13143.13"</f>
        <v>-13143.13</v>
      </c>
      <c r="G243" t="str">
        <f>"1347.13"</f>
        <v>1347.13</v>
      </c>
      <c r="H243" t="str">
        <f>"5000.00"</f>
        <v>5000.00</v>
      </c>
      <c r="I243" t="str">
        <f>"36"</f>
        <v>36</v>
      </c>
      <c r="J243" t="str">
        <f>"证券买入(凯龙股份)"</f>
        <v>证券买入(凯龙股份)</v>
      </c>
      <c r="K243" t="str">
        <f>"13.13"</f>
        <v>13.13</v>
      </c>
      <c r="L243" t="str">
        <f t="shared" si="87"/>
        <v>0.00</v>
      </c>
      <c r="M243" t="str">
        <f>"0.00"</f>
        <v>0.00</v>
      </c>
      <c r="N243" t="str">
        <f>"0.00"</f>
        <v>0.00</v>
      </c>
      <c r="O243" t="str">
        <f>"002783"</f>
        <v>002783</v>
      </c>
      <c r="P243" t="str">
        <f>"0153613480"</f>
        <v>0153613480</v>
      </c>
    </row>
    <row r="244" spans="1:16" x14ac:dyDescent="0.25">
      <c r="A244" t="str">
        <f t="shared" si="73"/>
        <v>人民币</v>
      </c>
      <c r="B244" t="str">
        <f>"凯龙股份"</f>
        <v>凯龙股份</v>
      </c>
      <c r="C244" t="str">
        <f>"20190620"</f>
        <v>20190620</v>
      </c>
      <c r="D244" t="str">
        <f>"13.260"</f>
        <v>13.260</v>
      </c>
      <c r="E244" t="str">
        <f>"-1000.00"</f>
        <v>-1000.00</v>
      </c>
      <c r="F244" t="str">
        <f>"13233.48"</f>
        <v>13233.48</v>
      </c>
      <c r="G244" t="str">
        <f>"14490.26"</f>
        <v>14490.26</v>
      </c>
      <c r="H244" t="str">
        <f>"4000.00"</f>
        <v>4000.00</v>
      </c>
      <c r="I244" t="str">
        <f>"33"</f>
        <v>33</v>
      </c>
      <c r="J244" t="str">
        <f>"证券卖出(凯龙股份)"</f>
        <v>证券卖出(凯龙股份)</v>
      </c>
      <c r="K244" t="str">
        <f>"13.26"</f>
        <v>13.26</v>
      </c>
      <c r="L244" t="str">
        <f>"13.26"</f>
        <v>13.26</v>
      </c>
      <c r="M244" t="str">
        <f>"0.00"</f>
        <v>0.00</v>
      </c>
      <c r="N244" t="str">
        <f>"0.00"</f>
        <v>0.00</v>
      </c>
      <c r="O244" t="str">
        <f>"002783"</f>
        <v>002783</v>
      </c>
      <c r="P244" t="str">
        <f>"0153613480"</f>
        <v>0153613480</v>
      </c>
    </row>
    <row r="245" spans="1:16" x14ac:dyDescent="0.25">
      <c r="A245" t="str">
        <f t="shared" si="73"/>
        <v>人民币</v>
      </c>
      <c r="B245" t="str">
        <f>"凯龙股份"</f>
        <v>凯龙股份</v>
      </c>
      <c r="C245" t="str">
        <f>"20190620"</f>
        <v>20190620</v>
      </c>
      <c r="D245" t="str">
        <f>"12.840"</f>
        <v>12.840</v>
      </c>
      <c r="E245" t="str">
        <f>"1000.00"</f>
        <v>1000.00</v>
      </c>
      <c r="F245" t="str">
        <f>"-12852.84"</f>
        <v>-12852.84</v>
      </c>
      <c r="G245" t="str">
        <f>"1256.78"</f>
        <v>1256.78</v>
      </c>
      <c r="H245" t="str">
        <f>"5000.00"</f>
        <v>5000.00</v>
      </c>
      <c r="I245" t="str">
        <f>"29"</f>
        <v>29</v>
      </c>
      <c r="J245" t="str">
        <f>"证券买入(凯龙股份)"</f>
        <v>证券买入(凯龙股份)</v>
      </c>
      <c r="K245" t="str">
        <f>"12.84"</f>
        <v>12.84</v>
      </c>
      <c r="L245" t="str">
        <f>"0.00"</f>
        <v>0.00</v>
      </c>
      <c r="M245" t="str">
        <f>"0.00"</f>
        <v>0.00</v>
      </c>
      <c r="N245" t="str">
        <f>"0.00"</f>
        <v>0.00</v>
      </c>
      <c r="O245" t="str">
        <f>"002783"</f>
        <v>002783</v>
      </c>
      <c r="P245" t="str">
        <f>"0153613480"</f>
        <v>0153613480</v>
      </c>
    </row>
    <row r="246" spans="1:16" x14ac:dyDescent="0.25">
      <c r="A246" t="str">
        <f t="shared" si="73"/>
        <v>人民币</v>
      </c>
      <c r="B246" t="str">
        <f>""</f>
        <v/>
      </c>
      <c r="C246" t="str">
        <f>"20190620"</f>
        <v>20190620</v>
      </c>
      <c r="D246" t="str">
        <f>"---"</f>
        <v>---</v>
      </c>
      <c r="E246" t="str">
        <f>"---"</f>
        <v>---</v>
      </c>
      <c r="F246" t="str">
        <f>"6.73"</f>
        <v>6.73</v>
      </c>
      <c r="G246" t="str">
        <f>"14109.62"</f>
        <v>14109.62</v>
      </c>
      <c r="H246" t="str">
        <f>"---"</f>
        <v>---</v>
      </c>
      <c r="I246" t="str">
        <f>"---"</f>
        <v>---</v>
      </c>
      <c r="J246" t="str">
        <f>"批量利息归本"</f>
        <v>批量利息归本</v>
      </c>
      <c r="K246" t="str">
        <f t="shared" ref="K246:P246" si="88">"---"</f>
        <v>---</v>
      </c>
      <c r="L246" t="str">
        <f t="shared" si="88"/>
        <v>---</v>
      </c>
      <c r="M246" t="str">
        <f t="shared" si="88"/>
        <v>---</v>
      </c>
      <c r="N246" t="str">
        <f t="shared" si="88"/>
        <v>---</v>
      </c>
      <c r="O246" t="str">
        <f t="shared" si="88"/>
        <v>---</v>
      </c>
      <c r="P246" t="str">
        <f t="shared" si="88"/>
        <v>---</v>
      </c>
    </row>
    <row r="247" spans="1:16" x14ac:dyDescent="0.25">
      <c r="A247" t="str">
        <f t="shared" si="73"/>
        <v>人民币</v>
      </c>
      <c r="B247" t="str">
        <f>"红证配号"</f>
        <v>红证配号</v>
      </c>
      <c r="C247" t="str">
        <f>"20190624"</f>
        <v>20190624</v>
      </c>
      <c r="D247" t="str">
        <f>"0.000"</f>
        <v>0.000</v>
      </c>
      <c r="E247" t="str">
        <f>"12.00"</f>
        <v>12.00</v>
      </c>
      <c r="F247" t="str">
        <f>"0.00"</f>
        <v>0.00</v>
      </c>
      <c r="G247" t="str">
        <f>"1347.13"</f>
        <v>1347.13</v>
      </c>
      <c r="H247" t="str">
        <f>"0.00"</f>
        <v>0.00</v>
      </c>
      <c r="I247" t="str">
        <f>"52"</f>
        <v>52</v>
      </c>
      <c r="J247" t="str">
        <f>"申购配号(红证配号)"</f>
        <v>申购配号(红证配号)</v>
      </c>
      <c r="K247" t="str">
        <f t="shared" ref="K247:N250" si="89">"0.00"</f>
        <v>0.00</v>
      </c>
      <c r="L247" t="str">
        <f t="shared" si="89"/>
        <v>0.00</v>
      </c>
      <c r="M247" t="str">
        <f t="shared" si="89"/>
        <v>0.00</v>
      </c>
      <c r="N247" t="str">
        <f t="shared" si="89"/>
        <v>0.00</v>
      </c>
      <c r="O247" t="str">
        <f>"791236"</f>
        <v>791236</v>
      </c>
      <c r="P247" t="str">
        <f>"A400948245"</f>
        <v>A400948245</v>
      </c>
    </row>
    <row r="248" spans="1:16" x14ac:dyDescent="0.25">
      <c r="A248" t="str">
        <f t="shared" si="73"/>
        <v>人民币</v>
      </c>
      <c r="B248" t="str">
        <f>"三只松鼠"</f>
        <v>三只松鼠</v>
      </c>
      <c r="C248" t="str">
        <f>"20190703"</f>
        <v>20190703</v>
      </c>
      <c r="D248" t="str">
        <f>"0.000"</f>
        <v>0.000</v>
      </c>
      <c r="E248" t="str">
        <f>"7.00"</f>
        <v>7.00</v>
      </c>
      <c r="F248" t="str">
        <f>"0.00"</f>
        <v>0.00</v>
      </c>
      <c r="G248" t="str">
        <f>"1347.13"</f>
        <v>1347.13</v>
      </c>
      <c r="H248" t="str">
        <f>"0.00"</f>
        <v>0.00</v>
      </c>
      <c r="I248" t="str">
        <f>"57"</f>
        <v>57</v>
      </c>
      <c r="J248" t="str">
        <f>"申购配号(三只松鼠)"</f>
        <v>申购配号(三只松鼠)</v>
      </c>
      <c r="K248" t="str">
        <f t="shared" si="89"/>
        <v>0.00</v>
      </c>
      <c r="L248" t="str">
        <f t="shared" si="89"/>
        <v>0.00</v>
      </c>
      <c r="M248" t="str">
        <f t="shared" si="89"/>
        <v>0.00</v>
      </c>
      <c r="N248" t="str">
        <f t="shared" si="89"/>
        <v>0.00</v>
      </c>
      <c r="O248" t="str">
        <f>"300783"</f>
        <v>300783</v>
      </c>
      <c r="P248" t="str">
        <f>"0153613480"</f>
        <v>0153613480</v>
      </c>
    </row>
    <row r="249" spans="1:16" x14ac:dyDescent="0.25">
      <c r="A249" t="str">
        <f t="shared" si="73"/>
        <v>人民币</v>
      </c>
      <c r="B249" t="str">
        <f>"值得买"</f>
        <v>值得买</v>
      </c>
      <c r="C249" t="str">
        <f>"20190703"</f>
        <v>20190703</v>
      </c>
      <c r="D249" t="str">
        <f>"0.000"</f>
        <v>0.000</v>
      </c>
      <c r="E249" t="str">
        <f>"7.00"</f>
        <v>7.00</v>
      </c>
      <c r="F249" t="str">
        <f>"0.00"</f>
        <v>0.00</v>
      </c>
      <c r="G249" t="str">
        <f>"1347.13"</f>
        <v>1347.13</v>
      </c>
      <c r="H249" t="str">
        <f>"0.00"</f>
        <v>0.00</v>
      </c>
      <c r="I249" t="str">
        <f>"55"</f>
        <v>55</v>
      </c>
      <c r="J249" t="str">
        <f>"申购配号(值得买)"</f>
        <v>申购配号(值得买)</v>
      </c>
      <c r="K249" t="str">
        <f t="shared" si="89"/>
        <v>0.00</v>
      </c>
      <c r="L249" t="str">
        <f t="shared" si="89"/>
        <v>0.00</v>
      </c>
      <c r="M249" t="str">
        <f t="shared" si="89"/>
        <v>0.00</v>
      </c>
      <c r="N249" t="str">
        <f t="shared" si="89"/>
        <v>0.00</v>
      </c>
      <c r="O249" t="str">
        <f>"300785"</f>
        <v>300785</v>
      </c>
      <c r="P249" t="str">
        <f>"0153613480"</f>
        <v>0153613480</v>
      </c>
    </row>
    <row r="250" spans="1:16" x14ac:dyDescent="0.25">
      <c r="A250" t="str">
        <f t="shared" si="73"/>
        <v>人民币</v>
      </c>
      <c r="B250" t="str">
        <f>"移远配号"</f>
        <v>移远配号</v>
      </c>
      <c r="C250" t="str">
        <f>"20190704"</f>
        <v>20190704</v>
      </c>
      <c r="D250" t="str">
        <f>"0.000"</f>
        <v>0.000</v>
      </c>
      <c r="E250" t="str">
        <f>"8.00"</f>
        <v>8.00</v>
      </c>
      <c r="F250" t="str">
        <f>"0.00"</f>
        <v>0.00</v>
      </c>
      <c r="G250" t="str">
        <f>"1347.13"</f>
        <v>1347.13</v>
      </c>
      <c r="H250" t="str">
        <f>"0.00"</f>
        <v>0.00</v>
      </c>
      <c r="I250" t="str">
        <f>"61"</f>
        <v>61</v>
      </c>
      <c r="J250" t="str">
        <f>"申购配号(移远配号)"</f>
        <v>申购配号(移远配号)</v>
      </c>
      <c r="K250" t="str">
        <f t="shared" si="89"/>
        <v>0.00</v>
      </c>
      <c r="L250" t="str">
        <f t="shared" si="89"/>
        <v>0.00</v>
      </c>
      <c r="M250" t="str">
        <f t="shared" si="89"/>
        <v>0.00</v>
      </c>
      <c r="N250" t="str">
        <f t="shared" si="89"/>
        <v>0.00</v>
      </c>
      <c r="O250" t="str">
        <f>"736236"</f>
        <v>736236</v>
      </c>
      <c r="P250" t="str">
        <f>"A400948245"</f>
        <v>A400948245</v>
      </c>
    </row>
    <row r="251" spans="1:16" x14ac:dyDescent="0.25">
      <c r="A251" t="str">
        <f t="shared" si="73"/>
        <v>人民币</v>
      </c>
      <c r="B251" t="str">
        <f>"凯龙股份"</f>
        <v>凯龙股份</v>
      </c>
      <c r="C251" t="str">
        <f>"20190705"</f>
        <v>20190705</v>
      </c>
      <c r="D251" t="str">
        <f>"12.820"</f>
        <v>12.820</v>
      </c>
      <c r="E251" t="str">
        <f>"800.00"</f>
        <v>800.00</v>
      </c>
      <c r="F251" t="str">
        <f>"-10266.26"</f>
        <v>-10266.26</v>
      </c>
      <c r="G251" t="str">
        <f>"1080.87"</f>
        <v>1080.87</v>
      </c>
      <c r="H251" t="str">
        <f>"5800.00"</f>
        <v>5800.00</v>
      </c>
      <c r="I251" t="str">
        <f>"65"</f>
        <v>65</v>
      </c>
      <c r="J251" t="str">
        <f>"证券买入(凯龙股份)"</f>
        <v>证券买入(凯龙股份)</v>
      </c>
      <c r="K251" t="str">
        <f>"10.26"</f>
        <v>10.26</v>
      </c>
      <c r="L251" t="str">
        <f>"0.00"</f>
        <v>0.00</v>
      </c>
      <c r="M251" t="str">
        <f>"0.00"</f>
        <v>0.00</v>
      </c>
      <c r="N251" t="str">
        <f>"0.00"</f>
        <v>0.00</v>
      </c>
      <c r="O251" t="str">
        <f>"002783"</f>
        <v>002783</v>
      </c>
      <c r="P251" t="str">
        <f>"0153613480"</f>
        <v>0153613480</v>
      </c>
    </row>
    <row r="252" spans="1:16" x14ac:dyDescent="0.25">
      <c r="A252" t="str">
        <f t="shared" si="73"/>
        <v>人民币</v>
      </c>
      <c r="B252" t="str">
        <f>""</f>
        <v/>
      </c>
      <c r="C252" t="str">
        <f>"20190705"</f>
        <v>20190705</v>
      </c>
      <c r="D252" t="str">
        <f>"---"</f>
        <v>---</v>
      </c>
      <c r="E252" t="str">
        <f>"---"</f>
        <v>---</v>
      </c>
      <c r="F252" t="str">
        <f>"10000.00"</f>
        <v>10000.00</v>
      </c>
      <c r="G252" t="str">
        <f>"11347.13"</f>
        <v>11347.13</v>
      </c>
      <c r="H252" t="str">
        <f>"---"</f>
        <v>---</v>
      </c>
      <c r="I252" t="str">
        <f>"---"</f>
        <v>---</v>
      </c>
      <c r="J252" t="str">
        <f>"银行转存"</f>
        <v>银行转存</v>
      </c>
      <c r="K252" t="str">
        <f t="shared" ref="K252:P252" si="90">"---"</f>
        <v>---</v>
      </c>
      <c r="L252" t="str">
        <f t="shared" si="90"/>
        <v>---</v>
      </c>
      <c r="M252" t="str">
        <f t="shared" si="90"/>
        <v>---</v>
      </c>
      <c r="N252" t="str">
        <f t="shared" si="90"/>
        <v>---</v>
      </c>
      <c r="O252" t="str">
        <f t="shared" si="90"/>
        <v>---</v>
      </c>
      <c r="P252" t="str">
        <f t="shared" si="90"/>
        <v>---</v>
      </c>
    </row>
    <row r="253" spans="1:16" x14ac:dyDescent="0.25">
      <c r="A253" t="str">
        <f t="shared" ref="A253:A313" si="91">"人民币"</f>
        <v>人民币</v>
      </c>
      <c r="B253" t="str">
        <f>"国林环保"</f>
        <v>国林环保</v>
      </c>
      <c r="C253" t="str">
        <f>"20190711"</f>
        <v>20190711</v>
      </c>
      <c r="D253" t="str">
        <f>"0.000"</f>
        <v>0.000</v>
      </c>
      <c r="E253" t="str">
        <f>"11.00"</f>
        <v>11.00</v>
      </c>
      <c r="F253" t="str">
        <f>"0.00"</f>
        <v>0.00</v>
      </c>
      <c r="G253" t="str">
        <f>"650.87"</f>
        <v>650.87</v>
      </c>
      <c r="H253" t="str">
        <f>"0.00"</f>
        <v>0.00</v>
      </c>
      <c r="I253" t="str">
        <f>"75"</f>
        <v>75</v>
      </c>
      <c r="J253" t="str">
        <f>"申购配号(国林环保)"</f>
        <v>申购配号(国林环保)</v>
      </c>
      <c r="K253" t="str">
        <f t="shared" ref="K253:N253" si="92">"0.00"</f>
        <v>0.00</v>
      </c>
      <c r="L253" t="str">
        <f t="shared" si="92"/>
        <v>0.00</v>
      </c>
      <c r="M253" t="str">
        <f t="shared" si="92"/>
        <v>0.00</v>
      </c>
      <c r="N253" t="str">
        <f t="shared" si="92"/>
        <v>0.00</v>
      </c>
      <c r="O253" t="str">
        <f>"300786"</f>
        <v>300786</v>
      </c>
      <c r="P253" t="str">
        <f>"0153613480"</f>
        <v>0153613480</v>
      </c>
    </row>
    <row r="254" spans="1:16" x14ac:dyDescent="0.25">
      <c r="A254" t="str">
        <f t="shared" si="91"/>
        <v>人民币</v>
      </c>
      <c r="B254" t="str">
        <f>"宏和科技"</f>
        <v>宏和科技</v>
      </c>
      <c r="C254" t="str">
        <f>"20190711"</f>
        <v>20190711</v>
      </c>
      <c r="D254" t="str">
        <f>"4.43"</f>
        <v>4.43</v>
      </c>
      <c r="E254" t="str">
        <f>"1000"</f>
        <v>1000</v>
      </c>
      <c r="F254" t="str">
        <f>"-4430.00"</f>
        <v>-4430.00</v>
      </c>
      <c r="G254" t="str">
        <f>"650.87"</f>
        <v>650.87</v>
      </c>
      <c r="H254" t="str">
        <f>"1000.00"</f>
        <v>1000.00</v>
      </c>
      <c r="I254" t="str">
        <f>"---"</f>
        <v>---</v>
      </c>
      <c r="J254" t="str">
        <f>"证券买入(宏和科技)"</f>
        <v>证券买入(宏和科技)</v>
      </c>
      <c r="K254" t="str">
        <f t="shared" ref="K254:N255" si="93">"---"</f>
        <v>---</v>
      </c>
      <c r="L254" t="str">
        <f t="shared" si="93"/>
        <v>---</v>
      </c>
      <c r="M254" t="str">
        <f t="shared" si="93"/>
        <v>---</v>
      </c>
      <c r="N254" t="str">
        <f t="shared" si="93"/>
        <v>---</v>
      </c>
      <c r="O254" t="str">
        <f>"732256"</f>
        <v>732256</v>
      </c>
      <c r="P254" t="str">
        <f>"A400948245"</f>
        <v>A400948245</v>
      </c>
    </row>
    <row r="255" spans="1:16" x14ac:dyDescent="0.25">
      <c r="A255" t="str">
        <f t="shared" si="91"/>
        <v>人民币</v>
      </c>
      <c r="B255" t="str">
        <f>""</f>
        <v/>
      </c>
      <c r="C255" t="str">
        <f>"20190711"</f>
        <v>20190711</v>
      </c>
      <c r="D255" t="str">
        <f>"---"</f>
        <v>---</v>
      </c>
      <c r="E255" t="str">
        <f>"---"</f>
        <v>---</v>
      </c>
      <c r="F255" t="str">
        <f>"4000.00"</f>
        <v>4000.00</v>
      </c>
      <c r="G255" t="str">
        <f>"5080.87"</f>
        <v>5080.87</v>
      </c>
      <c r="H255" t="str">
        <f>"---"</f>
        <v>---</v>
      </c>
      <c r="I255" t="str">
        <f>"---"</f>
        <v>---</v>
      </c>
      <c r="J255" t="str">
        <f>"银行转存"</f>
        <v>银行转存</v>
      </c>
      <c r="K255" t="str">
        <f t="shared" si="93"/>
        <v>---</v>
      </c>
      <c r="L255" t="str">
        <f t="shared" si="93"/>
        <v>---</v>
      </c>
      <c r="M255" t="str">
        <f t="shared" si="93"/>
        <v>---</v>
      </c>
      <c r="N255" t="str">
        <f t="shared" si="93"/>
        <v>---</v>
      </c>
      <c r="O255" t="str">
        <f>"---"</f>
        <v>---</v>
      </c>
      <c r="P255" t="str">
        <f>"---"</f>
        <v>---</v>
      </c>
    </row>
    <row r="256" spans="1:16" x14ac:dyDescent="0.25">
      <c r="A256" t="str">
        <f t="shared" si="91"/>
        <v>人民币</v>
      </c>
      <c r="B256" t="str">
        <f>"胜达配号"</f>
        <v>胜达配号</v>
      </c>
      <c r="C256" t="str">
        <f>"20190716"</f>
        <v>20190716</v>
      </c>
      <c r="D256" t="str">
        <f t="shared" ref="D256:D266" si="94">"0.000"</f>
        <v>0.000</v>
      </c>
      <c r="E256" t="str">
        <f>"8.00"</f>
        <v>8.00</v>
      </c>
      <c r="F256" t="str">
        <f t="shared" ref="F256:F266" si="95">"0.00"</f>
        <v>0.00</v>
      </c>
      <c r="G256" t="str">
        <f t="shared" ref="G256:G266" si="96">"650.87"</f>
        <v>650.87</v>
      </c>
      <c r="H256" t="str">
        <f>"0.00"</f>
        <v>0.00</v>
      </c>
      <c r="I256" t="str">
        <f>"83"</f>
        <v>83</v>
      </c>
      <c r="J256" t="str">
        <f>"申购配号(胜达配号)"</f>
        <v>申购配号(胜达配号)</v>
      </c>
      <c r="K256" t="str">
        <f t="shared" ref="K256:N266" si="97">"0.00"</f>
        <v>0.00</v>
      </c>
      <c r="L256" t="str">
        <f t="shared" si="97"/>
        <v>0.00</v>
      </c>
      <c r="M256" t="str">
        <f t="shared" si="97"/>
        <v>0.00</v>
      </c>
      <c r="N256" t="str">
        <f t="shared" si="97"/>
        <v>0.00</v>
      </c>
      <c r="O256" t="str">
        <f>"736687"</f>
        <v>736687</v>
      </c>
      <c r="P256" t="str">
        <f>"A400948245"</f>
        <v>A400948245</v>
      </c>
    </row>
    <row r="257" spans="1:16" x14ac:dyDescent="0.25">
      <c r="A257" t="str">
        <f t="shared" si="91"/>
        <v>人民币</v>
      </c>
      <c r="B257" t="str">
        <f>"丸美配号"</f>
        <v>丸美配号</v>
      </c>
      <c r="C257" t="str">
        <f>"20190716"</f>
        <v>20190716</v>
      </c>
      <c r="D257" t="str">
        <f t="shared" si="94"/>
        <v>0.000</v>
      </c>
      <c r="E257" t="str">
        <f>"8.00"</f>
        <v>8.00</v>
      </c>
      <c r="F257" t="str">
        <f t="shared" si="95"/>
        <v>0.00</v>
      </c>
      <c r="G257" t="str">
        <f t="shared" si="96"/>
        <v>650.87</v>
      </c>
      <c r="H257" t="str">
        <f>"0.00"</f>
        <v>0.00</v>
      </c>
      <c r="I257" t="str">
        <f>"81"</f>
        <v>81</v>
      </c>
      <c r="J257" t="str">
        <f>"申购配号(丸美配号)"</f>
        <v>申购配号(丸美配号)</v>
      </c>
      <c r="K257" t="str">
        <f t="shared" si="97"/>
        <v>0.00</v>
      </c>
      <c r="L257" t="str">
        <f t="shared" si="97"/>
        <v>0.00</v>
      </c>
      <c r="M257" t="str">
        <f t="shared" si="97"/>
        <v>0.00</v>
      </c>
      <c r="N257" t="str">
        <f t="shared" si="97"/>
        <v>0.00</v>
      </c>
      <c r="O257" t="str">
        <f>"736983"</f>
        <v>736983</v>
      </c>
      <c r="P257" t="str">
        <f>"A400948245"</f>
        <v>A400948245</v>
      </c>
    </row>
    <row r="258" spans="1:16" x14ac:dyDescent="0.25">
      <c r="A258" t="str">
        <f t="shared" si="91"/>
        <v>人民币</v>
      </c>
      <c r="B258" t="str">
        <f>"科瑞技术"</f>
        <v>科瑞技术</v>
      </c>
      <c r="C258" t="str">
        <f>"20190717"</f>
        <v>20190717</v>
      </c>
      <c r="D258" t="str">
        <f t="shared" si="94"/>
        <v>0.000</v>
      </c>
      <c r="E258" t="str">
        <f>"13.00"</f>
        <v>13.00</v>
      </c>
      <c r="F258" t="str">
        <f t="shared" si="95"/>
        <v>0.00</v>
      </c>
      <c r="G258" t="str">
        <f t="shared" si="96"/>
        <v>650.87</v>
      </c>
      <c r="H258" t="str">
        <f>"0.00"</f>
        <v>0.00</v>
      </c>
      <c r="I258" t="str">
        <f>"87"</f>
        <v>87</v>
      </c>
      <c r="J258" t="str">
        <f>"申购配号(科瑞技术)"</f>
        <v>申购配号(科瑞技术)</v>
      </c>
      <c r="K258" t="str">
        <f t="shared" si="97"/>
        <v>0.00</v>
      </c>
      <c r="L258" t="str">
        <f t="shared" si="97"/>
        <v>0.00</v>
      </c>
      <c r="M258" t="str">
        <f t="shared" si="97"/>
        <v>0.00</v>
      </c>
      <c r="N258" t="str">
        <f t="shared" si="97"/>
        <v>0.00</v>
      </c>
      <c r="O258" t="str">
        <f>"002957"</f>
        <v>002957</v>
      </c>
      <c r="P258" t="str">
        <f>"0153613480"</f>
        <v>0153613480</v>
      </c>
    </row>
    <row r="259" spans="1:16" x14ac:dyDescent="0.25">
      <c r="A259" t="str">
        <f t="shared" si="91"/>
        <v>人民币</v>
      </c>
      <c r="B259" t="str">
        <f>"景津配号"</f>
        <v>景津配号</v>
      </c>
      <c r="C259" t="str">
        <f>"20190717"</f>
        <v>20190717</v>
      </c>
      <c r="D259" t="str">
        <f t="shared" si="94"/>
        <v>0.000</v>
      </c>
      <c r="E259" t="str">
        <f>"8.00"</f>
        <v>8.00</v>
      </c>
      <c r="F259" t="str">
        <f t="shared" si="95"/>
        <v>0.00</v>
      </c>
      <c r="G259" t="str">
        <f t="shared" si="96"/>
        <v>650.87</v>
      </c>
      <c r="H259" t="str">
        <f>"0.00"</f>
        <v>0.00</v>
      </c>
      <c r="I259" t="str">
        <f>"89"</f>
        <v>89</v>
      </c>
      <c r="J259" t="str">
        <f>"申购配号(景津配号)"</f>
        <v>申购配号(景津配号)</v>
      </c>
      <c r="K259" t="str">
        <f t="shared" si="97"/>
        <v>0.00</v>
      </c>
      <c r="L259" t="str">
        <f t="shared" si="97"/>
        <v>0.00</v>
      </c>
      <c r="M259" t="str">
        <f t="shared" si="97"/>
        <v>0.00</v>
      </c>
      <c r="N259" t="str">
        <f t="shared" si="97"/>
        <v>0.00</v>
      </c>
      <c r="O259" t="str">
        <f>"736279"</f>
        <v>736279</v>
      </c>
      <c r="P259" t="str">
        <f>"A400948245"</f>
        <v>A400948245</v>
      </c>
    </row>
    <row r="260" spans="1:16" x14ac:dyDescent="0.25">
      <c r="A260" t="str">
        <f t="shared" si="91"/>
        <v>人民币</v>
      </c>
      <c r="B260" t="str">
        <f>"苏州银行"</f>
        <v>苏州银行</v>
      </c>
      <c r="C260" t="str">
        <f>"20190718"</f>
        <v>20190718</v>
      </c>
      <c r="D260" t="str">
        <f t="shared" si="94"/>
        <v>0.000</v>
      </c>
      <c r="E260" t="str">
        <f>"13.00"</f>
        <v>13.00</v>
      </c>
      <c r="F260" t="str">
        <f t="shared" si="95"/>
        <v>0.00</v>
      </c>
      <c r="G260" t="str">
        <f t="shared" si="96"/>
        <v>650.87</v>
      </c>
      <c r="H260" t="str">
        <f>"0.00"</f>
        <v>0.00</v>
      </c>
      <c r="I260" t="str">
        <f>"93"</f>
        <v>93</v>
      </c>
      <c r="J260" t="str">
        <f>"申购配号(苏州银行)"</f>
        <v>申购配号(苏州银行)</v>
      </c>
      <c r="K260" t="str">
        <f t="shared" si="97"/>
        <v>0.00</v>
      </c>
      <c r="L260" t="str">
        <f t="shared" si="97"/>
        <v>0.00</v>
      </c>
      <c r="M260" t="str">
        <f t="shared" si="97"/>
        <v>0.00</v>
      </c>
      <c r="N260" t="str">
        <f t="shared" si="97"/>
        <v>0.00</v>
      </c>
      <c r="O260" t="str">
        <f>"002966"</f>
        <v>002966</v>
      </c>
      <c r="P260" t="str">
        <f>"0153613480"</f>
        <v>0153613480</v>
      </c>
    </row>
    <row r="261" spans="1:16" x14ac:dyDescent="0.25">
      <c r="A261" t="str">
        <f t="shared" si="91"/>
        <v>人民币</v>
      </c>
      <c r="B261" t="str">
        <f>"国联配号"</f>
        <v>国联配号</v>
      </c>
      <c r="C261" t="str">
        <f>"20190718"</f>
        <v>20190718</v>
      </c>
      <c r="D261" t="str">
        <f t="shared" si="94"/>
        <v>0.000</v>
      </c>
      <c r="E261" t="str">
        <f>"8.00"</f>
        <v>8.00</v>
      </c>
      <c r="F261" t="str">
        <f t="shared" si="95"/>
        <v>0.00</v>
      </c>
      <c r="G261" t="str">
        <f t="shared" si="96"/>
        <v>650.87</v>
      </c>
      <c r="H261" t="str">
        <f t="shared" ref="H261:H267" si="98">"0.00"</f>
        <v>0.00</v>
      </c>
      <c r="I261" t="str">
        <f>"95"</f>
        <v>95</v>
      </c>
      <c r="J261" t="str">
        <f>"申购配号(国联配号)"</f>
        <v>申购配号(国联配号)</v>
      </c>
      <c r="K261" t="str">
        <f t="shared" si="97"/>
        <v>0.00</v>
      </c>
      <c r="L261" t="str">
        <f t="shared" si="97"/>
        <v>0.00</v>
      </c>
      <c r="M261" t="str">
        <f t="shared" si="97"/>
        <v>0.00</v>
      </c>
      <c r="N261" t="str">
        <f t="shared" si="97"/>
        <v>0.00</v>
      </c>
      <c r="O261" t="str">
        <f>"736613"</f>
        <v>736613</v>
      </c>
      <c r="P261" t="str">
        <f>"A400948245"</f>
        <v>A400948245</v>
      </c>
    </row>
    <row r="262" spans="1:16" x14ac:dyDescent="0.25">
      <c r="A262" t="str">
        <f t="shared" si="91"/>
        <v>人民币</v>
      </c>
      <c r="B262" t="str">
        <f>"神马配号"</f>
        <v>神马配号</v>
      </c>
      <c r="C262" t="str">
        <f>"20190724"</f>
        <v>20190724</v>
      </c>
      <c r="D262" t="str">
        <f t="shared" si="94"/>
        <v>0.000</v>
      </c>
      <c r="E262" t="str">
        <f>"8.00"</f>
        <v>8.00</v>
      </c>
      <c r="F262" t="str">
        <f t="shared" si="95"/>
        <v>0.00</v>
      </c>
      <c r="G262" t="str">
        <f t="shared" si="96"/>
        <v>650.87</v>
      </c>
      <c r="H262" t="str">
        <f t="shared" si="98"/>
        <v>0.00</v>
      </c>
      <c r="I262" t="str">
        <f>"100"</f>
        <v>100</v>
      </c>
      <c r="J262" t="str">
        <f>"申购配号(神马配号)"</f>
        <v>申购配号(神马配号)</v>
      </c>
      <c r="K262" t="str">
        <f t="shared" si="97"/>
        <v>0.00</v>
      </c>
      <c r="L262" t="str">
        <f t="shared" si="97"/>
        <v>0.00</v>
      </c>
      <c r="M262" t="str">
        <f t="shared" si="97"/>
        <v>0.00</v>
      </c>
      <c r="N262" t="str">
        <f t="shared" si="97"/>
        <v>0.00</v>
      </c>
      <c r="O262" t="str">
        <f>"736530"</f>
        <v>736530</v>
      </c>
      <c r="P262" t="str">
        <f>"A400948245"</f>
        <v>A400948245</v>
      </c>
    </row>
    <row r="263" spans="1:16" x14ac:dyDescent="0.25">
      <c r="A263" t="str">
        <f t="shared" si="91"/>
        <v>人民币</v>
      </c>
      <c r="B263" t="str">
        <f>"柯力配号"</f>
        <v>柯力配号</v>
      </c>
      <c r="C263" t="str">
        <f>"20190725"</f>
        <v>20190725</v>
      </c>
      <c r="D263" t="str">
        <f t="shared" si="94"/>
        <v>0.000</v>
      </c>
      <c r="E263" t="str">
        <f>"8.00"</f>
        <v>8.00</v>
      </c>
      <c r="F263" t="str">
        <f t="shared" si="95"/>
        <v>0.00</v>
      </c>
      <c r="G263" t="str">
        <f t="shared" si="96"/>
        <v>650.87</v>
      </c>
      <c r="H263" t="str">
        <f t="shared" si="98"/>
        <v>0.00</v>
      </c>
      <c r="I263" t="str">
        <f>"103"</f>
        <v>103</v>
      </c>
      <c r="J263" t="str">
        <f>"申购配号(柯力配号)"</f>
        <v>申购配号(柯力配号)</v>
      </c>
      <c r="K263" t="str">
        <f t="shared" si="97"/>
        <v>0.00</v>
      </c>
      <c r="L263" t="str">
        <f t="shared" si="97"/>
        <v>0.00</v>
      </c>
      <c r="M263" t="str">
        <f t="shared" si="97"/>
        <v>0.00</v>
      </c>
      <c r="N263" t="str">
        <f t="shared" si="97"/>
        <v>0.00</v>
      </c>
      <c r="O263" t="str">
        <f>"736662"</f>
        <v>736662</v>
      </c>
      <c r="P263" t="str">
        <f>"A400948245"</f>
        <v>A400948245</v>
      </c>
    </row>
    <row r="264" spans="1:16" x14ac:dyDescent="0.25">
      <c r="A264" t="str">
        <f t="shared" si="91"/>
        <v>人民币</v>
      </c>
      <c r="B264" t="str">
        <f>"青鸟消防"</f>
        <v>青鸟消防</v>
      </c>
      <c r="C264" t="str">
        <f>"20190730"</f>
        <v>20190730</v>
      </c>
      <c r="D264" t="str">
        <f t="shared" si="94"/>
        <v>0.000</v>
      </c>
      <c r="E264" t="str">
        <f>"13.00"</f>
        <v>13.00</v>
      </c>
      <c r="F264" t="str">
        <f t="shared" si="95"/>
        <v>0.00</v>
      </c>
      <c r="G264" t="str">
        <f t="shared" si="96"/>
        <v>650.87</v>
      </c>
      <c r="H264" t="str">
        <f t="shared" si="98"/>
        <v>0.00</v>
      </c>
      <c r="I264" t="str">
        <f>"106"</f>
        <v>106</v>
      </c>
      <c r="J264" t="str">
        <f>"申购配号(青鸟消防)"</f>
        <v>申购配号(青鸟消防)</v>
      </c>
      <c r="K264" t="str">
        <f t="shared" si="97"/>
        <v>0.00</v>
      </c>
      <c r="L264" t="str">
        <f t="shared" si="97"/>
        <v>0.00</v>
      </c>
      <c r="M264" t="str">
        <f t="shared" si="97"/>
        <v>0.00</v>
      </c>
      <c r="N264" t="str">
        <f t="shared" si="97"/>
        <v>0.00</v>
      </c>
      <c r="O264" t="str">
        <f>"002960"</f>
        <v>002960</v>
      </c>
      <c r="P264" t="str">
        <f>"0153613480"</f>
        <v>0153613480</v>
      </c>
    </row>
    <row r="265" spans="1:16" x14ac:dyDescent="0.25">
      <c r="A265" t="str">
        <f t="shared" si="91"/>
        <v>人民币</v>
      </c>
      <c r="B265" t="str">
        <f>"海星配号"</f>
        <v>海星配号</v>
      </c>
      <c r="C265" t="str">
        <f>"20190731"</f>
        <v>20190731</v>
      </c>
      <c r="D265" t="str">
        <f t="shared" si="94"/>
        <v>0.000</v>
      </c>
      <c r="E265" t="str">
        <f>"8.00"</f>
        <v>8.00</v>
      </c>
      <c r="F265" t="str">
        <f t="shared" si="95"/>
        <v>0.00</v>
      </c>
      <c r="G265" t="str">
        <f t="shared" si="96"/>
        <v>650.87</v>
      </c>
      <c r="H265" t="str">
        <f t="shared" si="98"/>
        <v>0.00</v>
      </c>
      <c r="I265" t="str">
        <f>"1"</f>
        <v>1</v>
      </c>
      <c r="J265" t="str">
        <f>"申购配号(海星配号)"</f>
        <v>申购配号(海星配号)</v>
      </c>
      <c r="K265" t="str">
        <f t="shared" si="97"/>
        <v>0.00</v>
      </c>
      <c r="L265" t="str">
        <f t="shared" si="97"/>
        <v>0.00</v>
      </c>
      <c r="M265" t="str">
        <f t="shared" si="97"/>
        <v>0.00</v>
      </c>
      <c r="N265" t="str">
        <f t="shared" si="97"/>
        <v>0.00</v>
      </c>
      <c r="O265" t="str">
        <f>"736115"</f>
        <v>736115</v>
      </c>
      <c r="P265" t="str">
        <f>"A400948245"</f>
        <v>A400948245</v>
      </c>
    </row>
    <row r="266" spans="1:16" x14ac:dyDescent="0.25">
      <c r="A266" t="str">
        <f t="shared" si="91"/>
        <v>人民币</v>
      </c>
      <c r="B266" t="str">
        <f>"海能实业"</f>
        <v>海能实业</v>
      </c>
      <c r="C266" t="str">
        <f>"20190806"</f>
        <v>20190806</v>
      </c>
      <c r="D266" t="str">
        <f t="shared" si="94"/>
        <v>0.000</v>
      </c>
      <c r="E266" t="str">
        <f>"13.00"</f>
        <v>13.00</v>
      </c>
      <c r="F266" t="str">
        <f t="shared" si="95"/>
        <v>0.00</v>
      </c>
      <c r="G266" t="str">
        <f t="shared" si="96"/>
        <v>650.87</v>
      </c>
      <c r="H266" t="str">
        <f t="shared" si="98"/>
        <v>0.00</v>
      </c>
      <c r="I266" t="str">
        <f>"4"</f>
        <v>4</v>
      </c>
      <c r="J266" t="str">
        <f>"申购配号(海能实业)"</f>
        <v>申购配号(海能实业)</v>
      </c>
      <c r="K266" t="str">
        <f t="shared" si="97"/>
        <v>0.00</v>
      </c>
      <c r="L266" t="str">
        <f t="shared" si="97"/>
        <v>0.00</v>
      </c>
      <c r="M266" t="str">
        <f t="shared" si="97"/>
        <v>0.00</v>
      </c>
      <c r="N266" t="str">
        <f t="shared" si="97"/>
        <v>0.00</v>
      </c>
      <c r="O266" t="str">
        <f>"300787"</f>
        <v>300787</v>
      </c>
      <c r="P266" t="str">
        <f>"0153613480"</f>
        <v>0153613480</v>
      </c>
    </row>
    <row r="267" spans="1:16" x14ac:dyDescent="0.25">
      <c r="A267" t="str">
        <f t="shared" si="91"/>
        <v>人民币</v>
      </c>
      <c r="B267" t="str">
        <f>"宏和科技"</f>
        <v>宏和科技</v>
      </c>
      <c r="C267" t="str">
        <f>"20190807"</f>
        <v>20190807</v>
      </c>
      <c r="D267" t="str">
        <f>"20.500"</f>
        <v>20.500</v>
      </c>
      <c r="E267" t="str">
        <f>"-500.00"</f>
        <v>-500.00</v>
      </c>
      <c r="F267" t="str">
        <f>"10229.29"</f>
        <v>10229.29</v>
      </c>
      <c r="G267" t="str">
        <f>"21104.46"</f>
        <v>21104.46</v>
      </c>
      <c r="H267" t="str">
        <f t="shared" si="98"/>
        <v>0.00</v>
      </c>
      <c r="I267" t="str">
        <f>"10"</f>
        <v>10</v>
      </c>
      <c r="J267" t="str">
        <f>"证券卖出(宏和科技)"</f>
        <v>证券卖出(宏和科技)</v>
      </c>
      <c r="K267" t="str">
        <f>"10.25"</f>
        <v>10.25</v>
      </c>
      <c r="L267" t="str">
        <f>"10.25"</f>
        <v>10.25</v>
      </c>
      <c r="M267" t="str">
        <f>"0.21"</f>
        <v>0.21</v>
      </c>
      <c r="N267" t="str">
        <f>"0.00"</f>
        <v>0.00</v>
      </c>
      <c r="O267" t="str">
        <f>"603256"</f>
        <v>603256</v>
      </c>
      <c r="P267" t="str">
        <f>"A400948245"</f>
        <v>A400948245</v>
      </c>
    </row>
    <row r="268" spans="1:16" x14ac:dyDescent="0.25">
      <c r="A268" t="str">
        <f t="shared" si="91"/>
        <v>人民币</v>
      </c>
      <c r="B268" t="str">
        <f>"宏和科技"</f>
        <v>宏和科技</v>
      </c>
      <c r="C268" t="str">
        <f>"20190807"</f>
        <v>20190807</v>
      </c>
      <c r="D268" t="str">
        <f>"20.490"</f>
        <v>20.490</v>
      </c>
      <c r="E268" t="str">
        <f>"-500.00"</f>
        <v>-500.00</v>
      </c>
      <c r="F268" t="str">
        <f>"10224.30"</f>
        <v>10224.30</v>
      </c>
      <c r="G268" t="str">
        <f>"10875.17"</f>
        <v>10875.17</v>
      </c>
      <c r="H268" t="str">
        <f>"500.00"</f>
        <v>500.00</v>
      </c>
      <c r="I268" t="str">
        <f>"7"</f>
        <v>7</v>
      </c>
      <c r="J268" t="str">
        <f>"证券卖出(宏和科技)"</f>
        <v>证券卖出(宏和科技)</v>
      </c>
      <c r="K268" t="str">
        <f>"10.25"</f>
        <v>10.25</v>
      </c>
      <c r="L268" t="str">
        <f>"10.25"</f>
        <v>10.25</v>
      </c>
      <c r="M268" t="str">
        <f>"0.20"</f>
        <v>0.20</v>
      </c>
      <c r="N268" t="str">
        <f>"0.00"</f>
        <v>0.00</v>
      </c>
      <c r="O268" t="str">
        <f>"603256"</f>
        <v>603256</v>
      </c>
      <c r="P268" t="str">
        <f>"A400948245"</f>
        <v>A400948245</v>
      </c>
    </row>
    <row r="269" spans="1:16" x14ac:dyDescent="0.25">
      <c r="A269" t="str">
        <f t="shared" si="91"/>
        <v>人民币</v>
      </c>
      <c r="B269" t="str">
        <f>""</f>
        <v/>
      </c>
      <c r="C269" t="str">
        <f>"20190808"</f>
        <v>20190808</v>
      </c>
      <c r="D269" t="str">
        <f>"---"</f>
        <v>---</v>
      </c>
      <c r="E269" t="str">
        <f>"---"</f>
        <v>---</v>
      </c>
      <c r="F269" t="str">
        <f>"-20000.00"</f>
        <v>-20000.00</v>
      </c>
      <c r="G269" t="str">
        <f>"1104.46"</f>
        <v>1104.46</v>
      </c>
      <c r="H269" t="str">
        <f>"---"</f>
        <v>---</v>
      </c>
      <c r="I269" t="str">
        <f>"---"</f>
        <v>---</v>
      </c>
      <c r="J269" t="str">
        <f>"银行转取"</f>
        <v>银行转取</v>
      </c>
      <c r="K269" t="str">
        <f t="shared" ref="K269:P269" si="99">"---"</f>
        <v>---</v>
      </c>
      <c r="L269" t="str">
        <f t="shared" si="99"/>
        <v>---</v>
      </c>
      <c r="M269" t="str">
        <f t="shared" si="99"/>
        <v>---</v>
      </c>
      <c r="N269" t="str">
        <f t="shared" si="99"/>
        <v>---</v>
      </c>
      <c r="O269" t="str">
        <f t="shared" si="99"/>
        <v>---</v>
      </c>
      <c r="P269" t="str">
        <f t="shared" si="99"/>
        <v>---</v>
      </c>
    </row>
    <row r="270" spans="1:16" x14ac:dyDescent="0.25">
      <c r="A270" t="str">
        <f t="shared" si="91"/>
        <v>人民币</v>
      </c>
      <c r="B270" t="str">
        <f>"中国广核"</f>
        <v>中国广核</v>
      </c>
      <c r="C270" t="str">
        <f>"20190812"</f>
        <v>20190812</v>
      </c>
      <c r="D270" t="str">
        <f>"0.000"</f>
        <v>0.000</v>
      </c>
      <c r="E270" t="str">
        <f>"12.00"</f>
        <v>12.00</v>
      </c>
      <c r="F270" t="str">
        <f>"0.00"</f>
        <v>0.00</v>
      </c>
      <c r="G270" t="str">
        <f>"1104.46"</f>
        <v>1104.46</v>
      </c>
      <c r="H270" t="str">
        <f>"0.00"</f>
        <v>0.00</v>
      </c>
      <c r="I270" t="str">
        <f>"16"</f>
        <v>16</v>
      </c>
      <c r="J270" t="str">
        <f>"申购配号(中国广核)"</f>
        <v>申购配号(中国广核)</v>
      </c>
      <c r="K270" t="str">
        <f>"0.00"</f>
        <v>0.00</v>
      </c>
      <c r="L270" t="str">
        <f>"0.00"</f>
        <v>0.00</v>
      </c>
      <c r="M270" t="str">
        <f>"0.00"</f>
        <v>0.00</v>
      </c>
      <c r="N270" t="str">
        <f>"0.00"</f>
        <v>0.00</v>
      </c>
      <c r="O270" t="str">
        <f>"003816"</f>
        <v>003816</v>
      </c>
      <c r="P270" t="str">
        <f>"0153613480"</f>
        <v>0153613480</v>
      </c>
    </row>
    <row r="271" spans="1:16" x14ac:dyDescent="0.25">
      <c r="A271" t="str">
        <f t="shared" si="91"/>
        <v>人民币</v>
      </c>
      <c r="B271" t="str">
        <f>"凯龙股份"</f>
        <v>凯龙股份</v>
      </c>
      <c r="C271" t="str">
        <f>"20190813"</f>
        <v>20190813</v>
      </c>
      <c r="D271" t="str">
        <f>"9.910"</f>
        <v>9.910</v>
      </c>
      <c r="E271" t="str">
        <f>"800.00"</f>
        <v>800.00</v>
      </c>
      <c r="F271" t="str">
        <f>"-7935.93"</f>
        <v>-7935.93</v>
      </c>
      <c r="G271" t="str">
        <f>"7722.80"</f>
        <v>7722.80</v>
      </c>
      <c r="H271" t="str">
        <f>"6600.00"</f>
        <v>6600.00</v>
      </c>
      <c r="I271" t="str">
        <f>"28"</f>
        <v>28</v>
      </c>
      <c r="J271" t="str">
        <f>"证券买入(凯龙股份)"</f>
        <v>证券买入(凯龙股份)</v>
      </c>
      <c r="K271" t="str">
        <f>"7.93"</f>
        <v>7.93</v>
      </c>
      <c r="L271" t="str">
        <f>"0.00"</f>
        <v>0.00</v>
      </c>
      <c r="M271" t="str">
        <f>"0.00"</f>
        <v>0.00</v>
      </c>
      <c r="N271" t="str">
        <f>"0.00"</f>
        <v>0.00</v>
      </c>
      <c r="O271" t="str">
        <f>"002783"</f>
        <v>002783</v>
      </c>
      <c r="P271" t="str">
        <f>"0153613480"</f>
        <v>0153613480</v>
      </c>
    </row>
    <row r="272" spans="1:16" x14ac:dyDescent="0.25">
      <c r="A272" t="str">
        <f t="shared" si="91"/>
        <v>人民币</v>
      </c>
      <c r="B272" t="str">
        <f>"航发科技"</f>
        <v>航发科技</v>
      </c>
      <c r="C272" t="str">
        <f>"20190813"</f>
        <v>20190813</v>
      </c>
      <c r="D272" t="str">
        <f>"15.430"</f>
        <v>15.430</v>
      </c>
      <c r="E272" t="str">
        <f>"1000.00"</f>
        <v>1000.00</v>
      </c>
      <c r="F272" t="str">
        <f>"-15445.73"</f>
        <v>-15445.73</v>
      </c>
      <c r="G272" t="str">
        <f>"15658.73"</f>
        <v>15658.73</v>
      </c>
      <c r="H272" t="str">
        <f>"3400.00"</f>
        <v>3400.00</v>
      </c>
      <c r="I272" t="str">
        <f>"20"</f>
        <v>20</v>
      </c>
      <c r="J272" t="str">
        <f>"证券买入(航发科技)"</f>
        <v>证券买入(航发科技)</v>
      </c>
      <c r="K272" t="str">
        <f>"15.43"</f>
        <v>15.43</v>
      </c>
      <c r="L272" t="str">
        <f>"0.00"</f>
        <v>0.00</v>
      </c>
      <c r="M272" t="str">
        <f>"0.30"</f>
        <v>0.30</v>
      </c>
      <c r="N272" t="str">
        <f>"0.00"</f>
        <v>0.00</v>
      </c>
      <c r="O272" t="str">
        <f>"600391"</f>
        <v>600391</v>
      </c>
      <c r="P272" t="str">
        <f>"A400948245"</f>
        <v>A400948245</v>
      </c>
    </row>
    <row r="273" spans="1:16" x14ac:dyDescent="0.25">
      <c r="A273" t="str">
        <f t="shared" si="91"/>
        <v>人民币</v>
      </c>
      <c r="B273" t="str">
        <f>""</f>
        <v/>
      </c>
      <c r="C273" t="str">
        <f>"20190813"</f>
        <v>20190813</v>
      </c>
      <c r="D273" t="str">
        <f>"---"</f>
        <v>---</v>
      </c>
      <c r="E273" t="str">
        <f>"---"</f>
        <v>---</v>
      </c>
      <c r="F273" t="str">
        <f>"30000.00"</f>
        <v>30000.00</v>
      </c>
      <c r="G273" t="str">
        <f>"31104.46"</f>
        <v>31104.46</v>
      </c>
      <c r="H273" t="str">
        <f>"---"</f>
        <v>---</v>
      </c>
      <c r="I273" t="str">
        <f>"---"</f>
        <v>---</v>
      </c>
      <c r="J273" t="str">
        <f>"银行转存"</f>
        <v>银行转存</v>
      </c>
      <c r="K273" t="str">
        <f t="shared" ref="K273:P273" si="100">"---"</f>
        <v>---</v>
      </c>
      <c r="L273" t="str">
        <f t="shared" si="100"/>
        <v>---</v>
      </c>
      <c r="M273" t="str">
        <f t="shared" si="100"/>
        <v>---</v>
      </c>
      <c r="N273" t="str">
        <f t="shared" si="100"/>
        <v>---</v>
      </c>
      <c r="O273" t="str">
        <f t="shared" si="100"/>
        <v>---</v>
      </c>
      <c r="P273" t="str">
        <f t="shared" si="100"/>
        <v>---</v>
      </c>
    </row>
    <row r="274" spans="1:16" x14ac:dyDescent="0.25">
      <c r="A274" t="str">
        <f t="shared" si="91"/>
        <v>人民币</v>
      </c>
      <c r="B274" t="str">
        <f>"小熊电器"</f>
        <v>小熊电器</v>
      </c>
      <c r="C274" t="str">
        <f t="shared" ref="C274:C279" si="101">"20190814"</f>
        <v>20190814</v>
      </c>
      <c r="D274" t="str">
        <f>"0.000"</f>
        <v>0.000</v>
      </c>
      <c r="E274" t="str">
        <f>"12.00"</f>
        <v>12.00</v>
      </c>
      <c r="F274" t="str">
        <f>"0.00"</f>
        <v>0.00</v>
      </c>
      <c r="G274" t="str">
        <f>"15988.17"</f>
        <v>15988.17</v>
      </c>
      <c r="H274" t="str">
        <f>"0.00"</f>
        <v>0.00</v>
      </c>
      <c r="I274" t="str">
        <f>"42"</f>
        <v>42</v>
      </c>
      <c r="J274" t="str">
        <f>"申购配号(小熊电器)"</f>
        <v>申购配号(小熊电器)</v>
      </c>
      <c r="K274" t="str">
        <f t="shared" ref="K274:N275" si="102">"0.00"</f>
        <v>0.00</v>
      </c>
      <c r="L274" t="str">
        <f t="shared" si="102"/>
        <v>0.00</v>
      </c>
      <c r="M274" t="str">
        <f t="shared" si="102"/>
        <v>0.00</v>
      </c>
      <c r="N274" t="str">
        <f t="shared" si="102"/>
        <v>0.00</v>
      </c>
      <c r="O274" t="str">
        <f>"002959"</f>
        <v>002959</v>
      </c>
      <c r="P274" t="str">
        <f>"0153613480"</f>
        <v>0153613480</v>
      </c>
    </row>
    <row r="275" spans="1:16" x14ac:dyDescent="0.25">
      <c r="A275" t="str">
        <f t="shared" si="91"/>
        <v>人民币</v>
      </c>
      <c r="B275" t="str">
        <f>"唐源电气"</f>
        <v>唐源电气</v>
      </c>
      <c r="C275" t="str">
        <f t="shared" si="101"/>
        <v>20190814</v>
      </c>
      <c r="D275" t="str">
        <f>"0.000"</f>
        <v>0.000</v>
      </c>
      <c r="E275" t="str">
        <f>"12.00"</f>
        <v>12.00</v>
      </c>
      <c r="F275" t="str">
        <f>"0.00"</f>
        <v>0.00</v>
      </c>
      <c r="G275" t="str">
        <f>"15988.17"</f>
        <v>15988.17</v>
      </c>
      <c r="H275" t="str">
        <f>"0.00"</f>
        <v>0.00</v>
      </c>
      <c r="I275" t="str">
        <f>"40"</f>
        <v>40</v>
      </c>
      <c r="J275" t="str">
        <f>"申购配号(唐源电气)"</f>
        <v>申购配号(唐源电气)</v>
      </c>
      <c r="K275" t="str">
        <f t="shared" si="102"/>
        <v>0.00</v>
      </c>
      <c r="L275" t="str">
        <f t="shared" si="102"/>
        <v>0.00</v>
      </c>
      <c r="M275" t="str">
        <f t="shared" si="102"/>
        <v>0.00</v>
      </c>
      <c r="N275" t="str">
        <f t="shared" si="102"/>
        <v>0.00</v>
      </c>
      <c r="O275" t="str">
        <f>"300789"</f>
        <v>300789</v>
      </c>
      <c r="P275" t="str">
        <f>"0153613480"</f>
        <v>0153613480</v>
      </c>
    </row>
    <row r="276" spans="1:16" x14ac:dyDescent="0.25">
      <c r="A276" t="str">
        <f t="shared" si="91"/>
        <v>人民币</v>
      </c>
      <c r="B276" t="str">
        <f>"凯龙股份"</f>
        <v>凯龙股份</v>
      </c>
      <c r="C276" t="str">
        <f t="shared" si="101"/>
        <v>20190814</v>
      </c>
      <c r="D276" t="str">
        <f>"10.046"</f>
        <v>10.046</v>
      </c>
      <c r="E276" t="str">
        <f>"-800.00"</f>
        <v>-800.00</v>
      </c>
      <c r="F276" t="str">
        <f>"8020.92"</f>
        <v>8020.92</v>
      </c>
      <c r="G276" t="str">
        <f>"15988.17"</f>
        <v>15988.17</v>
      </c>
      <c r="H276" t="str">
        <f>"5800.00"</f>
        <v>5800.00</v>
      </c>
      <c r="I276" t="str">
        <f>"33"</f>
        <v>33</v>
      </c>
      <c r="J276" t="str">
        <f>"证券卖出(凯龙股份)"</f>
        <v>证券卖出(凯龙股份)</v>
      </c>
      <c r="K276" t="str">
        <f>"8.04"</f>
        <v>8.04</v>
      </c>
      <c r="L276" t="str">
        <f>"8.04"</f>
        <v>8.04</v>
      </c>
      <c r="M276" t="str">
        <f>"0.00"</f>
        <v>0.00</v>
      </c>
      <c r="N276" t="str">
        <f>"0.00"</f>
        <v>0.00</v>
      </c>
      <c r="O276" t="str">
        <f>"002783"</f>
        <v>002783</v>
      </c>
      <c r="P276" t="str">
        <f>"0153613480"</f>
        <v>0153613480</v>
      </c>
    </row>
    <row r="277" spans="1:16" x14ac:dyDescent="0.25">
      <c r="A277" t="str">
        <f t="shared" si="91"/>
        <v>人民币</v>
      </c>
      <c r="B277" t="str">
        <f>"松霖配号"</f>
        <v>松霖配号</v>
      </c>
      <c r="C277" t="str">
        <f t="shared" si="101"/>
        <v>20190814</v>
      </c>
      <c r="D277" t="str">
        <f>"0.000"</f>
        <v>0.000</v>
      </c>
      <c r="E277" t="str">
        <f>"9.00"</f>
        <v>9.00</v>
      </c>
      <c r="F277" t="str">
        <f>"0.00"</f>
        <v>0.00</v>
      </c>
      <c r="G277" t="str">
        <f>"-7740.96"</f>
        <v>-7740.96</v>
      </c>
      <c r="H277" t="str">
        <f>"0.00"</f>
        <v>0.00</v>
      </c>
      <c r="I277" t="str">
        <f>"44"</f>
        <v>44</v>
      </c>
      <c r="J277" t="str">
        <f>"申购配号(松霖配号)"</f>
        <v>申购配号(松霖配号)</v>
      </c>
      <c r="K277" t="str">
        <f>"0.00"</f>
        <v>0.00</v>
      </c>
      <c r="L277" t="str">
        <f>"0.00"</f>
        <v>0.00</v>
      </c>
      <c r="M277" t="str">
        <f>"0.00"</f>
        <v>0.00</v>
      </c>
      <c r="N277" t="str">
        <f>"0.00"</f>
        <v>0.00</v>
      </c>
      <c r="O277" t="str">
        <f>"736992"</f>
        <v>736992</v>
      </c>
      <c r="P277" t="str">
        <f>"A400948245"</f>
        <v>A400948245</v>
      </c>
    </row>
    <row r="278" spans="1:16" x14ac:dyDescent="0.25">
      <c r="A278" t="str">
        <f t="shared" si="91"/>
        <v>人民币</v>
      </c>
      <c r="B278" t="str">
        <f>"航发科技"</f>
        <v>航发科技</v>
      </c>
      <c r="C278" t="str">
        <f t="shared" si="101"/>
        <v>20190814</v>
      </c>
      <c r="D278" t="str">
        <f>"15.740"</f>
        <v>15.740</v>
      </c>
      <c r="E278" t="str">
        <f>"-1000.00"</f>
        <v>-1000.00</v>
      </c>
      <c r="F278" t="str">
        <f>"15708.21"</f>
        <v>15708.21</v>
      </c>
      <c r="G278" t="str">
        <f>"7967.25"</f>
        <v>7967.25</v>
      </c>
      <c r="H278" t="str">
        <f>"2400.00"</f>
        <v>2400.00</v>
      </c>
      <c r="I278" t="str">
        <f>"46"</f>
        <v>46</v>
      </c>
      <c r="J278" t="str">
        <f>"证券卖出(航发科技)"</f>
        <v>证券卖出(航发科技)</v>
      </c>
      <c r="K278" t="str">
        <f>"15.74"</f>
        <v>15.74</v>
      </c>
      <c r="L278" t="str">
        <f>"15.74"</f>
        <v>15.74</v>
      </c>
      <c r="M278" t="str">
        <f>"0.31"</f>
        <v>0.31</v>
      </c>
      <c r="N278" t="str">
        <f t="shared" ref="N278:N284" si="103">"0.00"</f>
        <v>0.00</v>
      </c>
      <c r="O278" t="str">
        <f>"600391"</f>
        <v>600391</v>
      </c>
      <c r="P278" t="str">
        <f>"A400948245"</f>
        <v>A400948245</v>
      </c>
    </row>
    <row r="279" spans="1:16" x14ac:dyDescent="0.25">
      <c r="A279" t="str">
        <f t="shared" si="91"/>
        <v>人民币</v>
      </c>
      <c r="B279" t="str">
        <f>"中通国脉"</f>
        <v>中通国脉</v>
      </c>
      <c r="C279" t="str">
        <f t="shared" si="101"/>
        <v>20190814</v>
      </c>
      <c r="D279" t="str">
        <f>"19.310"</f>
        <v>19.310</v>
      </c>
      <c r="E279" t="str">
        <f>"800.00"</f>
        <v>800.00</v>
      </c>
      <c r="F279" t="str">
        <f>"-15463.76"</f>
        <v>-15463.76</v>
      </c>
      <c r="G279" t="str">
        <f>"-7740.96"</f>
        <v>-7740.96</v>
      </c>
      <c r="H279" t="str">
        <f>"3200.00"</f>
        <v>3200.00</v>
      </c>
      <c r="I279" t="str">
        <f>"37"</f>
        <v>37</v>
      </c>
      <c r="J279" t="str">
        <f>"证券买入(中通国脉)"</f>
        <v>证券买入(中通国脉)</v>
      </c>
      <c r="K279" t="str">
        <f>"15.45"</f>
        <v>15.45</v>
      </c>
      <c r="L279" t="str">
        <f>"0.00"</f>
        <v>0.00</v>
      </c>
      <c r="M279" t="str">
        <f>"0.31"</f>
        <v>0.31</v>
      </c>
      <c r="N279" t="str">
        <f t="shared" si="103"/>
        <v>0.00</v>
      </c>
      <c r="O279" t="str">
        <f>"603559"</f>
        <v>603559</v>
      </c>
      <c r="P279" t="str">
        <f>"A400948245"</f>
        <v>A400948245</v>
      </c>
    </row>
    <row r="280" spans="1:16" x14ac:dyDescent="0.25">
      <c r="A280" t="str">
        <f t="shared" si="91"/>
        <v>人民币</v>
      </c>
      <c r="B280" t="str">
        <f>"日辰配号"</f>
        <v>日辰配号</v>
      </c>
      <c r="C280" t="str">
        <f>"20190815"</f>
        <v>20190815</v>
      </c>
      <c r="D280" t="str">
        <f>"0.000"</f>
        <v>0.000</v>
      </c>
      <c r="E280" t="str">
        <f>"9.00"</f>
        <v>9.00</v>
      </c>
      <c r="F280" t="str">
        <f>"0.00"</f>
        <v>0.00</v>
      </c>
      <c r="G280" t="str">
        <f>"15988.17"</f>
        <v>15988.17</v>
      </c>
      <c r="H280" t="str">
        <f>"0.00"</f>
        <v>0.00</v>
      </c>
      <c r="I280" t="str">
        <f>"55"</f>
        <v>55</v>
      </c>
      <c r="J280" t="str">
        <f>"申购配号(日辰配号)"</f>
        <v>申购配号(日辰配号)</v>
      </c>
      <c r="K280" t="str">
        <f>"0.00"</f>
        <v>0.00</v>
      </c>
      <c r="L280" t="str">
        <f>"0.00"</f>
        <v>0.00</v>
      </c>
      <c r="M280" t="str">
        <f>"0.00"</f>
        <v>0.00</v>
      </c>
      <c r="N280" t="str">
        <f t="shared" si="103"/>
        <v>0.00</v>
      </c>
      <c r="O280" t="str">
        <f>"736755"</f>
        <v>736755</v>
      </c>
      <c r="P280" t="str">
        <f>"A400948245"</f>
        <v>A400948245</v>
      </c>
    </row>
    <row r="281" spans="1:16" x14ac:dyDescent="0.25">
      <c r="A281" t="str">
        <f t="shared" si="91"/>
        <v>人民币</v>
      </c>
      <c r="B281" t="str">
        <f>"航发科技"</f>
        <v>航发科技</v>
      </c>
      <c r="C281" t="str">
        <f>"20190815"</f>
        <v>20190815</v>
      </c>
      <c r="D281" t="str">
        <f>"15.380"</f>
        <v>15.380</v>
      </c>
      <c r="E281" t="str">
        <f>"1000.00"</f>
        <v>1000.00</v>
      </c>
      <c r="F281" t="str">
        <f>"-15395.69"</f>
        <v>-15395.69</v>
      </c>
      <c r="G281" t="str">
        <f>"592.48"</f>
        <v>592.48</v>
      </c>
      <c r="H281" t="str">
        <f>"3400.00"</f>
        <v>3400.00</v>
      </c>
      <c r="I281" t="str">
        <f>"57"</f>
        <v>57</v>
      </c>
      <c r="J281" t="str">
        <f>"证券买入(航发科技)"</f>
        <v>证券买入(航发科技)</v>
      </c>
      <c r="K281" t="str">
        <f>"15.38"</f>
        <v>15.38</v>
      </c>
      <c r="L281" t="str">
        <f>"0.00"</f>
        <v>0.00</v>
      </c>
      <c r="M281" t="str">
        <f>"0.31"</f>
        <v>0.31</v>
      </c>
      <c r="N281" t="str">
        <f t="shared" si="103"/>
        <v>0.00</v>
      </c>
      <c r="O281" t="str">
        <f>"600391"</f>
        <v>600391</v>
      </c>
      <c r="P281" t="str">
        <f>"A400948245"</f>
        <v>A400948245</v>
      </c>
    </row>
    <row r="282" spans="1:16" x14ac:dyDescent="0.25">
      <c r="A282" t="str">
        <f t="shared" si="91"/>
        <v>人民币</v>
      </c>
      <c r="B282" t="str">
        <f>"凯龙股份"</f>
        <v>凯龙股份</v>
      </c>
      <c r="C282" t="str">
        <f>"20190816"</f>
        <v>20190816</v>
      </c>
      <c r="D282" t="str">
        <f>"9.900"</f>
        <v>9.900</v>
      </c>
      <c r="E282" t="str">
        <f>"600.00"</f>
        <v>600.00</v>
      </c>
      <c r="F282" t="str">
        <f>"-5945.94"</f>
        <v>-5945.94</v>
      </c>
      <c r="G282" t="str">
        <f>"10464.52"</f>
        <v>10464.52</v>
      </c>
      <c r="H282" t="str">
        <f>"6400.00"</f>
        <v>6400.00</v>
      </c>
      <c r="I282" t="str">
        <f>"66"</f>
        <v>66</v>
      </c>
      <c r="J282" t="str">
        <f>"证券买入(凯龙股份)"</f>
        <v>证券买入(凯龙股份)</v>
      </c>
      <c r="K282" t="str">
        <f>"5.94"</f>
        <v>5.94</v>
      </c>
      <c r="L282" t="str">
        <f>"0.00"</f>
        <v>0.00</v>
      </c>
      <c r="M282" t="str">
        <f>"0.00"</f>
        <v>0.00</v>
      </c>
      <c r="N282" t="str">
        <f t="shared" si="103"/>
        <v>0.00</v>
      </c>
      <c r="O282" t="str">
        <f>"002783"</f>
        <v>002783</v>
      </c>
      <c r="P282" t="str">
        <f>"0153613480"</f>
        <v>0153613480</v>
      </c>
    </row>
    <row r="283" spans="1:16" x14ac:dyDescent="0.25">
      <c r="A283" t="str">
        <f t="shared" si="91"/>
        <v>人民币</v>
      </c>
      <c r="B283" t="str">
        <f>"航发科技"</f>
        <v>航发科技</v>
      </c>
      <c r="C283" t="str">
        <f>"20190816"</f>
        <v>20190816</v>
      </c>
      <c r="D283" t="str">
        <f>"15.850"</f>
        <v>15.850</v>
      </c>
      <c r="E283" t="str">
        <f>"-1000.00"</f>
        <v>-1000.00</v>
      </c>
      <c r="F283" t="str">
        <f>"15817.98"</f>
        <v>15817.98</v>
      </c>
      <c r="G283" t="str">
        <f>"16410.46"</f>
        <v>16410.46</v>
      </c>
      <c r="H283" t="str">
        <f>"2400.00"</f>
        <v>2400.00</v>
      </c>
      <c r="I283" t="str">
        <f>"63"</f>
        <v>63</v>
      </c>
      <c r="J283" t="str">
        <f>"证券卖出(航发科技)"</f>
        <v>证券卖出(航发科技)</v>
      </c>
      <c r="K283" t="str">
        <f>"15.85"</f>
        <v>15.85</v>
      </c>
      <c r="L283" t="str">
        <f>"15.85"</f>
        <v>15.85</v>
      </c>
      <c r="M283" t="str">
        <f>"0.32"</f>
        <v>0.32</v>
      </c>
      <c r="N283" t="str">
        <f t="shared" si="103"/>
        <v>0.00</v>
      </c>
      <c r="O283" t="str">
        <f>"600391"</f>
        <v>600391</v>
      </c>
      <c r="P283" t="str">
        <f>"A400948245"</f>
        <v>A400948245</v>
      </c>
    </row>
    <row r="284" spans="1:16" x14ac:dyDescent="0.25">
      <c r="A284" t="str">
        <f t="shared" si="91"/>
        <v>人民币</v>
      </c>
      <c r="B284" t="str">
        <f>"凯龙股份"</f>
        <v>凯龙股份</v>
      </c>
      <c r="C284" t="str">
        <f t="shared" ref="C284:C290" si="104">"20190819"</f>
        <v>20190819</v>
      </c>
      <c r="D284" t="str">
        <f>"10.150"</f>
        <v>10.150</v>
      </c>
      <c r="E284" t="str">
        <f>"-600.00"</f>
        <v>-600.00</v>
      </c>
      <c r="F284" t="str">
        <f>"6077.82"</f>
        <v>6077.82</v>
      </c>
      <c r="G284" t="str">
        <f>"9840.48"</f>
        <v>9840.48</v>
      </c>
      <c r="H284" t="str">
        <f>"5800.00"</f>
        <v>5800.00</v>
      </c>
      <c r="I284" t="str">
        <f>"86"</f>
        <v>86</v>
      </c>
      <c r="J284" t="str">
        <f>"证券卖出(凯龙股份)"</f>
        <v>证券卖出(凯龙股份)</v>
      </c>
      <c r="K284" t="str">
        <f>"6.09"</f>
        <v>6.09</v>
      </c>
      <c r="L284" t="str">
        <f>"6.09"</f>
        <v>6.09</v>
      </c>
      <c r="M284" t="str">
        <f>"0.00"</f>
        <v>0.00</v>
      </c>
      <c r="N284" t="str">
        <f t="shared" si="103"/>
        <v>0.00</v>
      </c>
      <c r="O284" t="str">
        <f>"002783"</f>
        <v>002783</v>
      </c>
      <c r="P284" t="str">
        <f>"0153613480"</f>
        <v>0153613480</v>
      </c>
    </row>
    <row r="285" spans="1:16" x14ac:dyDescent="0.25">
      <c r="A285" t="str">
        <f t="shared" si="91"/>
        <v>人民币</v>
      </c>
      <c r="B285" t="str">
        <f>"中通国脉"</f>
        <v>中通国脉</v>
      </c>
      <c r="C285" t="str">
        <f t="shared" si="104"/>
        <v>20190819</v>
      </c>
      <c r="D285" t="str">
        <f>"0.000"</f>
        <v>0.000</v>
      </c>
      <c r="E285" t="str">
        <f>"0.00"</f>
        <v>0.00</v>
      </c>
      <c r="F285" t="str">
        <f>"52.80"</f>
        <v>52.80</v>
      </c>
      <c r="G285" t="str">
        <f>"9893.28"</f>
        <v>9893.28</v>
      </c>
      <c r="H285" t="str">
        <f>"2400.00"</f>
        <v>2400.00</v>
      </c>
      <c r="I285" t="str">
        <f>"---"</f>
        <v>---</v>
      </c>
      <c r="J285" t="str">
        <f>"股息入帐(中通国脉)"</f>
        <v>股息入帐(中通国脉)</v>
      </c>
      <c r="K285" t="str">
        <f>"---"</f>
        <v>---</v>
      </c>
      <c r="L285" t="str">
        <f>"---"</f>
        <v>---</v>
      </c>
      <c r="M285" t="str">
        <f>"---"</f>
        <v>---</v>
      </c>
      <c r="N285" t="str">
        <f>"---"</f>
        <v>---</v>
      </c>
      <c r="O285" t="str">
        <f>"603559"</f>
        <v>603559</v>
      </c>
      <c r="P285" t="str">
        <f t="shared" ref="P285:P290" si="105">"A400948245"</f>
        <v>A400948245</v>
      </c>
    </row>
    <row r="286" spans="1:16" x14ac:dyDescent="0.25">
      <c r="A286" t="str">
        <f t="shared" si="91"/>
        <v>人民币</v>
      </c>
      <c r="B286" t="str">
        <f>"华脉科技"</f>
        <v>华脉科技</v>
      </c>
      <c r="C286" t="str">
        <f t="shared" si="104"/>
        <v>20190819</v>
      </c>
      <c r="D286" t="str">
        <f>"16.200"</f>
        <v>16.200</v>
      </c>
      <c r="E286" t="str">
        <f>"800.00"</f>
        <v>800.00</v>
      </c>
      <c r="F286" t="str">
        <f>"-12973.22"</f>
        <v>-12973.22</v>
      </c>
      <c r="G286" t="str">
        <f>"3762.66"</f>
        <v>3762.66</v>
      </c>
      <c r="H286" t="str">
        <f>"800.00"</f>
        <v>800.00</v>
      </c>
      <c r="I286" t="str">
        <f>"100"</f>
        <v>100</v>
      </c>
      <c r="J286" t="str">
        <f>"证券买入(华脉科技)"</f>
        <v>证券买入(华脉科技)</v>
      </c>
      <c r="K286" t="str">
        <f>"12.96"</f>
        <v>12.96</v>
      </c>
      <c r="L286" t="str">
        <f>"0.00"</f>
        <v>0.00</v>
      </c>
      <c r="M286" t="str">
        <f>"0.26"</f>
        <v>0.26</v>
      </c>
      <c r="N286" t="str">
        <f t="shared" ref="N286:N297" si="106">"0.00"</f>
        <v>0.00</v>
      </c>
      <c r="O286" t="str">
        <f>"603042"</f>
        <v>603042</v>
      </c>
      <c r="P286" t="str">
        <f t="shared" si="105"/>
        <v>A400948245</v>
      </c>
    </row>
    <row r="287" spans="1:16" x14ac:dyDescent="0.25">
      <c r="A287" t="str">
        <f t="shared" si="91"/>
        <v>人民币</v>
      </c>
      <c r="B287" t="str">
        <f>"航发科技"</f>
        <v>航发科技</v>
      </c>
      <c r="C287" t="str">
        <f t="shared" si="104"/>
        <v>20190819</v>
      </c>
      <c r="D287" t="str">
        <f>"16.280"</f>
        <v>16.280</v>
      </c>
      <c r="E287" t="str">
        <f>"600.00"</f>
        <v>600.00</v>
      </c>
      <c r="F287" t="str">
        <f>"-9777.97"</f>
        <v>-9777.97</v>
      </c>
      <c r="G287" t="str">
        <f>"16735.88"</f>
        <v>16735.88</v>
      </c>
      <c r="H287" t="str">
        <f>"3000.00"</f>
        <v>3000.00</v>
      </c>
      <c r="I287" t="str">
        <f>"96"</f>
        <v>96</v>
      </c>
      <c r="J287" t="str">
        <f>"证券买入(航发科技)"</f>
        <v>证券买入(航发科技)</v>
      </c>
      <c r="K287" t="str">
        <f>"9.77"</f>
        <v>9.77</v>
      </c>
      <c r="L287" t="str">
        <f>"0.00"</f>
        <v>0.00</v>
      </c>
      <c r="M287" t="str">
        <f>"0.20"</f>
        <v>0.20</v>
      </c>
      <c r="N287" t="str">
        <f t="shared" si="106"/>
        <v>0.00</v>
      </c>
      <c r="O287" t="str">
        <f>"600391"</f>
        <v>600391</v>
      </c>
      <c r="P287" t="str">
        <f t="shared" si="105"/>
        <v>A400948245</v>
      </c>
    </row>
    <row r="288" spans="1:16" x14ac:dyDescent="0.25">
      <c r="A288" t="str">
        <f t="shared" si="91"/>
        <v>人民币</v>
      </c>
      <c r="B288" t="str">
        <f>"中通国脉"</f>
        <v>中通国脉</v>
      </c>
      <c r="C288" t="str">
        <f t="shared" si="104"/>
        <v>20190819</v>
      </c>
      <c r="D288" t="str">
        <f>"20.140"</f>
        <v>20.140</v>
      </c>
      <c r="E288" t="str">
        <f>"-500.00"</f>
        <v>-500.00</v>
      </c>
      <c r="F288" t="str">
        <f>"10049.66"</f>
        <v>10049.66</v>
      </c>
      <c r="G288" t="str">
        <f>"26513.85"</f>
        <v>26513.85</v>
      </c>
      <c r="H288" t="str">
        <f>"2400.00"</f>
        <v>2400.00</v>
      </c>
      <c r="I288" t="str">
        <f>"89"</f>
        <v>89</v>
      </c>
      <c r="J288" t="str">
        <f>"证券卖出(中通国脉)"</f>
        <v>证券卖出(中通国脉)</v>
      </c>
      <c r="K288" t="str">
        <f>"10.07"</f>
        <v>10.07</v>
      </c>
      <c r="L288" t="str">
        <f>"10.07"</f>
        <v>10.07</v>
      </c>
      <c r="M288" t="str">
        <f>"0.20"</f>
        <v>0.20</v>
      </c>
      <c r="N288" t="str">
        <f t="shared" si="106"/>
        <v>0.00</v>
      </c>
      <c r="O288" t="str">
        <f>"603559"</f>
        <v>603559</v>
      </c>
      <c r="P288" t="str">
        <f t="shared" si="105"/>
        <v>A400948245</v>
      </c>
    </row>
    <row r="289" spans="1:16" x14ac:dyDescent="0.25">
      <c r="A289" t="str">
        <f t="shared" si="91"/>
        <v>人民币</v>
      </c>
      <c r="B289" t="str">
        <f>"中通国脉"</f>
        <v>中通国脉</v>
      </c>
      <c r="C289" t="str">
        <f t="shared" si="104"/>
        <v>20190819</v>
      </c>
      <c r="D289" t="str">
        <f>"19.940"</f>
        <v>19.940</v>
      </c>
      <c r="E289" t="str">
        <f>"-800.00"</f>
        <v>-800.00</v>
      </c>
      <c r="F289" t="str">
        <f>"15919.78"</f>
        <v>15919.78</v>
      </c>
      <c r="G289" t="str">
        <f>"16464.19"</f>
        <v>16464.19</v>
      </c>
      <c r="H289" t="str">
        <f>"2900.00"</f>
        <v>2900.00</v>
      </c>
      <c r="I289" t="str">
        <f>"83"</f>
        <v>83</v>
      </c>
      <c r="J289" t="str">
        <f>"证券卖出(中通国脉)"</f>
        <v>证券卖出(中通国脉)</v>
      </c>
      <c r="K289" t="str">
        <f>"15.95"</f>
        <v>15.95</v>
      </c>
      <c r="L289" t="str">
        <f>"15.95"</f>
        <v>15.95</v>
      </c>
      <c r="M289" t="str">
        <f>"0.32"</f>
        <v>0.32</v>
      </c>
      <c r="N289" t="str">
        <f t="shared" si="106"/>
        <v>0.00</v>
      </c>
      <c r="O289" t="str">
        <f>"603559"</f>
        <v>603559</v>
      </c>
      <c r="P289" t="str">
        <f t="shared" si="105"/>
        <v>A400948245</v>
      </c>
    </row>
    <row r="290" spans="1:16" x14ac:dyDescent="0.25">
      <c r="A290" t="str">
        <f t="shared" si="91"/>
        <v>人民币</v>
      </c>
      <c r="B290" t="str">
        <f>"中通国脉"</f>
        <v>中通国脉</v>
      </c>
      <c r="C290" t="str">
        <f t="shared" si="104"/>
        <v>20190819</v>
      </c>
      <c r="D290" t="str">
        <f>"19.820"</f>
        <v>19.820</v>
      </c>
      <c r="E290" t="str">
        <f>"500.00"</f>
        <v>500.00</v>
      </c>
      <c r="F290" t="str">
        <f>"-9920.11"</f>
        <v>-9920.11</v>
      </c>
      <c r="G290" t="str">
        <f>"544.41"</f>
        <v>544.41</v>
      </c>
      <c r="H290" t="str">
        <f>"3700.00"</f>
        <v>3700.00</v>
      </c>
      <c r="I290" t="str">
        <f>"80"</f>
        <v>80</v>
      </c>
      <c r="J290" t="str">
        <f>"证券买入(中通国脉)"</f>
        <v>证券买入(中通国脉)</v>
      </c>
      <c r="K290" t="str">
        <f>"9.91"</f>
        <v>9.91</v>
      </c>
      <c r="L290" t="str">
        <f>"0.00"</f>
        <v>0.00</v>
      </c>
      <c r="M290" t="str">
        <f>"0.20"</f>
        <v>0.20</v>
      </c>
      <c r="N290" t="str">
        <f t="shared" si="106"/>
        <v>0.00</v>
      </c>
      <c r="O290" t="str">
        <f>"603559"</f>
        <v>603559</v>
      </c>
      <c r="P290" t="str">
        <f t="shared" si="105"/>
        <v>A400948245</v>
      </c>
    </row>
    <row r="291" spans="1:16" x14ac:dyDescent="0.25">
      <c r="A291" t="str">
        <f t="shared" si="91"/>
        <v>人民币</v>
      </c>
      <c r="B291" t="str">
        <f>"凯龙股份"</f>
        <v>凯龙股份</v>
      </c>
      <c r="C291" t="str">
        <f>"20190820"</f>
        <v>20190820</v>
      </c>
      <c r="D291" t="str">
        <f>"10.620"</f>
        <v>10.620</v>
      </c>
      <c r="E291" t="str">
        <f>"900.00"</f>
        <v>900.00</v>
      </c>
      <c r="F291" t="str">
        <f>"-9567.56"</f>
        <v>-9567.56</v>
      </c>
      <c r="G291" t="str">
        <f>"3929.46"</f>
        <v>3929.46</v>
      </c>
      <c r="H291" t="str">
        <f>"6700.00"</f>
        <v>6700.00</v>
      </c>
      <c r="I291" t="str">
        <f>"110"</f>
        <v>110</v>
      </c>
      <c r="J291" t="str">
        <f>"证券买入(凯龙股份)"</f>
        <v>证券买入(凯龙股份)</v>
      </c>
      <c r="K291" t="str">
        <f>"9.56"</f>
        <v>9.56</v>
      </c>
      <c r="L291" t="str">
        <f>"0.00"</f>
        <v>0.00</v>
      </c>
      <c r="M291" t="str">
        <f>"0.00"</f>
        <v>0.00</v>
      </c>
      <c r="N291" t="str">
        <f t="shared" si="106"/>
        <v>0.00</v>
      </c>
      <c r="O291" t="str">
        <f>"002783"</f>
        <v>002783</v>
      </c>
      <c r="P291" t="str">
        <f>"0153613480"</f>
        <v>0153613480</v>
      </c>
    </row>
    <row r="292" spans="1:16" x14ac:dyDescent="0.25">
      <c r="A292" t="str">
        <f t="shared" si="91"/>
        <v>人民币</v>
      </c>
      <c r="B292" t="str">
        <f>"华脉科技"</f>
        <v>华脉科技</v>
      </c>
      <c r="C292" t="str">
        <f>"20190820"</f>
        <v>20190820</v>
      </c>
      <c r="D292" t="str">
        <f>"15.810"</f>
        <v>15.810</v>
      </c>
      <c r="E292" t="str">
        <f>"200.00"</f>
        <v>200.00</v>
      </c>
      <c r="F292" t="str">
        <f>"-3167.06"</f>
        <v>-3167.06</v>
      </c>
      <c r="G292" t="str">
        <f>"13497.02"</f>
        <v>13497.02</v>
      </c>
      <c r="H292" t="str">
        <f>"1200.00"</f>
        <v>1200.00</v>
      </c>
      <c r="I292" t="str">
        <f>"119"</f>
        <v>119</v>
      </c>
      <c r="J292" t="str">
        <f>"证券买入(华脉科技)"</f>
        <v>证券买入(华脉科技)</v>
      </c>
      <c r="K292" t="str">
        <f>"5.00"</f>
        <v>5.00</v>
      </c>
      <c r="L292" t="str">
        <f>"0.00"</f>
        <v>0.00</v>
      </c>
      <c r="M292" t="str">
        <f>"0.06"</f>
        <v>0.06</v>
      </c>
      <c r="N292" t="str">
        <f t="shared" si="106"/>
        <v>0.00</v>
      </c>
      <c r="O292" t="str">
        <f>"603042"</f>
        <v>603042</v>
      </c>
      <c r="P292" t="str">
        <f t="shared" ref="P292:P297" si="107">"A400948245"</f>
        <v>A400948245</v>
      </c>
    </row>
    <row r="293" spans="1:16" x14ac:dyDescent="0.25">
      <c r="A293" t="str">
        <f t="shared" si="91"/>
        <v>人民币</v>
      </c>
      <c r="B293" t="str">
        <f>"华脉科技"</f>
        <v>华脉科技</v>
      </c>
      <c r="C293" t="str">
        <f>"20190820"</f>
        <v>20190820</v>
      </c>
      <c r="D293" t="str">
        <f>"15.850"</f>
        <v>15.850</v>
      </c>
      <c r="E293" t="str">
        <f>"200.00"</f>
        <v>200.00</v>
      </c>
      <c r="F293" t="str">
        <f>"-3175.06"</f>
        <v>-3175.06</v>
      </c>
      <c r="G293" t="str">
        <f>"16664.08"</f>
        <v>16664.08</v>
      </c>
      <c r="H293" t="str">
        <f>"1000.00"</f>
        <v>1000.00</v>
      </c>
      <c r="I293" t="str">
        <f>"116"</f>
        <v>116</v>
      </c>
      <c r="J293" t="str">
        <f>"证券买入(华脉科技)"</f>
        <v>证券买入(华脉科技)</v>
      </c>
      <c r="K293" t="str">
        <f>"5.00"</f>
        <v>5.00</v>
      </c>
      <c r="L293" t="str">
        <f>"0.00"</f>
        <v>0.00</v>
      </c>
      <c r="M293" t="str">
        <f>"0.06"</f>
        <v>0.06</v>
      </c>
      <c r="N293" t="str">
        <f t="shared" si="106"/>
        <v>0.00</v>
      </c>
      <c r="O293" t="str">
        <f>"603042"</f>
        <v>603042</v>
      </c>
      <c r="P293" t="str">
        <f t="shared" si="107"/>
        <v>A400948245</v>
      </c>
    </row>
    <row r="294" spans="1:16" x14ac:dyDescent="0.25">
      <c r="A294" t="str">
        <f t="shared" si="91"/>
        <v>人民币</v>
      </c>
      <c r="B294" t="str">
        <f>"航发科技"</f>
        <v>航发科技</v>
      </c>
      <c r="C294" t="str">
        <f>"20190820"</f>
        <v>20190820</v>
      </c>
      <c r="D294" t="str">
        <f>"16.610"</f>
        <v>16.610</v>
      </c>
      <c r="E294" t="str">
        <f>"-600.00"</f>
        <v>-600.00</v>
      </c>
      <c r="F294" t="str">
        <f>"9945.86"</f>
        <v>9945.86</v>
      </c>
      <c r="G294" t="str">
        <f>"19839.14"</f>
        <v>19839.14</v>
      </c>
      <c r="H294" t="str">
        <f>"2400.00"</f>
        <v>2400.00</v>
      </c>
      <c r="I294" t="str">
        <f>"113"</f>
        <v>113</v>
      </c>
      <c r="J294" t="str">
        <f>"证券卖出(航发科技)"</f>
        <v>证券卖出(航发科技)</v>
      </c>
      <c r="K294" t="str">
        <f>"9.97"</f>
        <v>9.97</v>
      </c>
      <c r="L294" t="str">
        <f>"9.97"</f>
        <v>9.97</v>
      </c>
      <c r="M294" t="str">
        <f>"0.20"</f>
        <v>0.20</v>
      </c>
      <c r="N294" t="str">
        <f t="shared" si="106"/>
        <v>0.00</v>
      </c>
      <c r="O294" t="str">
        <f>"600391"</f>
        <v>600391</v>
      </c>
      <c r="P294" t="str">
        <f t="shared" si="107"/>
        <v>A400948245</v>
      </c>
    </row>
    <row r="295" spans="1:16" x14ac:dyDescent="0.25">
      <c r="A295" t="str">
        <f t="shared" si="91"/>
        <v>人民币</v>
      </c>
      <c r="B295" t="str">
        <f>"南华配号"</f>
        <v>南华配号</v>
      </c>
      <c r="C295" t="str">
        <f>"20190821"</f>
        <v>20190821</v>
      </c>
      <c r="D295" t="str">
        <f>"0.000"</f>
        <v>0.000</v>
      </c>
      <c r="E295" t="str">
        <f>"9.00"</f>
        <v>9.00</v>
      </c>
      <c r="F295" t="str">
        <f>"0.00"</f>
        <v>0.00</v>
      </c>
      <c r="G295" t="str">
        <f>"3929.46"</f>
        <v>3929.46</v>
      </c>
      <c r="H295" t="str">
        <f>"0.00"</f>
        <v>0.00</v>
      </c>
      <c r="I295" t="str">
        <f>"126"</f>
        <v>126</v>
      </c>
      <c r="J295" t="str">
        <f>"申购配号(南华配号)"</f>
        <v>申购配号(南华配号)</v>
      </c>
      <c r="K295" t="str">
        <f>"0.00"</f>
        <v>0.00</v>
      </c>
      <c r="L295" t="str">
        <f>"0.00"</f>
        <v>0.00</v>
      </c>
      <c r="M295" t="str">
        <f>"0.00"</f>
        <v>0.00</v>
      </c>
      <c r="N295" t="str">
        <f t="shared" si="106"/>
        <v>0.00</v>
      </c>
      <c r="O295" t="str">
        <f>"736093"</f>
        <v>736093</v>
      </c>
      <c r="P295" t="str">
        <f t="shared" si="107"/>
        <v>A400948245</v>
      </c>
    </row>
    <row r="296" spans="1:16" x14ac:dyDescent="0.25">
      <c r="A296" t="str">
        <f t="shared" si="91"/>
        <v>人民币</v>
      </c>
      <c r="B296" t="str">
        <f>"中通国脉"</f>
        <v>中通国脉</v>
      </c>
      <c r="C296" t="str">
        <f>"20190821"</f>
        <v>20190821</v>
      </c>
      <c r="D296" t="str">
        <f>"19.600"</f>
        <v>19.600</v>
      </c>
      <c r="E296" t="str">
        <f>"200.00"</f>
        <v>200.00</v>
      </c>
      <c r="F296" t="str">
        <f>"-3925.08"</f>
        <v>-3925.08</v>
      </c>
      <c r="G296" t="str">
        <f>"4.38"</f>
        <v>4.38</v>
      </c>
      <c r="H296" t="str">
        <f>"2600.00"</f>
        <v>2600.00</v>
      </c>
      <c r="I296" t="str">
        <f>"128"</f>
        <v>128</v>
      </c>
      <c r="J296" t="str">
        <f>"证券买入(中通国脉)"</f>
        <v>证券买入(中通国脉)</v>
      </c>
      <c r="K296" t="str">
        <f>"5.00"</f>
        <v>5.00</v>
      </c>
      <c r="L296" t="str">
        <f>"0.00"</f>
        <v>0.00</v>
      </c>
      <c r="M296" t="str">
        <f>"0.08"</f>
        <v>0.08</v>
      </c>
      <c r="N296" t="str">
        <f t="shared" si="106"/>
        <v>0.00</v>
      </c>
      <c r="O296" t="str">
        <f>"603559"</f>
        <v>603559</v>
      </c>
      <c r="P296" t="str">
        <f t="shared" si="107"/>
        <v>A400948245</v>
      </c>
    </row>
    <row r="297" spans="1:16" x14ac:dyDescent="0.25">
      <c r="A297" t="str">
        <f t="shared" si="91"/>
        <v>人民币</v>
      </c>
      <c r="B297" t="str">
        <f>"华脉科技"</f>
        <v>华脉科技</v>
      </c>
      <c r="C297" t="str">
        <f>"20190822"</f>
        <v>20190822</v>
      </c>
      <c r="D297" t="str">
        <f>"15.560"</f>
        <v>15.560</v>
      </c>
      <c r="E297" t="str">
        <f>"500.00"</f>
        <v>500.00</v>
      </c>
      <c r="F297" t="str">
        <f>"-7787.94"</f>
        <v>-7787.94</v>
      </c>
      <c r="G297" t="str">
        <f>"8216.44"</f>
        <v>8216.44</v>
      </c>
      <c r="H297" t="str">
        <f>"1700.00"</f>
        <v>1700.00</v>
      </c>
      <c r="I297" t="str">
        <f>"134"</f>
        <v>134</v>
      </c>
      <c r="J297" t="str">
        <f>"证券买入(华脉科技)"</f>
        <v>证券买入(华脉科技)</v>
      </c>
      <c r="K297" t="str">
        <f>"7.78"</f>
        <v>7.78</v>
      </c>
      <c r="L297" t="str">
        <f>"0.00"</f>
        <v>0.00</v>
      </c>
      <c r="M297" t="str">
        <f>"0.16"</f>
        <v>0.16</v>
      </c>
      <c r="N297" t="str">
        <f t="shared" si="106"/>
        <v>0.00</v>
      </c>
      <c r="O297" t="str">
        <f>"603042"</f>
        <v>603042</v>
      </c>
      <c r="P297" t="str">
        <f t="shared" si="107"/>
        <v>A400948245</v>
      </c>
    </row>
    <row r="298" spans="1:16" x14ac:dyDescent="0.25">
      <c r="A298" t="str">
        <f t="shared" si="91"/>
        <v>人民币</v>
      </c>
      <c r="B298" t="str">
        <f>""</f>
        <v/>
      </c>
      <c r="C298" t="str">
        <f>"20190822"</f>
        <v>20190822</v>
      </c>
      <c r="D298" t="str">
        <f>"---"</f>
        <v>---</v>
      </c>
      <c r="E298" t="str">
        <f>"---"</f>
        <v>---</v>
      </c>
      <c r="F298" t="str">
        <f>"16000.00"</f>
        <v>16000.00</v>
      </c>
      <c r="G298" t="str">
        <f>"16004.38"</f>
        <v>16004.38</v>
      </c>
      <c r="H298" t="str">
        <f>"---"</f>
        <v>---</v>
      </c>
      <c r="I298" t="str">
        <f>"---"</f>
        <v>---</v>
      </c>
      <c r="J298" t="str">
        <f>"银行转存"</f>
        <v>银行转存</v>
      </c>
      <c r="K298" t="str">
        <f t="shared" ref="K298:P298" si="108">"---"</f>
        <v>---</v>
      </c>
      <c r="L298" t="str">
        <f t="shared" si="108"/>
        <v>---</v>
      </c>
      <c r="M298" t="str">
        <f t="shared" si="108"/>
        <v>---</v>
      </c>
      <c r="N298" t="str">
        <f t="shared" si="108"/>
        <v>---</v>
      </c>
      <c r="O298" t="str">
        <f t="shared" si="108"/>
        <v>---</v>
      </c>
      <c r="P298" t="str">
        <f t="shared" si="108"/>
        <v>---</v>
      </c>
    </row>
    <row r="299" spans="1:16" x14ac:dyDescent="0.25">
      <c r="A299" t="str">
        <f t="shared" si="91"/>
        <v>人民币</v>
      </c>
      <c r="B299" t="str">
        <f>"长城证券"</f>
        <v>长城证券</v>
      </c>
      <c r="C299" t="str">
        <f>"20190823"</f>
        <v>20190823</v>
      </c>
      <c r="D299" t="str">
        <f>"16.160"</f>
        <v>16.160</v>
      </c>
      <c r="E299" t="str">
        <f>"1100.00"</f>
        <v>1100.00</v>
      </c>
      <c r="F299" t="str">
        <f>"-17793.78"</f>
        <v>-17793.78</v>
      </c>
      <c r="G299" t="str">
        <f>"422.66"</f>
        <v>422.66</v>
      </c>
      <c r="H299" t="str">
        <f>"1100.00"</f>
        <v>1100.00</v>
      </c>
      <c r="I299" t="str">
        <f>"139"</f>
        <v>139</v>
      </c>
      <c r="J299" t="str">
        <f>"证券买入(长城证券)"</f>
        <v>证券买入(长城证券)</v>
      </c>
      <c r="K299" t="str">
        <f>"17.78"</f>
        <v>17.78</v>
      </c>
      <c r="L299" t="str">
        <f>"0.00"</f>
        <v>0.00</v>
      </c>
      <c r="M299" t="str">
        <f>"0.00"</f>
        <v>0.00</v>
      </c>
      <c r="N299" t="str">
        <f>"0.00"</f>
        <v>0.00</v>
      </c>
      <c r="O299" t="str">
        <f>"002939"</f>
        <v>002939</v>
      </c>
      <c r="P299" t="str">
        <f>"0153613480"</f>
        <v>0153613480</v>
      </c>
    </row>
    <row r="300" spans="1:16" x14ac:dyDescent="0.25">
      <c r="A300" t="str">
        <f t="shared" si="91"/>
        <v>人民币</v>
      </c>
      <c r="B300" t="str">
        <f>""</f>
        <v/>
      </c>
      <c r="C300" t="str">
        <f>"20190823"</f>
        <v>20190823</v>
      </c>
      <c r="D300" t="str">
        <f>"---"</f>
        <v>---</v>
      </c>
      <c r="E300" t="str">
        <f>"---"</f>
        <v>---</v>
      </c>
      <c r="F300" t="str">
        <f>"10000.00"</f>
        <v>10000.00</v>
      </c>
      <c r="G300" t="str">
        <f>"18216.44"</f>
        <v>18216.44</v>
      </c>
      <c r="H300" t="str">
        <f>"---"</f>
        <v>---</v>
      </c>
      <c r="I300" t="str">
        <f>"---"</f>
        <v>---</v>
      </c>
      <c r="J300" t="str">
        <f>"银行转存"</f>
        <v>银行转存</v>
      </c>
      <c r="K300" t="str">
        <f t="shared" ref="K300:P300" si="109">"---"</f>
        <v>---</v>
      </c>
      <c r="L300" t="str">
        <f t="shared" si="109"/>
        <v>---</v>
      </c>
      <c r="M300" t="str">
        <f t="shared" si="109"/>
        <v>---</v>
      </c>
      <c r="N300" t="str">
        <f t="shared" si="109"/>
        <v>---</v>
      </c>
      <c r="O300" t="str">
        <f t="shared" si="109"/>
        <v>---</v>
      </c>
      <c r="P300" t="str">
        <f t="shared" si="109"/>
        <v>---</v>
      </c>
    </row>
    <row r="301" spans="1:16" x14ac:dyDescent="0.25">
      <c r="A301" t="str">
        <f t="shared" si="91"/>
        <v>人民币</v>
      </c>
      <c r="B301" t="str">
        <f>"凯龙股份"</f>
        <v>凯龙股份</v>
      </c>
      <c r="C301" t="str">
        <f>"20190826"</f>
        <v>20190826</v>
      </c>
      <c r="D301" t="str">
        <f>"11.400"</f>
        <v>11.400</v>
      </c>
      <c r="E301" t="str">
        <f>"-900.00"</f>
        <v>-900.00</v>
      </c>
      <c r="F301" t="str">
        <f>"10239.48"</f>
        <v>10239.48</v>
      </c>
      <c r="G301" t="str">
        <f>"30475.76"</f>
        <v>30475.76</v>
      </c>
      <c r="H301" t="str">
        <f>"5800.00"</f>
        <v>5800.00</v>
      </c>
      <c r="I301" t="str">
        <f>"160"</f>
        <v>160</v>
      </c>
      <c r="J301" t="str">
        <f>"证券卖出(凯龙股份)"</f>
        <v>证券卖出(凯龙股份)</v>
      </c>
      <c r="K301" t="str">
        <f>"10.26"</f>
        <v>10.26</v>
      </c>
      <c r="L301" t="str">
        <f>"10.26"</f>
        <v>10.26</v>
      </c>
      <c r="M301" t="str">
        <f>"0.00"</f>
        <v>0.00</v>
      </c>
      <c r="N301" t="str">
        <f>"0.00"</f>
        <v>0.00</v>
      </c>
      <c r="O301" t="str">
        <f>"002783"</f>
        <v>002783</v>
      </c>
      <c r="P301" t="str">
        <f>"0153613480"</f>
        <v>0153613480</v>
      </c>
    </row>
    <row r="302" spans="1:16" x14ac:dyDescent="0.25">
      <c r="A302" t="str">
        <f t="shared" si="91"/>
        <v>人民币</v>
      </c>
      <c r="B302" t="str">
        <f>"航发科技"</f>
        <v>航发科技</v>
      </c>
      <c r="C302" t="str">
        <f>"20190826"</f>
        <v>20190826</v>
      </c>
      <c r="D302" t="str">
        <f>"16.960"</f>
        <v>16.960</v>
      </c>
      <c r="E302" t="str">
        <f>"600.00"</f>
        <v>600.00</v>
      </c>
      <c r="F302" t="str">
        <f>"-10186.38"</f>
        <v>-10186.38</v>
      </c>
      <c r="G302" t="str">
        <f>"20236.28"</f>
        <v>20236.28</v>
      </c>
      <c r="H302" t="str">
        <f>"3000.00"</f>
        <v>3000.00</v>
      </c>
      <c r="I302" t="str">
        <f>"156"</f>
        <v>156</v>
      </c>
      <c r="J302" t="str">
        <f>"证券买入(航发科技)"</f>
        <v>证券买入(航发科技)</v>
      </c>
      <c r="K302" t="str">
        <f>"10.18"</f>
        <v>10.18</v>
      </c>
      <c r="L302" t="str">
        <f>"0.00"</f>
        <v>0.00</v>
      </c>
      <c r="M302" t="str">
        <f>"0.20"</f>
        <v>0.20</v>
      </c>
      <c r="N302" t="str">
        <f>"0.00"</f>
        <v>0.00</v>
      </c>
      <c r="O302" t="str">
        <f>"600391"</f>
        <v>600391</v>
      </c>
      <c r="P302" t="str">
        <f>"A400948245"</f>
        <v>A400948245</v>
      </c>
    </row>
    <row r="303" spans="1:16" x14ac:dyDescent="0.25">
      <c r="A303" t="str">
        <f t="shared" si="91"/>
        <v>人民币</v>
      </c>
      <c r="B303" t="str">
        <f>""</f>
        <v/>
      </c>
      <c r="C303" t="str">
        <f>"20190826"</f>
        <v>20190826</v>
      </c>
      <c r="D303" t="str">
        <f>"---"</f>
        <v>---</v>
      </c>
      <c r="E303" t="str">
        <f>"---"</f>
        <v>---</v>
      </c>
      <c r="F303" t="str">
        <f>"30000.00"</f>
        <v>30000.00</v>
      </c>
      <c r="G303" t="str">
        <f>"30422.66"</f>
        <v>30422.66</v>
      </c>
      <c r="H303" t="str">
        <f>"---"</f>
        <v>---</v>
      </c>
      <c r="I303" t="str">
        <f>"---"</f>
        <v>---</v>
      </c>
      <c r="J303" t="str">
        <f>"银行转存"</f>
        <v>银行转存</v>
      </c>
      <c r="K303" t="str">
        <f t="shared" ref="K303:P303" si="110">"---"</f>
        <v>---</v>
      </c>
      <c r="L303" t="str">
        <f t="shared" si="110"/>
        <v>---</v>
      </c>
      <c r="M303" t="str">
        <f t="shared" si="110"/>
        <v>---</v>
      </c>
      <c r="N303" t="str">
        <f t="shared" si="110"/>
        <v>---</v>
      </c>
      <c r="O303" t="str">
        <f t="shared" si="110"/>
        <v>---</v>
      </c>
      <c r="P303" t="str">
        <f t="shared" si="110"/>
        <v>---</v>
      </c>
    </row>
    <row r="304" spans="1:16" x14ac:dyDescent="0.25">
      <c r="A304" t="str">
        <f t="shared" si="91"/>
        <v>人民币</v>
      </c>
      <c r="B304" t="str">
        <f>"瑞达期货"</f>
        <v>瑞达期货</v>
      </c>
      <c r="C304" t="str">
        <f t="shared" ref="C304:C309" si="111">"20190827"</f>
        <v>20190827</v>
      </c>
      <c r="D304" t="str">
        <f>"0.000"</f>
        <v>0.000</v>
      </c>
      <c r="E304" t="str">
        <f>"12.00"</f>
        <v>12.00</v>
      </c>
      <c r="F304" t="str">
        <f>"0.00"</f>
        <v>0.00</v>
      </c>
      <c r="G304" t="str">
        <f>"31540.23"</f>
        <v>31540.23</v>
      </c>
      <c r="H304" t="str">
        <f>"0.00"</f>
        <v>0.00</v>
      </c>
      <c r="I304" t="str">
        <f>"171"</f>
        <v>171</v>
      </c>
      <c r="J304" t="str">
        <f>"申购配号(瑞达期货)"</f>
        <v>申购配号(瑞达期货)</v>
      </c>
      <c r="K304" t="str">
        <f>"0.00"</f>
        <v>0.00</v>
      </c>
      <c r="L304" t="str">
        <f>"0.00"</f>
        <v>0.00</v>
      </c>
      <c r="M304" t="str">
        <f>"0.00"</f>
        <v>0.00</v>
      </c>
      <c r="N304" t="str">
        <f>"0.00"</f>
        <v>0.00</v>
      </c>
      <c r="O304" t="str">
        <f>"002961"</f>
        <v>002961</v>
      </c>
      <c r="P304" t="str">
        <f>"0153613480"</f>
        <v>0153613480</v>
      </c>
    </row>
    <row r="305" spans="1:16" x14ac:dyDescent="0.25">
      <c r="A305" t="str">
        <f t="shared" si="91"/>
        <v>人民币</v>
      </c>
      <c r="B305" t="str">
        <f>"凯龙股份"</f>
        <v>凯龙股份</v>
      </c>
      <c r="C305" t="str">
        <f t="shared" si="111"/>
        <v>20190827</v>
      </c>
      <c r="D305" t="str">
        <f>"13.170"</f>
        <v>13.170</v>
      </c>
      <c r="E305" t="str">
        <f>"-1000.00"</f>
        <v>-1000.00</v>
      </c>
      <c r="F305" t="str">
        <f>"13143.66"</f>
        <v>13143.66</v>
      </c>
      <c r="G305" t="str">
        <f>"31540.23"</f>
        <v>31540.23</v>
      </c>
      <c r="H305" t="str">
        <f>"5800.00"</f>
        <v>5800.00</v>
      </c>
      <c r="I305" t="str">
        <f>"176"</f>
        <v>176</v>
      </c>
      <c r="J305" t="str">
        <f>"证券卖出(凯龙股份)"</f>
        <v>证券卖出(凯龙股份)</v>
      </c>
      <c r="K305" t="str">
        <f>"13.17"</f>
        <v>13.17</v>
      </c>
      <c r="L305" t="str">
        <f>"13.17"</f>
        <v>13.17</v>
      </c>
      <c r="M305" t="str">
        <f t="shared" ref="M305:N320" si="112">"0.00"</f>
        <v>0.00</v>
      </c>
      <c r="N305" t="str">
        <f t="shared" si="112"/>
        <v>0.00</v>
      </c>
      <c r="O305" t="str">
        <f>"002783"</f>
        <v>002783</v>
      </c>
      <c r="P305" t="str">
        <f>"0153613480"</f>
        <v>0153613480</v>
      </c>
    </row>
    <row r="306" spans="1:16" x14ac:dyDescent="0.25">
      <c r="A306" t="str">
        <f t="shared" si="91"/>
        <v>人民币</v>
      </c>
      <c r="B306" t="str">
        <f>"凯龙股份"</f>
        <v>凯龙股份</v>
      </c>
      <c r="C306" t="str">
        <f t="shared" si="111"/>
        <v>20190827</v>
      </c>
      <c r="D306" t="str">
        <f>"12.460"</f>
        <v>12.460</v>
      </c>
      <c r="E306" t="str">
        <f>"1000.00"</f>
        <v>1000.00</v>
      </c>
      <c r="F306" t="str">
        <f>"-12472.46"</f>
        <v>-12472.46</v>
      </c>
      <c r="G306" t="str">
        <f>"18396.57"</f>
        <v>18396.57</v>
      </c>
      <c r="H306" t="str">
        <f>"6800.00"</f>
        <v>6800.00</v>
      </c>
      <c r="I306" t="str">
        <f>"167"</f>
        <v>167</v>
      </c>
      <c r="J306" t="str">
        <f>"证券买入(凯龙股份)"</f>
        <v>证券买入(凯龙股份)</v>
      </c>
      <c r="K306" t="str">
        <f>"12.46"</f>
        <v>12.46</v>
      </c>
      <c r="L306" t="str">
        <f>"0.00"</f>
        <v>0.00</v>
      </c>
      <c r="M306" t="str">
        <f t="shared" si="112"/>
        <v>0.00</v>
      </c>
      <c r="N306" t="str">
        <f t="shared" si="112"/>
        <v>0.00</v>
      </c>
      <c r="O306" t="str">
        <f>"002783"</f>
        <v>002783</v>
      </c>
      <c r="P306" t="str">
        <f>"0153613480"</f>
        <v>0153613480</v>
      </c>
    </row>
    <row r="307" spans="1:16" x14ac:dyDescent="0.25">
      <c r="A307" t="str">
        <f t="shared" si="91"/>
        <v>人民币</v>
      </c>
      <c r="B307" t="str">
        <f>"长城证券"</f>
        <v>长城证券</v>
      </c>
      <c r="C307" t="str">
        <f t="shared" si="111"/>
        <v>20190827</v>
      </c>
      <c r="D307" t="str">
        <f>"16.310"</f>
        <v>16.310</v>
      </c>
      <c r="E307" t="str">
        <f>"-1100.00"</f>
        <v>-1100.00</v>
      </c>
      <c r="F307" t="str">
        <f>"17905.12"</f>
        <v>17905.12</v>
      </c>
      <c r="G307" t="str">
        <f>"30869.03"</f>
        <v>30869.03</v>
      </c>
      <c r="H307" t="str">
        <f>"0.00"</f>
        <v>0.00</v>
      </c>
      <c r="I307" t="str">
        <f>"173"</f>
        <v>173</v>
      </c>
      <c r="J307" t="str">
        <f>"证券卖出(长城证券)"</f>
        <v>证券卖出(长城证券)</v>
      </c>
      <c r="K307" t="str">
        <f>"17.94"</f>
        <v>17.94</v>
      </c>
      <c r="L307" t="str">
        <f>"17.94"</f>
        <v>17.94</v>
      </c>
      <c r="M307" t="str">
        <f t="shared" si="112"/>
        <v>0.00</v>
      </c>
      <c r="N307" t="str">
        <f t="shared" si="112"/>
        <v>0.00</v>
      </c>
      <c r="O307" t="str">
        <f>"002939"</f>
        <v>002939</v>
      </c>
      <c r="P307" t="str">
        <f>"0153613480"</f>
        <v>0153613480</v>
      </c>
    </row>
    <row r="308" spans="1:16" x14ac:dyDescent="0.25">
      <c r="A308" t="str">
        <f t="shared" si="91"/>
        <v>人民币</v>
      </c>
      <c r="B308" t="str">
        <f>"中通国脉"</f>
        <v>中通国脉</v>
      </c>
      <c r="C308" t="str">
        <f t="shared" si="111"/>
        <v>20190827</v>
      </c>
      <c r="D308" t="str">
        <f>"19.360"</f>
        <v>19.360</v>
      </c>
      <c r="E308" t="str">
        <f>"400.00"</f>
        <v>400.00</v>
      </c>
      <c r="F308" t="str">
        <f>"-7751.90"</f>
        <v>-7751.90</v>
      </c>
      <c r="G308" t="str">
        <f>"12963.91"</f>
        <v>12963.91</v>
      </c>
      <c r="H308" t="str">
        <f>"3500.00"</f>
        <v>3500.00</v>
      </c>
      <c r="I308" t="str">
        <f>"182"</f>
        <v>182</v>
      </c>
      <c r="J308" t="str">
        <f>"证券买入(中通国脉)"</f>
        <v>证券买入(中通国脉)</v>
      </c>
      <c r="K308" t="str">
        <f>"7.74"</f>
        <v>7.74</v>
      </c>
      <c r="L308" t="str">
        <f t="shared" ref="L308:L313" si="113">"0.00"</f>
        <v>0.00</v>
      </c>
      <c r="M308" t="str">
        <f>"0.16"</f>
        <v>0.16</v>
      </c>
      <c r="N308" t="str">
        <f t="shared" si="112"/>
        <v>0.00</v>
      </c>
      <c r="O308" t="str">
        <f>"603559"</f>
        <v>603559</v>
      </c>
      <c r="P308" t="str">
        <f>"A400948245"</f>
        <v>A400948245</v>
      </c>
    </row>
    <row r="309" spans="1:16" x14ac:dyDescent="0.25">
      <c r="A309" t="str">
        <f t="shared" si="91"/>
        <v>人民币</v>
      </c>
      <c r="B309" t="str">
        <f>"中通国脉"</f>
        <v>中通国脉</v>
      </c>
      <c r="C309" t="str">
        <f t="shared" si="111"/>
        <v>20190827</v>
      </c>
      <c r="D309" t="str">
        <f>"19.500"</f>
        <v>19.500</v>
      </c>
      <c r="E309" t="str">
        <f>"500.00"</f>
        <v>500.00</v>
      </c>
      <c r="F309" t="str">
        <f>"-9759.95"</f>
        <v>-9759.95</v>
      </c>
      <c r="G309" t="str">
        <f>"20715.81"</f>
        <v>20715.81</v>
      </c>
      <c r="H309" t="str">
        <f>"3100.00"</f>
        <v>3100.00</v>
      </c>
      <c r="I309" t="str">
        <f>"179"</f>
        <v>179</v>
      </c>
      <c r="J309" t="str">
        <f>"证券买入(中通国脉)"</f>
        <v>证券买入(中通国脉)</v>
      </c>
      <c r="K309" t="str">
        <f>"9.75"</f>
        <v>9.75</v>
      </c>
      <c r="L309" t="str">
        <f t="shared" si="113"/>
        <v>0.00</v>
      </c>
      <c r="M309" t="str">
        <f>"0.20"</f>
        <v>0.20</v>
      </c>
      <c r="N309" t="str">
        <f t="shared" si="112"/>
        <v>0.00</v>
      </c>
      <c r="O309" t="str">
        <f>"603559"</f>
        <v>603559</v>
      </c>
      <c r="P309" t="str">
        <f>"A400948245"</f>
        <v>A400948245</v>
      </c>
    </row>
    <row r="310" spans="1:16" x14ac:dyDescent="0.25">
      <c r="A310" t="str">
        <f t="shared" si="91"/>
        <v>人民币</v>
      </c>
      <c r="B310" t="str">
        <f>"凯龙股份"</f>
        <v>凯龙股份</v>
      </c>
      <c r="C310" t="str">
        <f>"20190828"</f>
        <v>20190828</v>
      </c>
      <c r="D310" t="str">
        <f>"12.560"</f>
        <v>12.560</v>
      </c>
      <c r="E310" t="str">
        <f>"1000.00"</f>
        <v>1000.00</v>
      </c>
      <c r="F310" t="str">
        <f>"-12572.56"</f>
        <v>-12572.56</v>
      </c>
      <c r="G310" t="str">
        <f>"3524.41"</f>
        <v>3524.41</v>
      </c>
      <c r="H310" t="str">
        <f>"8800.00"</f>
        <v>8800.00</v>
      </c>
      <c r="I310" t="str">
        <f>"212"</f>
        <v>212</v>
      </c>
      <c r="J310" t="str">
        <f>"证券买入(凯龙股份)"</f>
        <v>证券买入(凯龙股份)</v>
      </c>
      <c r="K310" t="str">
        <f>"12.56"</f>
        <v>12.56</v>
      </c>
      <c r="L310" t="str">
        <f t="shared" si="113"/>
        <v>0.00</v>
      </c>
      <c r="M310" t="str">
        <f>"0.00"</f>
        <v>0.00</v>
      </c>
      <c r="N310" t="str">
        <f t="shared" si="112"/>
        <v>0.00</v>
      </c>
      <c r="O310" t="str">
        <f>"002783"</f>
        <v>002783</v>
      </c>
      <c r="P310" t="str">
        <f>"0153613480"</f>
        <v>0153613480</v>
      </c>
    </row>
    <row r="311" spans="1:16" x14ac:dyDescent="0.25">
      <c r="A311" t="str">
        <f t="shared" si="91"/>
        <v>人民币</v>
      </c>
      <c r="B311" t="str">
        <f>"凯龙股份"</f>
        <v>凯龙股份</v>
      </c>
      <c r="C311" t="str">
        <f>"20190828"</f>
        <v>20190828</v>
      </c>
      <c r="D311" t="str">
        <f>"13.050"</f>
        <v>13.050</v>
      </c>
      <c r="E311" t="str">
        <f>"1000.00"</f>
        <v>1000.00</v>
      </c>
      <c r="F311" t="str">
        <f>"-13063.05"</f>
        <v>-13063.05</v>
      </c>
      <c r="G311" t="str">
        <f>"16096.97"</f>
        <v>16096.97</v>
      </c>
      <c r="H311" t="str">
        <f>"7800.00"</f>
        <v>7800.00</v>
      </c>
      <c r="I311" t="str">
        <f>"206"</f>
        <v>206</v>
      </c>
      <c r="J311" t="str">
        <f>"证券买入(凯龙股份)"</f>
        <v>证券买入(凯龙股份)</v>
      </c>
      <c r="K311" t="str">
        <f>"13.05"</f>
        <v>13.05</v>
      </c>
      <c r="L311" t="str">
        <f t="shared" si="113"/>
        <v>0.00</v>
      </c>
      <c r="M311" t="str">
        <f>"0.00"</f>
        <v>0.00</v>
      </c>
      <c r="N311" t="str">
        <f t="shared" si="112"/>
        <v>0.00</v>
      </c>
      <c r="O311" t="str">
        <f>"002783"</f>
        <v>002783</v>
      </c>
      <c r="P311" t="str">
        <f>"0153613480"</f>
        <v>0153613480</v>
      </c>
    </row>
    <row r="312" spans="1:16" x14ac:dyDescent="0.25">
      <c r="A312" t="str">
        <f t="shared" si="91"/>
        <v>人民币</v>
      </c>
      <c r="B312" t="str">
        <f>"凯龙股份"</f>
        <v>凯龙股份</v>
      </c>
      <c r="C312" t="str">
        <f>"20190828"</f>
        <v>20190828</v>
      </c>
      <c r="D312" t="str">
        <f>"12.900"</f>
        <v>12.900</v>
      </c>
      <c r="E312" t="str">
        <f>"1000.00"</f>
        <v>1000.00</v>
      </c>
      <c r="F312" t="str">
        <f>"-12912.90"</f>
        <v>-12912.90</v>
      </c>
      <c r="G312" t="str">
        <f>"29160.02"</f>
        <v>29160.02</v>
      </c>
      <c r="H312" t="str">
        <f>"6800.00"</f>
        <v>6800.00</v>
      </c>
      <c r="I312" t="str">
        <f>"198"</f>
        <v>198</v>
      </c>
      <c r="J312" t="str">
        <f>"证券买入(凯龙股份)"</f>
        <v>证券买入(凯龙股份)</v>
      </c>
      <c r="K312" t="str">
        <f>"12.90"</f>
        <v>12.90</v>
      </c>
      <c r="L312" t="str">
        <f t="shared" si="113"/>
        <v>0.00</v>
      </c>
      <c r="M312" t="str">
        <f>"0.00"</f>
        <v>0.00</v>
      </c>
      <c r="N312" t="str">
        <f t="shared" si="112"/>
        <v>0.00</v>
      </c>
      <c r="O312" t="str">
        <f>"002783"</f>
        <v>002783</v>
      </c>
      <c r="P312" t="str">
        <f>"0153613480"</f>
        <v>0153613480</v>
      </c>
    </row>
    <row r="313" spans="1:16" x14ac:dyDescent="0.25">
      <c r="A313" t="str">
        <f t="shared" si="91"/>
        <v>人民币</v>
      </c>
      <c r="B313" t="str">
        <f>"中科配号"</f>
        <v>中科配号</v>
      </c>
      <c r="C313" t="str">
        <f>"20190828"</f>
        <v>20190828</v>
      </c>
      <c r="D313" t="str">
        <f>"0.000"</f>
        <v>0.000</v>
      </c>
      <c r="E313" t="str">
        <f>"10.00"</f>
        <v>10.00</v>
      </c>
      <c r="F313" t="str">
        <f>"0.00"</f>
        <v>0.00</v>
      </c>
      <c r="G313" t="str">
        <f>"42072.92"</f>
        <v>42072.92</v>
      </c>
      <c r="H313" t="str">
        <f>"0.00"</f>
        <v>0.00</v>
      </c>
      <c r="I313" t="str">
        <f>"204"</f>
        <v>204</v>
      </c>
      <c r="J313" t="str">
        <f>"申购配号(中科配号)"</f>
        <v>申购配号(中科配号)</v>
      </c>
      <c r="K313" t="str">
        <f>"0.00"</f>
        <v>0.00</v>
      </c>
      <c r="L313" t="str">
        <f t="shared" si="113"/>
        <v>0.00</v>
      </c>
      <c r="M313" t="str">
        <f>"0.00"</f>
        <v>0.00</v>
      </c>
      <c r="N313" t="str">
        <f t="shared" si="112"/>
        <v>0.00</v>
      </c>
      <c r="O313" t="str">
        <f>"736927"</f>
        <v>736927</v>
      </c>
      <c r="P313" t="str">
        <f>"A400948245"</f>
        <v>A400948245</v>
      </c>
    </row>
    <row r="314" spans="1:16" x14ac:dyDescent="0.25">
      <c r="A314" t="str">
        <f t="shared" ref="A314:A377" si="114">"人民币"</f>
        <v>人民币</v>
      </c>
      <c r="B314" t="str">
        <f>"航发科技"</f>
        <v>航发科技</v>
      </c>
      <c r="C314" t="str">
        <f>"20190828"</f>
        <v>20190828</v>
      </c>
      <c r="D314" t="str">
        <f>"17.590"</f>
        <v>17.590</v>
      </c>
      <c r="E314" t="str">
        <f>"-600.00"</f>
        <v>-600.00</v>
      </c>
      <c r="F314" t="str">
        <f>"10532.69"</f>
        <v>10532.69</v>
      </c>
      <c r="G314" t="str">
        <f>"42072.92"</f>
        <v>42072.92</v>
      </c>
      <c r="H314" t="str">
        <f>"2400.00"</f>
        <v>2400.00</v>
      </c>
      <c r="I314" t="str">
        <f>"201"</f>
        <v>201</v>
      </c>
      <c r="J314" t="str">
        <f>"证券卖出(航发科技)"</f>
        <v>证券卖出(航发科技)</v>
      </c>
      <c r="K314" t="str">
        <f>"10.55"</f>
        <v>10.55</v>
      </c>
      <c r="L314" t="str">
        <f>"10.55"</f>
        <v>10.55</v>
      </c>
      <c r="M314" t="str">
        <f>"0.21"</f>
        <v>0.21</v>
      </c>
      <c r="N314" t="str">
        <f t="shared" si="112"/>
        <v>0.00</v>
      </c>
      <c r="O314" t="str">
        <f>"600391"</f>
        <v>600391</v>
      </c>
      <c r="P314" t="str">
        <f>"A400948245"</f>
        <v>A400948245</v>
      </c>
    </row>
    <row r="315" spans="1:16" x14ac:dyDescent="0.25">
      <c r="A315" t="str">
        <f t="shared" si="114"/>
        <v>人民币</v>
      </c>
      <c r="B315" t="str">
        <f>"航发科技"</f>
        <v>航发科技</v>
      </c>
      <c r="C315" t="str">
        <f>"20190829"</f>
        <v>20190829</v>
      </c>
      <c r="D315" t="str">
        <f>"17.920"</f>
        <v>17.920</v>
      </c>
      <c r="E315" t="str">
        <f>"-800.00"</f>
        <v>-800.00</v>
      </c>
      <c r="F315" t="str">
        <f>"14307.03"</f>
        <v>14307.03</v>
      </c>
      <c r="G315" t="str">
        <f>"17831.44"</f>
        <v>17831.44</v>
      </c>
      <c r="H315" t="str">
        <f>"1600.00"</f>
        <v>1600.00</v>
      </c>
      <c r="I315" t="str">
        <f>"227"</f>
        <v>227</v>
      </c>
      <c r="J315" t="str">
        <f>"证券卖出(航发科技)"</f>
        <v>证券卖出(航发科技)</v>
      </c>
      <c r="K315" t="str">
        <f>"14.34"</f>
        <v>14.34</v>
      </c>
      <c r="L315" t="str">
        <f>"14.34"</f>
        <v>14.34</v>
      </c>
      <c r="M315" t="str">
        <f>"0.29"</f>
        <v>0.29</v>
      </c>
      <c r="N315" t="str">
        <f t="shared" si="112"/>
        <v>0.00</v>
      </c>
      <c r="O315" t="str">
        <f>"600391"</f>
        <v>600391</v>
      </c>
      <c r="P315" t="str">
        <f>"A400948245"</f>
        <v>A400948245</v>
      </c>
    </row>
    <row r="316" spans="1:16" x14ac:dyDescent="0.25">
      <c r="A316" t="str">
        <f t="shared" si="114"/>
        <v>人民币</v>
      </c>
      <c r="B316" t="str">
        <f>"凯龙股份"</f>
        <v>凯龙股份</v>
      </c>
      <c r="C316" t="str">
        <f>"20190830"</f>
        <v>20190830</v>
      </c>
      <c r="D316" t="str">
        <f>"12.170"</f>
        <v>12.170</v>
      </c>
      <c r="E316" t="str">
        <f>"1200.00"</f>
        <v>1200.00</v>
      </c>
      <c r="F316" t="str">
        <f>"-14618.60"</f>
        <v>-14618.60</v>
      </c>
      <c r="G316" t="str">
        <f>"31978.62"</f>
        <v>31978.62</v>
      </c>
      <c r="H316" t="str">
        <f>"10000.00"</f>
        <v>10000.00</v>
      </c>
      <c r="I316" t="str">
        <f>"248"</f>
        <v>248</v>
      </c>
      <c r="J316" t="str">
        <f>"证券买入(凯龙股份)"</f>
        <v>证券买入(凯龙股份)</v>
      </c>
      <c r="K316" t="str">
        <f>"14.60"</f>
        <v>14.60</v>
      </c>
      <c r="L316" t="str">
        <f>"0.00"</f>
        <v>0.00</v>
      </c>
      <c r="M316" t="str">
        <f>"0.00"</f>
        <v>0.00</v>
      </c>
      <c r="N316" t="str">
        <f t="shared" si="112"/>
        <v>0.00</v>
      </c>
      <c r="O316" t="str">
        <f>"002783"</f>
        <v>002783</v>
      </c>
      <c r="P316" t="str">
        <f>"0153613480"</f>
        <v>0153613480</v>
      </c>
    </row>
    <row r="317" spans="1:16" x14ac:dyDescent="0.25">
      <c r="A317" t="str">
        <f t="shared" si="114"/>
        <v>人民币</v>
      </c>
      <c r="B317" t="str">
        <f>"航发科技"</f>
        <v>航发科技</v>
      </c>
      <c r="C317" t="str">
        <f>"20190830"</f>
        <v>20190830</v>
      </c>
      <c r="D317" t="str">
        <f>"18.040"</f>
        <v>18.040</v>
      </c>
      <c r="E317" t="str">
        <f>"-600.00"</f>
        <v>-600.00</v>
      </c>
      <c r="F317" t="str">
        <f>"10802.14"</f>
        <v>10802.14</v>
      </c>
      <c r="G317" t="str">
        <f>"46597.22"</f>
        <v>46597.22</v>
      </c>
      <c r="H317" t="str">
        <f>"0.00"</f>
        <v>0.00</v>
      </c>
      <c r="I317" t="str">
        <f>"245"</f>
        <v>245</v>
      </c>
      <c r="J317" t="str">
        <f>"证券卖出(航发科技)"</f>
        <v>证券卖出(航发科技)</v>
      </c>
      <c r="K317" t="str">
        <f>"10.82"</f>
        <v>10.82</v>
      </c>
      <c r="L317" t="str">
        <f>"10.82"</f>
        <v>10.82</v>
      </c>
      <c r="M317" t="str">
        <f>"0.22"</f>
        <v>0.22</v>
      </c>
      <c r="N317" t="str">
        <f t="shared" si="112"/>
        <v>0.00</v>
      </c>
      <c r="O317" t="str">
        <f>"600391"</f>
        <v>600391</v>
      </c>
      <c r="P317" t="str">
        <f>"A400948245"</f>
        <v>A400948245</v>
      </c>
    </row>
    <row r="318" spans="1:16" x14ac:dyDescent="0.25">
      <c r="A318" t="str">
        <f t="shared" si="114"/>
        <v>人民币</v>
      </c>
      <c r="B318" t="str">
        <f>"航发科技"</f>
        <v>航发科技</v>
      </c>
      <c r="C318" t="str">
        <f>"20190830"</f>
        <v>20190830</v>
      </c>
      <c r="D318" t="str">
        <f>"18.000"</f>
        <v>18.000</v>
      </c>
      <c r="E318" t="str">
        <f>"-1000.00"</f>
        <v>-1000.00</v>
      </c>
      <c r="F318" t="str">
        <f>"17963.64"</f>
        <v>17963.64</v>
      </c>
      <c r="G318" t="str">
        <f>"35795.08"</f>
        <v>35795.08</v>
      </c>
      <c r="H318" t="str">
        <f>"600.00"</f>
        <v>600.00</v>
      </c>
      <c r="I318" t="str">
        <f>"238"</f>
        <v>238</v>
      </c>
      <c r="J318" t="str">
        <f>"证券卖出(航发科技)"</f>
        <v>证券卖出(航发科技)</v>
      </c>
      <c r="K318" t="str">
        <f>"18.00"</f>
        <v>18.00</v>
      </c>
      <c r="L318" t="str">
        <f>"18.00"</f>
        <v>18.00</v>
      </c>
      <c r="M318" t="str">
        <f>"0.36"</f>
        <v>0.36</v>
      </c>
      <c r="N318" t="str">
        <f t="shared" si="112"/>
        <v>0.00</v>
      </c>
      <c r="O318" t="str">
        <f>"600391"</f>
        <v>600391</v>
      </c>
      <c r="P318" t="str">
        <f>"A400948245"</f>
        <v>A400948245</v>
      </c>
    </row>
    <row r="319" spans="1:16" x14ac:dyDescent="0.25">
      <c r="A319" t="str">
        <f t="shared" si="114"/>
        <v>人民币</v>
      </c>
      <c r="B319" t="str">
        <f>"华脉科技"</f>
        <v>华脉科技</v>
      </c>
      <c r="C319" t="str">
        <f>"20190902"</f>
        <v>20190902</v>
      </c>
      <c r="D319" t="str">
        <f>"14.500"</f>
        <v>14.500</v>
      </c>
      <c r="E319" t="str">
        <f>"-600.00"</f>
        <v>-600.00</v>
      </c>
      <c r="F319" t="str">
        <f>"8682.43"</f>
        <v>8682.43</v>
      </c>
      <c r="G319" t="str">
        <f>"32108.34"</f>
        <v>32108.34</v>
      </c>
      <c r="H319" t="str">
        <f>"1700.00"</f>
        <v>1700.00</v>
      </c>
      <c r="I319" t="str">
        <f>"267"</f>
        <v>267</v>
      </c>
      <c r="J319" t="str">
        <f>"证券卖出(华脉科技)"</f>
        <v>证券卖出(华脉科技)</v>
      </c>
      <c r="K319" t="str">
        <f>"8.70"</f>
        <v>8.70</v>
      </c>
      <c r="L319" t="str">
        <f>"8.70"</f>
        <v>8.70</v>
      </c>
      <c r="M319" t="str">
        <f>"0.17"</f>
        <v>0.17</v>
      </c>
      <c r="N319" t="str">
        <f t="shared" si="112"/>
        <v>0.00</v>
      </c>
      <c r="O319" t="str">
        <f>"603042"</f>
        <v>603042</v>
      </c>
      <c r="P319" t="str">
        <f>"A400948245"</f>
        <v>A400948245</v>
      </c>
    </row>
    <row r="320" spans="1:16" x14ac:dyDescent="0.25">
      <c r="A320" t="str">
        <f t="shared" si="114"/>
        <v>人民币</v>
      </c>
      <c r="B320" t="str">
        <f>"华脉科技"</f>
        <v>华脉科技</v>
      </c>
      <c r="C320" t="str">
        <f>"20190902"</f>
        <v>20190902</v>
      </c>
      <c r="D320" t="str">
        <f>"14.240"</f>
        <v>14.240</v>
      </c>
      <c r="E320" t="str">
        <f>"600.00"</f>
        <v>600.00</v>
      </c>
      <c r="F320" t="str">
        <f>"-8552.71"</f>
        <v>-8552.71</v>
      </c>
      <c r="G320" t="str">
        <f>"23425.91"</f>
        <v>23425.91</v>
      </c>
      <c r="H320" t="str">
        <f>"2300.00"</f>
        <v>2300.00</v>
      </c>
      <c r="I320" t="str">
        <f>"260"</f>
        <v>260</v>
      </c>
      <c r="J320" t="str">
        <f>"证券买入(华脉科技)"</f>
        <v>证券买入(华脉科技)</v>
      </c>
      <c r="K320" t="str">
        <f>"8.54"</f>
        <v>8.54</v>
      </c>
      <c r="L320" t="str">
        <f>"0.00"</f>
        <v>0.00</v>
      </c>
      <c r="M320" t="str">
        <f>"0.17"</f>
        <v>0.17</v>
      </c>
      <c r="N320" t="str">
        <f t="shared" si="112"/>
        <v>0.00</v>
      </c>
      <c r="O320" t="str">
        <f>"603042"</f>
        <v>603042</v>
      </c>
      <c r="P320" t="str">
        <f>"A400948245"</f>
        <v>A400948245</v>
      </c>
    </row>
    <row r="321" spans="1:16" x14ac:dyDescent="0.25">
      <c r="A321" t="str">
        <f t="shared" si="114"/>
        <v>人民币</v>
      </c>
      <c r="B321" t="str">
        <f>"旋极信息"</f>
        <v>旋极信息</v>
      </c>
      <c r="C321" t="str">
        <f t="shared" ref="C321:C327" si="115">"20190903"</f>
        <v>20190903</v>
      </c>
      <c r="D321" t="str">
        <f>"5.590"</f>
        <v>5.590</v>
      </c>
      <c r="E321" t="str">
        <f>"500.00"</f>
        <v>500.00</v>
      </c>
      <c r="F321" t="str">
        <f>"-2800.00"</f>
        <v>-2800.00</v>
      </c>
      <c r="G321" t="str">
        <f>"27544.49"</f>
        <v>27544.49</v>
      </c>
      <c r="H321" t="str">
        <f>"3000.00"</f>
        <v>3000.00</v>
      </c>
      <c r="I321" t="str">
        <f>"299"</f>
        <v>299</v>
      </c>
      <c r="J321" t="str">
        <f>"证券买入(旋极信息)"</f>
        <v>证券买入(旋极信息)</v>
      </c>
      <c r="K321" t="str">
        <f>"5.00"</f>
        <v>5.00</v>
      </c>
      <c r="L321" t="str">
        <f>"0.00"</f>
        <v>0.00</v>
      </c>
      <c r="M321" t="str">
        <f>"0.00"</f>
        <v>0.00</v>
      </c>
      <c r="N321" t="str">
        <f t="shared" ref="N321:N328" si="116">"0.00"</f>
        <v>0.00</v>
      </c>
      <c r="O321" t="str">
        <f>"300324"</f>
        <v>300324</v>
      </c>
      <c r="P321" t="str">
        <f>"0153613480"</f>
        <v>0153613480</v>
      </c>
    </row>
    <row r="322" spans="1:16" x14ac:dyDescent="0.25">
      <c r="A322" t="str">
        <f t="shared" si="114"/>
        <v>人民币</v>
      </c>
      <c r="B322" t="str">
        <f>"旋极信息"</f>
        <v>旋极信息</v>
      </c>
      <c r="C322" t="str">
        <f t="shared" si="115"/>
        <v>20190903</v>
      </c>
      <c r="D322" t="str">
        <f>"5.620"</f>
        <v>5.620</v>
      </c>
      <c r="E322" t="str">
        <f>"1000.00"</f>
        <v>1000.00</v>
      </c>
      <c r="F322" t="str">
        <f>"-5625.62"</f>
        <v>-5625.62</v>
      </c>
      <c r="G322" t="str">
        <f>"30344.49"</f>
        <v>30344.49</v>
      </c>
      <c r="H322" t="str">
        <f>"2500.00"</f>
        <v>2500.00</v>
      </c>
      <c r="I322" t="str">
        <f>"279"</f>
        <v>279</v>
      </c>
      <c r="J322" t="str">
        <f>"证券买入(旋极信息)"</f>
        <v>证券买入(旋极信息)</v>
      </c>
      <c r="K322" t="str">
        <f>"5.62"</f>
        <v>5.62</v>
      </c>
      <c r="L322" t="str">
        <f>"0.00"</f>
        <v>0.00</v>
      </c>
      <c r="M322" t="str">
        <f>"0.00"</f>
        <v>0.00</v>
      </c>
      <c r="N322" t="str">
        <f t="shared" si="116"/>
        <v>0.00</v>
      </c>
      <c r="O322" t="str">
        <f>"300324"</f>
        <v>300324</v>
      </c>
      <c r="P322" t="str">
        <f>"0153613480"</f>
        <v>0153613480</v>
      </c>
    </row>
    <row r="323" spans="1:16" x14ac:dyDescent="0.25">
      <c r="A323" t="str">
        <f t="shared" si="114"/>
        <v>人民币</v>
      </c>
      <c r="B323" t="str">
        <f>"旋极信息"</f>
        <v>旋极信息</v>
      </c>
      <c r="C323" t="str">
        <f t="shared" si="115"/>
        <v>20190903</v>
      </c>
      <c r="D323" t="str">
        <f>"5.810"</f>
        <v>5.810</v>
      </c>
      <c r="E323" t="str">
        <f>"1500.00"</f>
        <v>1500.00</v>
      </c>
      <c r="F323" t="str">
        <f>"-8723.72"</f>
        <v>-8723.72</v>
      </c>
      <c r="G323" t="str">
        <f>"35970.11"</f>
        <v>35970.11</v>
      </c>
      <c r="H323" t="str">
        <f>"1500.00"</f>
        <v>1500.00</v>
      </c>
      <c r="I323" t="str">
        <f>"272"</f>
        <v>272</v>
      </c>
      <c r="J323" t="str">
        <f>"证券买入(旋极信息)"</f>
        <v>证券买入(旋极信息)</v>
      </c>
      <c r="K323" t="str">
        <f>"8.72"</f>
        <v>8.72</v>
      </c>
      <c r="L323" t="str">
        <f>"0.00"</f>
        <v>0.00</v>
      </c>
      <c r="M323" t="str">
        <f>"0.00"</f>
        <v>0.00</v>
      </c>
      <c r="N323" t="str">
        <f t="shared" si="116"/>
        <v>0.00</v>
      </c>
      <c r="O323" t="str">
        <f>"300324"</f>
        <v>300324</v>
      </c>
      <c r="P323" t="str">
        <f>"0153613480"</f>
        <v>0153613480</v>
      </c>
    </row>
    <row r="324" spans="1:16" x14ac:dyDescent="0.25">
      <c r="A324" t="str">
        <f t="shared" si="114"/>
        <v>人民币</v>
      </c>
      <c r="B324" t="str">
        <f>"中通国脉"</f>
        <v>中通国脉</v>
      </c>
      <c r="C324" t="str">
        <f t="shared" si="115"/>
        <v>20190903</v>
      </c>
      <c r="D324" t="str">
        <f>"19.600"</f>
        <v>19.600</v>
      </c>
      <c r="E324" t="str">
        <f>"-200.00"</f>
        <v>-200.00</v>
      </c>
      <c r="F324" t="str">
        <f>"3911.00"</f>
        <v>3911.00</v>
      </c>
      <c r="G324" t="str">
        <f>"44693.83"</f>
        <v>44693.83</v>
      </c>
      <c r="H324" t="str">
        <f>"2400.00"</f>
        <v>2400.00</v>
      </c>
      <c r="I324" t="str">
        <f>"296"</f>
        <v>296</v>
      </c>
      <c r="J324" t="str">
        <f>"证券卖出(中通国脉)"</f>
        <v>证券卖出(中通国脉)</v>
      </c>
      <c r="K324" t="str">
        <f>"5.00"</f>
        <v>5.00</v>
      </c>
      <c r="L324" t="str">
        <f>"3.92"</f>
        <v>3.92</v>
      </c>
      <c r="M324" t="str">
        <f>"0.08"</f>
        <v>0.08</v>
      </c>
      <c r="N324" t="str">
        <f t="shared" si="116"/>
        <v>0.00</v>
      </c>
      <c r="O324" t="str">
        <f>"603559"</f>
        <v>603559</v>
      </c>
      <c r="P324" t="str">
        <f t="shared" ref="P324:P331" si="117">"A400948245"</f>
        <v>A400948245</v>
      </c>
    </row>
    <row r="325" spans="1:16" x14ac:dyDescent="0.25">
      <c r="A325" t="str">
        <f t="shared" si="114"/>
        <v>人民币</v>
      </c>
      <c r="B325" t="str">
        <f>"华脉科技"</f>
        <v>华脉科技</v>
      </c>
      <c r="C325" t="str">
        <f t="shared" si="115"/>
        <v>20190903</v>
      </c>
      <c r="D325" t="str">
        <f>"14.740"</f>
        <v>14.740</v>
      </c>
      <c r="E325" t="str">
        <f>"600.00"</f>
        <v>600.00</v>
      </c>
      <c r="F325" t="str">
        <f>"-8853.02"</f>
        <v>-8853.02</v>
      </c>
      <c r="G325" t="str">
        <f>"40782.83"</f>
        <v>40782.83</v>
      </c>
      <c r="H325" t="str">
        <f>"2300.00"</f>
        <v>2300.00</v>
      </c>
      <c r="I325" t="str">
        <f>"293"</f>
        <v>293</v>
      </c>
      <c r="J325" t="str">
        <f>"证券买入(华脉科技)"</f>
        <v>证券买入(华脉科技)</v>
      </c>
      <c r="K325" t="str">
        <f>"8.84"</f>
        <v>8.84</v>
      </c>
      <c r="L325" t="str">
        <f>"0.00"</f>
        <v>0.00</v>
      </c>
      <c r="M325" t="str">
        <f>"0.18"</f>
        <v>0.18</v>
      </c>
      <c r="N325" t="str">
        <f t="shared" si="116"/>
        <v>0.00</v>
      </c>
      <c r="O325" t="str">
        <f>"603042"</f>
        <v>603042</v>
      </c>
      <c r="P325" t="str">
        <f t="shared" si="117"/>
        <v>A400948245</v>
      </c>
    </row>
    <row r="326" spans="1:16" x14ac:dyDescent="0.25">
      <c r="A326" t="str">
        <f t="shared" si="114"/>
        <v>人民币</v>
      </c>
      <c r="B326" t="str">
        <f>"中通国脉"</f>
        <v>中通国脉</v>
      </c>
      <c r="C326" t="str">
        <f t="shared" si="115"/>
        <v>20190903</v>
      </c>
      <c r="D326" t="str">
        <f>"19.510"</f>
        <v>19.510</v>
      </c>
      <c r="E326" t="str">
        <f>"-500.00"</f>
        <v>-500.00</v>
      </c>
      <c r="F326" t="str">
        <f>"9735.29"</f>
        <v>9735.29</v>
      </c>
      <c r="G326" t="str">
        <f>"49635.85"</f>
        <v>49635.85</v>
      </c>
      <c r="H326" t="str">
        <f>"2600.00"</f>
        <v>2600.00</v>
      </c>
      <c r="I326" t="str">
        <f>"289"</f>
        <v>289</v>
      </c>
      <c r="J326" t="str">
        <f>"证券卖出(中通国脉)"</f>
        <v>证券卖出(中通国脉)</v>
      </c>
      <c r="K326" t="str">
        <f>"9.76"</f>
        <v>9.76</v>
      </c>
      <c r="L326" t="str">
        <f>"9.75"</f>
        <v>9.75</v>
      </c>
      <c r="M326" t="str">
        <f>"0.20"</f>
        <v>0.20</v>
      </c>
      <c r="N326" t="str">
        <f t="shared" si="116"/>
        <v>0.00</v>
      </c>
      <c r="O326" t="str">
        <f>"603559"</f>
        <v>603559</v>
      </c>
      <c r="P326" t="str">
        <f t="shared" si="117"/>
        <v>A400948245</v>
      </c>
    </row>
    <row r="327" spans="1:16" x14ac:dyDescent="0.25">
      <c r="A327" t="str">
        <f t="shared" si="114"/>
        <v>人民币</v>
      </c>
      <c r="B327" t="str">
        <f>"中通国脉"</f>
        <v>中通国脉</v>
      </c>
      <c r="C327" t="str">
        <f t="shared" si="115"/>
        <v>20190903</v>
      </c>
      <c r="D327" t="str">
        <f>"19.520"</f>
        <v>19.520</v>
      </c>
      <c r="E327" t="str">
        <f>"-400.00"</f>
        <v>-400.00</v>
      </c>
      <c r="F327" t="str">
        <f>"7792.22"</f>
        <v>7792.22</v>
      </c>
      <c r="G327" t="str">
        <f>"39900.56"</f>
        <v>39900.56</v>
      </c>
      <c r="H327" t="str">
        <f>"3100.00"</f>
        <v>3100.00</v>
      </c>
      <c r="I327" t="str">
        <f>"286"</f>
        <v>286</v>
      </c>
      <c r="J327" t="str">
        <f>"证券卖出(中通国脉)"</f>
        <v>证券卖出(中通国脉)</v>
      </c>
      <c r="K327" t="str">
        <f>"7.81"</f>
        <v>7.81</v>
      </c>
      <c r="L327" t="str">
        <f>"7.81"</f>
        <v>7.81</v>
      </c>
      <c r="M327" t="str">
        <f>"0.16"</f>
        <v>0.16</v>
      </c>
      <c r="N327" t="str">
        <f t="shared" si="116"/>
        <v>0.00</v>
      </c>
      <c r="O327" t="str">
        <f>"603559"</f>
        <v>603559</v>
      </c>
      <c r="P327" t="str">
        <f t="shared" si="117"/>
        <v>A400948245</v>
      </c>
    </row>
    <row r="328" spans="1:16" x14ac:dyDescent="0.25">
      <c r="A328" t="str">
        <f t="shared" si="114"/>
        <v>人民币</v>
      </c>
      <c r="B328" t="str">
        <f>"华脉科技"</f>
        <v>华脉科技</v>
      </c>
      <c r="C328" t="str">
        <f>"20190904"</f>
        <v>20190904</v>
      </c>
      <c r="D328" t="str">
        <f>"14.830"</f>
        <v>14.830</v>
      </c>
      <c r="E328" t="str">
        <f>"500.00"</f>
        <v>500.00</v>
      </c>
      <c r="F328" t="str">
        <f>"-7422.57"</f>
        <v>-7422.57</v>
      </c>
      <c r="G328" t="str">
        <f>"20119.50"</f>
        <v>20119.50</v>
      </c>
      <c r="H328" t="str">
        <f>"2800.00"</f>
        <v>2800.00</v>
      </c>
      <c r="I328" t="str">
        <f>"315"</f>
        <v>315</v>
      </c>
      <c r="J328" t="str">
        <f>"证券买入(华脉科技)"</f>
        <v>证券买入(华脉科技)</v>
      </c>
      <c r="K328" t="str">
        <f>"7.42"</f>
        <v>7.42</v>
      </c>
      <c r="L328" t="str">
        <f>"0.00"</f>
        <v>0.00</v>
      </c>
      <c r="M328" t="str">
        <f>"0.15"</f>
        <v>0.15</v>
      </c>
      <c r="N328" t="str">
        <f t="shared" si="116"/>
        <v>0.00</v>
      </c>
      <c r="O328" t="str">
        <f>"603042"</f>
        <v>603042</v>
      </c>
      <c r="P328" t="str">
        <f t="shared" si="117"/>
        <v>A400948245</v>
      </c>
    </row>
    <row r="329" spans="1:16" x14ac:dyDescent="0.25">
      <c r="A329" t="str">
        <f t="shared" si="114"/>
        <v>人民币</v>
      </c>
      <c r="B329" t="str">
        <f>"中通国脉"</f>
        <v>中通国脉</v>
      </c>
      <c r="C329" t="str">
        <f>"20190904"</f>
        <v>20190904</v>
      </c>
      <c r="D329" t="str">
        <f>"0.000"</f>
        <v>0.000</v>
      </c>
      <c r="E329" t="str">
        <f>"0.00"</f>
        <v>0.00</v>
      </c>
      <c r="F329" t="str">
        <f>"-1.10"</f>
        <v>-1.10</v>
      </c>
      <c r="G329" t="str">
        <f>"27542.07"</f>
        <v>27542.07</v>
      </c>
      <c r="H329" t="str">
        <f>"2400.00"</f>
        <v>2400.00</v>
      </c>
      <c r="I329" t="str">
        <f>"---"</f>
        <v>---</v>
      </c>
      <c r="J329" t="str">
        <f>"红利差异税扣税(中通国脉)"</f>
        <v>红利差异税扣税(中通国脉)</v>
      </c>
      <c r="K329" t="str">
        <f t="shared" ref="K329:N331" si="118">"---"</f>
        <v>---</v>
      </c>
      <c r="L329" t="str">
        <f t="shared" si="118"/>
        <v>---</v>
      </c>
      <c r="M329" t="str">
        <f t="shared" si="118"/>
        <v>---</v>
      </c>
      <c r="N329" t="str">
        <f t="shared" si="118"/>
        <v>---</v>
      </c>
      <c r="O329" t="str">
        <f>"603559"</f>
        <v>603559</v>
      </c>
      <c r="P329" t="str">
        <f t="shared" si="117"/>
        <v>A400948245</v>
      </c>
    </row>
    <row r="330" spans="1:16" x14ac:dyDescent="0.25">
      <c r="A330" t="str">
        <f t="shared" si="114"/>
        <v>人民币</v>
      </c>
      <c r="B330" t="str">
        <f>"中通国脉"</f>
        <v>中通国脉</v>
      </c>
      <c r="C330" t="str">
        <f>"20190904"</f>
        <v>20190904</v>
      </c>
      <c r="D330" t="str">
        <f>"0.000"</f>
        <v>0.000</v>
      </c>
      <c r="E330" t="str">
        <f>"0.00"</f>
        <v>0.00</v>
      </c>
      <c r="F330" t="str">
        <f>"-0.66"</f>
        <v>-0.66</v>
      </c>
      <c r="G330" t="str">
        <f>"27543.17"</f>
        <v>27543.17</v>
      </c>
      <c r="H330" t="str">
        <f>"2400.00"</f>
        <v>2400.00</v>
      </c>
      <c r="I330" t="str">
        <f>"---"</f>
        <v>---</v>
      </c>
      <c r="J330" t="str">
        <f>"红利差异税扣税(中通国脉)"</f>
        <v>红利差异税扣税(中通国脉)</v>
      </c>
      <c r="K330" t="str">
        <f t="shared" si="118"/>
        <v>---</v>
      </c>
      <c r="L330" t="str">
        <f t="shared" si="118"/>
        <v>---</v>
      </c>
      <c r="M330" t="str">
        <f t="shared" si="118"/>
        <v>---</v>
      </c>
      <c r="N330" t="str">
        <f t="shared" si="118"/>
        <v>---</v>
      </c>
      <c r="O330" t="str">
        <f>"603559"</f>
        <v>603559</v>
      </c>
      <c r="P330" t="str">
        <f t="shared" si="117"/>
        <v>A400948245</v>
      </c>
    </row>
    <row r="331" spans="1:16" x14ac:dyDescent="0.25">
      <c r="A331" t="str">
        <f t="shared" si="114"/>
        <v>人民币</v>
      </c>
      <c r="B331" t="str">
        <f>"中通国脉"</f>
        <v>中通国脉</v>
      </c>
      <c r="C331" t="str">
        <f>"20190904"</f>
        <v>20190904</v>
      </c>
      <c r="D331" t="str">
        <f>"0.000"</f>
        <v>0.000</v>
      </c>
      <c r="E331" t="str">
        <f>"0.00"</f>
        <v>0.00</v>
      </c>
      <c r="F331" t="str">
        <f>"-0.66"</f>
        <v>-0.66</v>
      </c>
      <c r="G331" t="str">
        <f>"27543.83"</f>
        <v>27543.83</v>
      </c>
      <c r="H331" t="str">
        <f>"2400.00"</f>
        <v>2400.00</v>
      </c>
      <c r="I331" t="str">
        <f>"---"</f>
        <v>---</v>
      </c>
      <c r="J331" t="str">
        <f>"红利差异税扣税(中通国脉)"</f>
        <v>红利差异税扣税(中通国脉)</v>
      </c>
      <c r="K331" t="str">
        <f t="shared" si="118"/>
        <v>---</v>
      </c>
      <c r="L331" t="str">
        <f t="shared" si="118"/>
        <v>---</v>
      </c>
      <c r="M331" t="str">
        <f t="shared" si="118"/>
        <v>---</v>
      </c>
      <c r="N331" t="str">
        <f t="shared" si="118"/>
        <v>---</v>
      </c>
      <c r="O331" t="str">
        <f>"603559"</f>
        <v>603559</v>
      </c>
      <c r="P331" t="str">
        <f t="shared" si="117"/>
        <v>A400948245</v>
      </c>
    </row>
    <row r="332" spans="1:16" x14ac:dyDescent="0.25">
      <c r="A332" t="str">
        <f t="shared" si="114"/>
        <v>人民币</v>
      </c>
      <c r="B332" t="str">
        <f>"五方光电"</f>
        <v>五方光电</v>
      </c>
      <c r="C332" t="str">
        <f>"20190905"</f>
        <v>20190905</v>
      </c>
      <c r="D332" t="str">
        <f>"0.000"</f>
        <v>0.000</v>
      </c>
      <c r="E332" t="str">
        <f>"15.00"</f>
        <v>15.00</v>
      </c>
      <c r="F332" t="str">
        <f>"0.00"</f>
        <v>0.00</v>
      </c>
      <c r="G332" t="str">
        <f>"34095.65"</f>
        <v>34095.65</v>
      </c>
      <c r="H332" t="str">
        <f>"0.00"</f>
        <v>0.00</v>
      </c>
      <c r="I332" t="str">
        <f>"324"</f>
        <v>324</v>
      </c>
      <c r="J332" t="str">
        <f>"申购配号(五方光电)"</f>
        <v>申购配号(五方光电)</v>
      </c>
      <c r="K332" t="str">
        <f>"0.00"</f>
        <v>0.00</v>
      </c>
      <c r="L332" t="str">
        <f>"0.00"</f>
        <v>0.00</v>
      </c>
      <c r="M332" t="str">
        <f>"0.00"</f>
        <v>0.00</v>
      </c>
      <c r="N332" t="str">
        <f>"0.00"</f>
        <v>0.00</v>
      </c>
      <c r="O332" t="str">
        <f>"002962"</f>
        <v>002962</v>
      </c>
      <c r="P332" t="str">
        <f>"0153613480"</f>
        <v>0153613480</v>
      </c>
    </row>
    <row r="333" spans="1:16" x14ac:dyDescent="0.25">
      <c r="A333" t="str">
        <f t="shared" si="114"/>
        <v>人民币</v>
      </c>
      <c r="B333" t="str">
        <f>"旋极信息"</f>
        <v>旋极信息</v>
      </c>
      <c r="C333" t="str">
        <f>"20190905"</f>
        <v>20190905</v>
      </c>
      <c r="D333" t="str">
        <f>"5.810"</f>
        <v>5.810</v>
      </c>
      <c r="E333" t="str">
        <f>"-3000.00"</f>
        <v>-3000.00</v>
      </c>
      <c r="F333" t="str">
        <f>"17395.14"</f>
        <v>17395.14</v>
      </c>
      <c r="G333" t="str">
        <f>"34095.65"</f>
        <v>34095.65</v>
      </c>
      <c r="H333" t="str">
        <f>"0.00"</f>
        <v>0.00</v>
      </c>
      <c r="I333" t="str">
        <f>"332"</f>
        <v>332</v>
      </c>
      <c r="J333" t="str">
        <f>"证券卖出(旋极信息)"</f>
        <v>证券卖出(旋极信息)</v>
      </c>
      <c r="K333" t="str">
        <f>"17.43"</f>
        <v>17.43</v>
      </c>
      <c r="L333" t="str">
        <f>"17.43"</f>
        <v>17.43</v>
      </c>
      <c r="M333" t="str">
        <f t="shared" ref="M333:N348" si="119">"0.00"</f>
        <v>0.00</v>
      </c>
      <c r="N333" t="str">
        <f t="shared" si="119"/>
        <v>0.00</v>
      </c>
      <c r="O333" t="str">
        <f>"300324"</f>
        <v>300324</v>
      </c>
      <c r="P333" t="str">
        <f>"0153613480"</f>
        <v>0153613480</v>
      </c>
    </row>
    <row r="334" spans="1:16" x14ac:dyDescent="0.25">
      <c r="A334" t="str">
        <f t="shared" si="114"/>
        <v>人民币</v>
      </c>
      <c r="B334" t="str">
        <f>"长城证券"</f>
        <v>长城证券</v>
      </c>
      <c r="C334" t="str">
        <f>"20190905"</f>
        <v>20190905</v>
      </c>
      <c r="D334" t="str">
        <f>"16.500"</f>
        <v>16.500</v>
      </c>
      <c r="E334" t="str">
        <f>"200.00"</f>
        <v>200.00</v>
      </c>
      <c r="F334" t="str">
        <f>"-3305.00"</f>
        <v>-3305.00</v>
      </c>
      <c r="G334" t="str">
        <f>"16700.51"</f>
        <v>16700.51</v>
      </c>
      <c r="H334" t="str">
        <f>"1200.00"</f>
        <v>1200.00</v>
      </c>
      <c r="I334" t="str">
        <f>"326"</f>
        <v>326</v>
      </c>
      <c r="J334" t="str">
        <f>"证券买入(长城证券)"</f>
        <v>证券买入(长城证券)</v>
      </c>
      <c r="K334" t="str">
        <f>"5.00"</f>
        <v>5.00</v>
      </c>
      <c r="L334" t="str">
        <f>"0.00"</f>
        <v>0.00</v>
      </c>
      <c r="M334" t="str">
        <f t="shared" si="119"/>
        <v>0.00</v>
      </c>
      <c r="N334" t="str">
        <f t="shared" si="119"/>
        <v>0.00</v>
      </c>
      <c r="O334" t="str">
        <f>"002939"</f>
        <v>002939</v>
      </c>
      <c r="P334" t="str">
        <f>"0153613480"</f>
        <v>0153613480</v>
      </c>
    </row>
    <row r="335" spans="1:16" x14ac:dyDescent="0.25">
      <c r="A335" t="str">
        <f t="shared" si="114"/>
        <v>人民币</v>
      </c>
      <c r="B335" t="str">
        <f>"长城证券"</f>
        <v>长城证券</v>
      </c>
      <c r="C335" t="str">
        <f>"20190905"</f>
        <v>20190905</v>
      </c>
      <c r="D335" t="str">
        <f>"16.597"</f>
        <v>16.597</v>
      </c>
      <c r="E335" t="str">
        <f>"1000.00"</f>
        <v>1000.00</v>
      </c>
      <c r="F335" t="str">
        <f>"-16613.60"</f>
        <v>-16613.60</v>
      </c>
      <c r="G335" t="str">
        <f>"20005.51"</f>
        <v>20005.51</v>
      </c>
      <c r="H335" t="str">
        <f>"1000.00"</f>
        <v>1000.00</v>
      </c>
      <c r="I335" t="str">
        <f>"319"</f>
        <v>319</v>
      </c>
      <c r="J335" t="str">
        <f>"证券买入(长城证券)"</f>
        <v>证券买入(长城证券)</v>
      </c>
      <c r="K335" t="str">
        <f>"16.60"</f>
        <v>16.60</v>
      </c>
      <c r="L335" t="str">
        <f>"0.00"</f>
        <v>0.00</v>
      </c>
      <c r="M335" t="str">
        <f t="shared" si="119"/>
        <v>0.00</v>
      </c>
      <c r="N335" t="str">
        <f t="shared" si="119"/>
        <v>0.00</v>
      </c>
      <c r="O335" t="str">
        <f>"002939"</f>
        <v>002939</v>
      </c>
      <c r="P335" t="str">
        <f>"0153613480"</f>
        <v>0153613480</v>
      </c>
    </row>
    <row r="336" spans="1:16" x14ac:dyDescent="0.25">
      <c r="A336" t="str">
        <f t="shared" si="114"/>
        <v>人民币</v>
      </c>
      <c r="B336" t="str">
        <f>"华脉科技"</f>
        <v>华脉科技</v>
      </c>
      <c r="C336" t="str">
        <f>"20190905"</f>
        <v>20190905</v>
      </c>
      <c r="D336" t="str">
        <f>"15.030"</f>
        <v>15.030</v>
      </c>
      <c r="E336" t="str">
        <f>"-1100.00"</f>
        <v>-1100.00</v>
      </c>
      <c r="F336" t="str">
        <f>"16499.61"</f>
        <v>16499.61</v>
      </c>
      <c r="G336" t="str">
        <f>"36619.11"</f>
        <v>36619.11</v>
      </c>
      <c r="H336" t="str">
        <f>"1700.00"</f>
        <v>1700.00</v>
      </c>
      <c r="I336" t="str">
        <f>"329"</f>
        <v>329</v>
      </c>
      <c r="J336" t="str">
        <f>"证券卖出(华脉科技)"</f>
        <v>证券卖出(华脉科技)</v>
      </c>
      <c r="K336" t="str">
        <f>"16.53"</f>
        <v>16.53</v>
      </c>
      <c r="L336" t="str">
        <f>"16.53"</f>
        <v>16.53</v>
      </c>
      <c r="M336" t="str">
        <f>"0.33"</f>
        <v>0.33</v>
      </c>
      <c r="N336" t="str">
        <f t="shared" si="119"/>
        <v>0.00</v>
      </c>
      <c r="O336" t="str">
        <f>"603042"</f>
        <v>603042</v>
      </c>
      <c r="P336" t="str">
        <f>"A400948245"</f>
        <v>A400948245</v>
      </c>
    </row>
    <row r="337" spans="1:16" x14ac:dyDescent="0.25">
      <c r="A337" t="str">
        <f t="shared" si="114"/>
        <v>人民币</v>
      </c>
      <c r="B337" t="str">
        <f>"凯龙股份"</f>
        <v>凯龙股份</v>
      </c>
      <c r="C337" t="str">
        <f>"20190906"</f>
        <v>20190906</v>
      </c>
      <c r="D337" t="str">
        <f>"13.940"</f>
        <v>13.940</v>
      </c>
      <c r="E337" t="str">
        <f>"-5800.00"</f>
        <v>-5800.00</v>
      </c>
      <c r="F337" t="str">
        <f>"80690.30"</f>
        <v>80690.30</v>
      </c>
      <c r="G337" t="str">
        <f>"170074.75"</f>
        <v>170074.75</v>
      </c>
      <c r="H337" t="str">
        <f>"0.00"</f>
        <v>0.00</v>
      </c>
      <c r="I337" t="str">
        <f>"358"</f>
        <v>358</v>
      </c>
      <c r="J337" t="str">
        <f>"证券卖出(凯龙股份)"</f>
        <v>证券卖出(凯龙股份)</v>
      </c>
      <c r="K337" t="str">
        <f>"80.85"</f>
        <v>80.85</v>
      </c>
      <c r="L337" t="str">
        <f>"80.85"</f>
        <v>80.85</v>
      </c>
      <c r="M337" t="str">
        <f t="shared" ref="M337:M343" si="120">"0.00"</f>
        <v>0.00</v>
      </c>
      <c r="N337" t="str">
        <f t="shared" si="119"/>
        <v>0.00</v>
      </c>
      <c r="O337" t="str">
        <f>"002783"</f>
        <v>002783</v>
      </c>
      <c r="P337" t="str">
        <f t="shared" ref="P337:P343" si="121">"0153613480"</f>
        <v>0153613480</v>
      </c>
    </row>
    <row r="338" spans="1:16" x14ac:dyDescent="0.25">
      <c r="A338" t="str">
        <f t="shared" si="114"/>
        <v>人民币</v>
      </c>
      <c r="B338" t="str">
        <f>"凯龙股份"</f>
        <v>凯龙股份</v>
      </c>
      <c r="C338" t="str">
        <f>"20190906"</f>
        <v>20190906</v>
      </c>
      <c r="D338" t="str">
        <f>"13.280"</f>
        <v>13.280</v>
      </c>
      <c r="E338" t="str">
        <f>"-3000.00"</f>
        <v>-3000.00</v>
      </c>
      <c r="F338" t="str">
        <f>"39760.32"</f>
        <v>39760.32</v>
      </c>
      <c r="G338" t="str">
        <f>"89384.45"</f>
        <v>89384.45</v>
      </c>
      <c r="H338" t="str">
        <f>"5800.00"</f>
        <v>5800.00</v>
      </c>
      <c r="I338" t="str">
        <f>"352"</f>
        <v>352</v>
      </c>
      <c r="J338" t="str">
        <f>"证券卖出(凯龙股份)"</f>
        <v>证券卖出(凯龙股份)</v>
      </c>
      <c r="K338" t="str">
        <f>"39.84"</f>
        <v>39.84</v>
      </c>
      <c r="L338" t="str">
        <f>"39.84"</f>
        <v>39.84</v>
      </c>
      <c r="M338" t="str">
        <f t="shared" si="120"/>
        <v>0.00</v>
      </c>
      <c r="N338" t="str">
        <f t="shared" si="119"/>
        <v>0.00</v>
      </c>
      <c r="O338" t="str">
        <f>"002783"</f>
        <v>002783</v>
      </c>
      <c r="P338" t="str">
        <f t="shared" si="121"/>
        <v>0153613480</v>
      </c>
    </row>
    <row r="339" spans="1:16" x14ac:dyDescent="0.25">
      <c r="A339" t="str">
        <f t="shared" si="114"/>
        <v>人民币</v>
      </c>
      <c r="B339" t="str">
        <f>"凯龙股份"</f>
        <v>凯龙股份</v>
      </c>
      <c r="C339" t="str">
        <f>"20190906"</f>
        <v>20190906</v>
      </c>
      <c r="D339" t="str">
        <f>"12.840"</f>
        <v>12.840</v>
      </c>
      <c r="E339" t="str">
        <f>"-1200.00"</f>
        <v>-1200.00</v>
      </c>
      <c r="F339" t="str">
        <f>"15377.18"</f>
        <v>15377.18</v>
      </c>
      <c r="G339" t="str">
        <f>"49624.13"</f>
        <v>49624.13</v>
      </c>
      <c r="H339" t="str">
        <f>"8800.00"</f>
        <v>8800.00</v>
      </c>
      <c r="I339" t="str">
        <f>"346"</f>
        <v>346</v>
      </c>
      <c r="J339" t="str">
        <f>"证券卖出(凯龙股份)"</f>
        <v>证券卖出(凯龙股份)</v>
      </c>
      <c r="K339" t="str">
        <f>"15.41"</f>
        <v>15.41</v>
      </c>
      <c r="L339" t="str">
        <f>"15.41"</f>
        <v>15.41</v>
      </c>
      <c r="M339" t="str">
        <f t="shared" si="120"/>
        <v>0.00</v>
      </c>
      <c r="N339" t="str">
        <f t="shared" si="119"/>
        <v>0.00</v>
      </c>
      <c r="O339" t="str">
        <f>"002783"</f>
        <v>002783</v>
      </c>
      <c r="P339" t="str">
        <f t="shared" si="121"/>
        <v>0153613480</v>
      </c>
    </row>
    <row r="340" spans="1:16" x14ac:dyDescent="0.25">
      <c r="A340" t="str">
        <f t="shared" si="114"/>
        <v>人民币</v>
      </c>
      <c r="B340" t="str">
        <f>"长城证券"</f>
        <v>长城证券</v>
      </c>
      <c r="C340" t="str">
        <f>"20190906"</f>
        <v>20190906</v>
      </c>
      <c r="D340" t="str">
        <f>"16.300"</f>
        <v>16.300</v>
      </c>
      <c r="E340" t="str">
        <f>"-1000.00"</f>
        <v>-1000.00</v>
      </c>
      <c r="F340" t="str">
        <f>"16267.40"</f>
        <v>16267.40</v>
      </c>
      <c r="G340" t="str">
        <f>"34246.95"</f>
        <v>34246.95</v>
      </c>
      <c r="H340" t="str">
        <f>"1200.00"</f>
        <v>1200.00</v>
      </c>
      <c r="I340" t="str">
        <f>"343"</f>
        <v>343</v>
      </c>
      <c r="J340" t="str">
        <f>"证券卖出(长城证券)"</f>
        <v>证券卖出(长城证券)</v>
      </c>
      <c r="K340" t="str">
        <f>"16.30"</f>
        <v>16.30</v>
      </c>
      <c r="L340" t="str">
        <f>"16.30"</f>
        <v>16.30</v>
      </c>
      <c r="M340" t="str">
        <f t="shared" si="120"/>
        <v>0.00</v>
      </c>
      <c r="N340" t="str">
        <f t="shared" si="119"/>
        <v>0.00</v>
      </c>
      <c r="O340" t="str">
        <f>"002939"</f>
        <v>002939</v>
      </c>
      <c r="P340" t="str">
        <f t="shared" si="121"/>
        <v>0153613480</v>
      </c>
    </row>
    <row r="341" spans="1:16" x14ac:dyDescent="0.25">
      <c r="A341" t="str">
        <f t="shared" si="114"/>
        <v>人民币</v>
      </c>
      <c r="B341" t="str">
        <f>"长城证券"</f>
        <v>长城证券</v>
      </c>
      <c r="C341" t="str">
        <f>"20190906"</f>
        <v>20190906</v>
      </c>
      <c r="D341" t="str">
        <f>"16.100"</f>
        <v>16.100</v>
      </c>
      <c r="E341" t="str">
        <f>"1000.00"</f>
        <v>1000.00</v>
      </c>
      <c r="F341" t="str">
        <f>"-16116.10"</f>
        <v>-16116.10</v>
      </c>
      <c r="G341" t="str">
        <f>"17979.55"</f>
        <v>17979.55</v>
      </c>
      <c r="H341" t="str">
        <f>"2200.00"</f>
        <v>2200.00</v>
      </c>
      <c r="I341" t="str">
        <f>"340"</f>
        <v>340</v>
      </c>
      <c r="J341" t="str">
        <f>"证券买入(长城证券)"</f>
        <v>证券买入(长城证券)</v>
      </c>
      <c r="K341" t="str">
        <f>"16.10"</f>
        <v>16.10</v>
      </c>
      <c r="L341" t="str">
        <f>"0.00"</f>
        <v>0.00</v>
      </c>
      <c r="M341" t="str">
        <f t="shared" si="120"/>
        <v>0.00</v>
      </c>
      <c r="N341" t="str">
        <f t="shared" si="119"/>
        <v>0.00</v>
      </c>
      <c r="O341" t="str">
        <f>"002939"</f>
        <v>002939</v>
      </c>
      <c r="P341" t="str">
        <f t="shared" si="121"/>
        <v>0153613480</v>
      </c>
    </row>
    <row r="342" spans="1:16" x14ac:dyDescent="0.25">
      <c r="A342" t="str">
        <f t="shared" si="114"/>
        <v>人民币</v>
      </c>
      <c r="B342" t="str">
        <f>"长城证券"</f>
        <v>长城证券</v>
      </c>
      <c r="C342" t="str">
        <f>"20190909"</f>
        <v>20190909</v>
      </c>
      <c r="D342" t="str">
        <f>"16.500"</f>
        <v>16.500</v>
      </c>
      <c r="E342" t="str">
        <f>"-1200.00"</f>
        <v>-1200.00</v>
      </c>
      <c r="F342" t="str">
        <f>"19760.40"</f>
        <v>19760.40</v>
      </c>
      <c r="G342" t="str">
        <f>"174885.95"</f>
        <v>174885.95</v>
      </c>
      <c r="H342" t="str">
        <f>"0.00"</f>
        <v>0.00</v>
      </c>
      <c r="I342" t="str">
        <f>"383"</f>
        <v>383</v>
      </c>
      <c r="J342" t="str">
        <f>"证券卖出(长城证券)"</f>
        <v>证券卖出(长城证券)</v>
      </c>
      <c r="K342" t="str">
        <f>"19.80"</f>
        <v>19.80</v>
      </c>
      <c r="L342" t="str">
        <f>"19.80"</f>
        <v>19.80</v>
      </c>
      <c r="M342" t="str">
        <f t="shared" si="120"/>
        <v>0.00</v>
      </c>
      <c r="N342" t="str">
        <f t="shared" si="119"/>
        <v>0.00</v>
      </c>
      <c r="O342" t="str">
        <f>"002939"</f>
        <v>002939</v>
      </c>
      <c r="P342" t="str">
        <f t="shared" si="121"/>
        <v>0153613480</v>
      </c>
    </row>
    <row r="343" spans="1:16" x14ac:dyDescent="0.25">
      <c r="A343" t="str">
        <f t="shared" si="114"/>
        <v>人民币</v>
      </c>
      <c r="B343" t="str">
        <f>"梅安森"</f>
        <v>梅安森</v>
      </c>
      <c r="C343" t="str">
        <f>"20190909"</f>
        <v>20190909</v>
      </c>
      <c r="D343" t="str">
        <f>"10.170"</f>
        <v>10.170</v>
      </c>
      <c r="E343" t="str">
        <f>"3000.00"</f>
        <v>3000.00</v>
      </c>
      <c r="F343" t="str">
        <f>"-30540.51"</f>
        <v>-30540.51</v>
      </c>
      <c r="G343" t="str">
        <f>"155125.55"</f>
        <v>155125.55</v>
      </c>
      <c r="H343" t="str">
        <f>"3000.00"</f>
        <v>3000.00</v>
      </c>
      <c r="I343" t="str">
        <f>"386"</f>
        <v>386</v>
      </c>
      <c r="J343" t="str">
        <f>"证券买入(梅安森)"</f>
        <v>证券买入(梅安森)</v>
      </c>
      <c r="K343" t="str">
        <f>"30.51"</f>
        <v>30.51</v>
      </c>
      <c r="L343" t="str">
        <f>"0.00"</f>
        <v>0.00</v>
      </c>
      <c r="M343" t="str">
        <f t="shared" si="120"/>
        <v>0.00</v>
      </c>
      <c r="N343" t="str">
        <f t="shared" si="119"/>
        <v>0.00</v>
      </c>
      <c r="O343" t="str">
        <f>"300275"</f>
        <v>300275</v>
      </c>
      <c r="P343" t="str">
        <f t="shared" si="121"/>
        <v>0153613480</v>
      </c>
    </row>
    <row r="344" spans="1:16" x14ac:dyDescent="0.25">
      <c r="A344" t="str">
        <f t="shared" si="114"/>
        <v>人民币</v>
      </c>
      <c r="B344" t="str">
        <f>"华脉科技"</f>
        <v>华脉科技</v>
      </c>
      <c r="C344" t="str">
        <f>"20190909"</f>
        <v>20190909</v>
      </c>
      <c r="D344" t="str">
        <f>"16.230"</f>
        <v>16.230</v>
      </c>
      <c r="E344" t="str">
        <f>"-800.00"</f>
        <v>-800.00</v>
      </c>
      <c r="F344" t="str">
        <f>"12957.78"</f>
        <v>12957.78</v>
      </c>
      <c r="G344" t="str">
        <f>"185666.06"</f>
        <v>185666.06</v>
      </c>
      <c r="H344" t="str">
        <f>"0.00"</f>
        <v>0.00</v>
      </c>
      <c r="I344" t="str">
        <f>"379"</f>
        <v>379</v>
      </c>
      <c r="J344" t="str">
        <f>"证券卖出(华脉科技)"</f>
        <v>证券卖出(华脉科技)</v>
      </c>
      <c r="K344" t="str">
        <f>"12.98"</f>
        <v>12.98</v>
      </c>
      <c r="L344" t="str">
        <f>"12.99"</f>
        <v>12.99</v>
      </c>
      <c r="M344" t="str">
        <f>"0.25"</f>
        <v>0.25</v>
      </c>
      <c r="N344" t="str">
        <f t="shared" si="119"/>
        <v>0.00</v>
      </c>
      <c r="O344" t="str">
        <f>"603042"</f>
        <v>603042</v>
      </c>
      <c r="P344" t="str">
        <f>"A400948245"</f>
        <v>A400948245</v>
      </c>
    </row>
    <row r="345" spans="1:16" x14ac:dyDescent="0.25">
      <c r="A345" t="str">
        <f t="shared" si="114"/>
        <v>人民币</v>
      </c>
      <c r="B345" t="str">
        <f>"华脉科技"</f>
        <v>华脉科技</v>
      </c>
      <c r="C345" t="str">
        <f>"20190909"</f>
        <v>20190909</v>
      </c>
      <c r="D345" t="str">
        <f>"16.150"</f>
        <v>16.150</v>
      </c>
      <c r="E345" t="str">
        <f>"-900.00"</f>
        <v>-900.00</v>
      </c>
      <c r="F345" t="str">
        <f>"14505.63"</f>
        <v>14505.63</v>
      </c>
      <c r="G345" t="str">
        <f>"172708.28"</f>
        <v>172708.28</v>
      </c>
      <c r="H345" t="str">
        <f>"800.00"</f>
        <v>800.00</v>
      </c>
      <c r="I345" t="str">
        <f>"375"</f>
        <v>375</v>
      </c>
      <c r="J345" t="str">
        <f>"证券卖出(华脉科技)"</f>
        <v>证券卖出(华脉科技)</v>
      </c>
      <c r="K345" t="str">
        <f>"14.54"</f>
        <v>14.54</v>
      </c>
      <c r="L345" t="str">
        <f>"14.54"</f>
        <v>14.54</v>
      </c>
      <c r="M345" t="str">
        <f>"0.29"</f>
        <v>0.29</v>
      </c>
      <c r="N345" t="str">
        <f t="shared" si="119"/>
        <v>0.00</v>
      </c>
      <c r="O345" t="str">
        <f>"603042"</f>
        <v>603042</v>
      </c>
      <c r="P345" t="str">
        <f>"A400948245"</f>
        <v>A400948245</v>
      </c>
    </row>
    <row r="346" spans="1:16" x14ac:dyDescent="0.25">
      <c r="A346" t="str">
        <f t="shared" si="114"/>
        <v>人民币</v>
      </c>
      <c r="B346" t="str">
        <f>"人民网"</f>
        <v>人民网</v>
      </c>
      <c r="C346" t="str">
        <f>"20190909"</f>
        <v>20190909</v>
      </c>
      <c r="D346" t="str">
        <f>"23.720"</f>
        <v>23.720</v>
      </c>
      <c r="E346" t="str">
        <f>"500.00"</f>
        <v>500.00</v>
      </c>
      <c r="F346" t="str">
        <f>"-11872.10"</f>
        <v>-11872.10</v>
      </c>
      <c r="G346" t="str">
        <f>"158202.65"</f>
        <v>158202.65</v>
      </c>
      <c r="H346" t="str">
        <f>"500.00"</f>
        <v>500.00</v>
      </c>
      <c r="I346" t="str">
        <f>"372"</f>
        <v>372</v>
      </c>
      <c r="J346" t="str">
        <f>"证券买入(人民网)"</f>
        <v>证券买入(人民网)</v>
      </c>
      <c r="K346" t="str">
        <f>"11.86"</f>
        <v>11.86</v>
      </c>
      <c r="L346" t="str">
        <f t="shared" ref="L346:L356" si="122">"0.00"</f>
        <v>0.00</v>
      </c>
      <c r="M346" t="str">
        <f>"0.24"</f>
        <v>0.24</v>
      </c>
      <c r="N346" t="str">
        <f t="shared" si="119"/>
        <v>0.00</v>
      </c>
      <c r="O346" t="str">
        <f>"603000"</f>
        <v>603000</v>
      </c>
      <c r="P346" t="str">
        <f>"A400948245"</f>
        <v>A400948245</v>
      </c>
    </row>
    <row r="347" spans="1:16" x14ac:dyDescent="0.25">
      <c r="A347" t="str">
        <f t="shared" si="114"/>
        <v>人民币</v>
      </c>
      <c r="B347" t="str">
        <f>"宇瞳光学"</f>
        <v>宇瞳光学</v>
      </c>
      <c r="C347" t="str">
        <f t="shared" ref="C347:C354" si="123">"20190910"</f>
        <v>20190910</v>
      </c>
      <c r="D347" t="str">
        <f>"0.000"</f>
        <v>0.000</v>
      </c>
      <c r="E347" t="str">
        <f>"17.00"</f>
        <v>17.00</v>
      </c>
      <c r="F347" t="str">
        <f>"0.00"</f>
        <v>0.00</v>
      </c>
      <c r="G347" t="str">
        <f>"71204.76"</f>
        <v>71204.76</v>
      </c>
      <c r="H347" t="str">
        <f>"0.00"</f>
        <v>0.00</v>
      </c>
      <c r="I347" t="str">
        <f>"7"</f>
        <v>7</v>
      </c>
      <c r="J347" t="str">
        <f>"申购配号(宇瞳光学)"</f>
        <v>申购配号(宇瞳光学)</v>
      </c>
      <c r="K347" t="str">
        <f>"0.00"</f>
        <v>0.00</v>
      </c>
      <c r="L347" t="str">
        <f t="shared" si="122"/>
        <v>0.00</v>
      </c>
      <c r="M347" t="str">
        <f>"0.00"</f>
        <v>0.00</v>
      </c>
      <c r="N347" t="str">
        <f t="shared" si="119"/>
        <v>0.00</v>
      </c>
      <c r="O347" t="str">
        <f>"300790"</f>
        <v>300790</v>
      </c>
      <c r="P347" t="str">
        <f>"0153613480"</f>
        <v>0153613480</v>
      </c>
    </row>
    <row r="348" spans="1:16" x14ac:dyDescent="0.25">
      <c r="A348" t="str">
        <f t="shared" si="114"/>
        <v>人民币</v>
      </c>
      <c r="B348" t="str">
        <f>"诚志股份"</f>
        <v>诚志股份</v>
      </c>
      <c r="C348" t="str">
        <f t="shared" si="123"/>
        <v>20190910</v>
      </c>
      <c r="D348" t="str">
        <f>"16.490"</f>
        <v>16.490</v>
      </c>
      <c r="E348" t="str">
        <f>"2000.00"</f>
        <v>2000.00</v>
      </c>
      <c r="F348" t="str">
        <f>"-33012.98"</f>
        <v>-33012.98</v>
      </c>
      <c r="G348" t="str">
        <f>"71204.76"</f>
        <v>71204.76</v>
      </c>
      <c r="H348" t="str">
        <f>"2000.00"</f>
        <v>2000.00</v>
      </c>
      <c r="I348" t="str">
        <f>"12"</f>
        <v>12</v>
      </c>
      <c r="J348" t="str">
        <f>"证券买入(诚志股份)"</f>
        <v>证券买入(诚志股份)</v>
      </c>
      <c r="K348" t="str">
        <f>"32.98"</f>
        <v>32.98</v>
      </c>
      <c r="L348" t="str">
        <f t="shared" si="122"/>
        <v>0.00</v>
      </c>
      <c r="M348" t="str">
        <f>"0.00"</f>
        <v>0.00</v>
      </c>
      <c r="N348" t="str">
        <f t="shared" si="119"/>
        <v>0.00</v>
      </c>
      <c r="O348" t="str">
        <f>"000990"</f>
        <v>000990</v>
      </c>
      <c r="P348" t="str">
        <f>"0153613480"</f>
        <v>0153613480</v>
      </c>
    </row>
    <row r="349" spans="1:16" x14ac:dyDescent="0.25">
      <c r="A349" t="str">
        <f t="shared" si="114"/>
        <v>人民币</v>
      </c>
      <c r="B349" t="str">
        <f>"梅安森"</f>
        <v>梅安森</v>
      </c>
      <c r="C349" t="str">
        <f t="shared" si="123"/>
        <v>20190910</v>
      </c>
      <c r="D349" t="str">
        <f>"10.290"</f>
        <v>10.290</v>
      </c>
      <c r="E349" t="str">
        <f>"3000.00"</f>
        <v>3000.00</v>
      </c>
      <c r="F349" t="str">
        <f>"-30900.87"</f>
        <v>-30900.87</v>
      </c>
      <c r="G349" t="str">
        <f>"104217.74"</f>
        <v>104217.74</v>
      </c>
      <c r="H349" t="str">
        <f>"6000.00"</f>
        <v>6000.00</v>
      </c>
      <c r="I349" t="str">
        <f>"4"</f>
        <v>4</v>
      </c>
      <c r="J349" t="str">
        <f>"证券买入(梅安森)"</f>
        <v>证券买入(梅安森)</v>
      </c>
      <c r="K349" t="str">
        <f>"30.87"</f>
        <v>30.87</v>
      </c>
      <c r="L349" t="str">
        <f t="shared" si="122"/>
        <v>0.00</v>
      </c>
      <c r="M349" t="str">
        <f>"0.00"</f>
        <v>0.00</v>
      </c>
      <c r="N349" t="str">
        <f t="shared" ref="N349:N387" si="124">"0.00"</f>
        <v>0.00</v>
      </c>
      <c r="O349" t="str">
        <f>"300275"</f>
        <v>300275</v>
      </c>
      <c r="P349" t="str">
        <f>"0153613480"</f>
        <v>0153613480</v>
      </c>
    </row>
    <row r="350" spans="1:16" x14ac:dyDescent="0.25">
      <c r="A350" t="str">
        <f t="shared" si="114"/>
        <v>人民币</v>
      </c>
      <c r="B350" t="str">
        <f>"中通国脉"</f>
        <v>中通国脉</v>
      </c>
      <c r="C350" t="str">
        <f t="shared" si="123"/>
        <v>20190910</v>
      </c>
      <c r="D350" t="str">
        <f>"21.280"</f>
        <v>21.280</v>
      </c>
      <c r="E350" t="str">
        <f>"400.00"</f>
        <v>400.00</v>
      </c>
      <c r="F350" t="str">
        <f>"-8520.68"</f>
        <v>-8520.68</v>
      </c>
      <c r="G350" t="str">
        <f>"135118.61"</f>
        <v>135118.61</v>
      </c>
      <c r="H350" t="str">
        <f>"3700.00"</f>
        <v>3700.00</v>
      </c>
      <c r="I350" t="str">
        <f>"35"</f>
        <v>35</v>
      </c>
      <c r="J350" t="str">
        <f>"证券买入(中通国脉)"</f>
        <v>证券买入(中通国脉)</v>
      </c>
      <c r="K350" t="str">
        <f>"8.51"</f>
        <v>8.51</v>
      </c>
      <c r="L350" t="str">
        <f t="shared" si="122"/>
        <v>0.00</v>
      </c>
      <c r="M350" t="str">
        <f>"0.17"</f>
        <v>0.17</v>
      </c>
      <c r="N350" t="str">
        <f t="shared" si="124"/>
        <v>0.00</v>
      </c>
      <c r="O350" t="str">
        <f>"603559"</f>
        <v>603559</v>
      </c>
      <c r="P350" t="str">
        <f>"A400948245"</f>
        <v>A400948245</v>
      </c>
    </row>
    <row r="351" spans="1:16" x14ac:dyDescent="0.25">
      <c r="A351" t="str">
        <f t="shared" si="114"/>
        <v>人民币</v>
      </c>
      <c r="B351" t="str">
        <f>"中通国脉"</f>
        <v>中通国脉</v>
      </c>
      <c r="C351" t="str">
        <f t="shared" si="123"/>
        <v>20190910</v>
      </c>
      <c r="D351" t="str">
        <f>"21.500"</f>
        <v>21.500</v>
      </c>
      <c r="E351" t="str">
        <f>"300.00"</f>
        <v>300.00</v>
      </c>
      <c r="F351" t="str">
        <f>"-6456.58"</f>
        <v>-6456.58</v>
      </c>
      <c r="G351" t="str">
        <f>"143639.29"</f>
        <v>143639.29</v>
      </c>
      <c r="H351" t="str">
        <f>"3300.00"</f>
        <v>3300.00</v>
      </c>
      <c r="I351" t="str">
        <f>"31"</f>
        <v>31</v>
      </c>
      <c r="J351" t="str">
        <f>"证券买入(中通国脉)"</f>
        <v>证券买入(中通国脉)</v>
      </c>
      <c r="K351" t="str">
        <f>"6.45"</f>
        <v>6.45</v>
      </c>
      <c r="L351" t="str">
        <f t="shared" si="122"/>
        <v>0.00</v>
      </c>
      <c r="M351" t="str">
        <f>"0.13"</f>
        <v>0.13</v>
      </c>
      <c r="N351" t="str">
        <f t="shared" si="124"/>
        <v>0.00</v>
      </c>
      <c r="O351" t="str">
        <f>"603559"</f>
        <v>603559</v>
      </c>
      <c r="P351" t="str">
        <f>"A400948245"</f>
        <v>A400948245</v>
      </c>
    </row>
    <row r="352" spans="1:16" x14ac:dyDescent="0.25">
      <c r="A352" t="str">
        <f t="shared" si="114"/>
        <v>人民币</v>
      </c>
      <c r="B352" t="str">
        <f>"中通国脉"</f>
        <v>中通国脉</v>
      </c>
      <c r="C352" t="str">
        <f t="shared" si="123"/>
        <v>20190910</v>
      </c>
      <c r="D352" t="str">
        <f>"21.770"</f>
        <v>21.770</v>
      </c>
      <c r="E352" t="str">
        <f>"100.00"</f>
        <v>100.00</v>
      </c>
      <c r="F352" t="str">
        <f>"-2182.04"</f>
        <v>-2182.04</v>
      </c>
      <c r="G352" t="str">
        <f>"150095.87"</f>
        <v>150095.87</v>
      </c>
      <c r="H352" t="str">
        <f>"3000.00"</f>
        <v>3000.00</v>
      </c>
      <c r="I352" t="str">
        <f>"24"</f>
        <v>24</v>
      </c>
      <c r="J352" t="str">
        <f>"证券买入(中通国脉)"</f>
        <v>证券买入(中通国脉)</v>
      </c>
      <c r="K352" t="str">
        <f>"5.00"</f>
        <v>5.00</v>
      </c>
      <c r="L352" t="str">
        <f t="shared" si="122"/>
        <v>0.00</v>
      </c>
      <c r="M352" t="str">
        <f>"0.04"</f>
        <v>0.04</v>
      </c>
      <c r="N352" t="str">
        <f t="shared" si="124"/>
        <v>0.00</v>
      </c>
      <c r="O352" t="str">
        <f>"603559"</f>
        <v>603559</v>
      </c>
      <c r="P352" t="str">
        <f>"A400948245"</f>
        <v>A400948245</v>
      </c>
    </row>
    <row r="353" spans="1:16" x14ac:dyDescent="0.25">
      <c r="A353" t="str">
        <f t="shared" si="114"/>
        <v>人民币</v>
      </c>
      <c r="B353" t="str">
        <f>"中通国脉"</f>
        <v>中通国脉</v>
      </c>
      <c r="C353" t="str">
        <f t="shared" si="123"/>
        <v>20190910</v>
      </c>
      <c r="D353" t="str">
        <f>"21.950"</f>
        <v>21.950</v>
      </c>
      <c r="E353" t="str">
        <f>"500.00"</f>
        <v>500.00</v>
      </c>
      <c r="F353" t="str">
        <f>"-10986.20"</f>
        <v>-10986.20</v>
      </c>
      <c r="G353" t="str">
        <f>"152277.91"</f>
        <v>152277.91</v>
      </c>
      <c r="H353" t="str">
        <f>"2900.00"</f>
        <v>2900.00</v>
      </c>
      <c r="I353" t="str">
        <f>"21"</f>
        <v>21</v>
      </c>
      <c r="J353" t="str">
        <f>"证券买入(中通国脉)"</f>
        <v>证券买入(中通国脉)</v>
      </c>
      <c r="K353" t="str">
        <f>"10.98"</f>
        <v>10.98</v>
      </c>
      <c r="L353" t="str">
        <f t="shared" si="122"/>
        <v>0.00</v>
      </c>
      <c r="M353" t="str">
        <f>"0.22"</f>
        <v>0.22</v>
      </c>
      <c r="N353" t="str">
        <f t="shared" si="124"/>
        <v>0.00</v>
      </c>
      <c r="O353" t="str">
        <f>"603559"</f>
        <v>603559</v>
      </c>
      <c r="P353" t="str">
        <f>"A400948245"</f>
        <v>A400948245</v>
      </c>
    </row>
    <row r="354" spans="1:16" x14ac:dyDescent="0.25">
      <c r="A354" t="str">
        <f t="shared" si="114"/>
        <v>人民币</v>
      </c>
      <c r="B354" t="str">
        <f>"人民网"</f>
        <v>人民网</v>
      </c>
      <c r="C354" t="str">
        <f t="shared" si="123"/>
        <v>20190910</v>
      </c>
      <c r="D354" t="str">
        <f>"23.220"</f>
        <v>23.220</v>
      </c>
      <c r="E354" t="str">
        <f>"500.00"</f>
        <v>500.00</v>
      </c>
      <c r="F354" t="str">
        <f>"-11621.84"</f>
        <v>-11621.84</v>
      </c>
      <c r="G354" t="str">
        <f>"163264.11"</f>
        <v>163264.11</v>
      </c>
      <c r="H354" t="str">
        <f>"1000.00"</f>
        <v>1000.00</v>
      </c>
      <c r="I354" t="str">
        <f>"18"</f>
        <v>18</v>
      </c>
      <c r="J354" t="str">
        <f>"证券买入(人民网)"</f>
        <v>证券买入(人民网)</v>
      </c>
      <c r="K354" t="str">
        <f>"11.61"</f>
        <v>11.61</v>
      </c>
      <c r="L354" t="str">
        <f t="shared" si="122"/>
        <v>0.00</v>
      </c>
      <c r="M354" t="str">
        <f>"0.23"</f>
        <v>0.23</v>
      </c>
      <c r="N354" t="str">
        <f t="shared" si="124"/>
        <v>0.00</v>
      </c>
      <c r="O354" t="str">
        <f>"603000"</f>
        <v>603000</v>
      </c>
      <c r="P354" t="str">
        <f>"A400948245"</f>
        <v>A400948245</v>
      </c>
    </row>
    <row r="355" spans="1:16" x14ac:dyDescent="0.25">
      <c r="A355" t="str">
        <f t="shared" si="114"/>
        <v>人民币</v>
      </c>
      <c r="B355" t="str">
        <f>"顺灏股份"</f>
        <v>顺灏股份</v>
      </c>
      <c r="C355" t="str">
        <f t="shared" ref="C355:C360" si="125">"20190911"</f>
        <v>20190911</v>
      </c>
      <c r="D355" t="str">
        <f>"8.300"</f>
        <v>8.300</v>
      </c>
      <c r="E355" t="str">
        <f>"1000.00"</f>
        <v>1000.00</v>
      </c>
      <c r="F355" t="str">
        <f>"-8308.30"</f>
        <v>-8308.30</v>
      </c>
      <c r="G355" t="str">
        <f>"86726.00"</f>
        <v>86726.00</v>
      </c>
      <c r="H355" t="str">
        <f>"3000.00"</f>
        <v>3000.00</v>
      </c>
      <c r="I355" t="str">
        <f>"87"</f>
        <v>87</v>
      </c>
      <c r="J355" t="str">
        <f>"证券买入(顺灏股份)"</f>
        <v>证券买入(顺灏股份)</v>
      </c>
      <c r="K355" t="str">
        <f>"8.30"</f>
        <v>8.30</v>
      </c>
      <c r="L355" t="str">
        <f t="shared" si="122"/>
        <v>0.00</v>
      </c>
      <c r="M355" t="str">
        <f>"0.00"</f>
        <v>0.00</v>
      </c>
      <c r="N355" t="str">
        <f t="shared" si="124"/>
        <v>0.00</v>
      </c>
      <c r="O355" t="str">
        <f>"002565"</f>
        <v>002565</v>
      </c>
      <c r="P355" t="str">
        <f>"0153613480"</f>
        <v>0153613480</v>
      </c>
    </row>
    <row r="356" spans="1:16" x14ac:dyDescent="0.25">
      <c r="A356" t="str">
        <f t="shared" si="114"/>
        <v>人民币</v>
      </c>
      <c r="B356" t="str">
        <f>"顺灏股份"</f>
        <v>顺灏股份</v>
      </c>
      <c r="C356" t="str">
        <f t="shared" si="125"/>
        <v>20190911</v>
      </c>
      <c r="D356" t="str">
        <f>"8.450"</f>
        <v>8.450</v>
      </c>
      <c r="E356" t="str">
        <f>"2000.00"</f>
        <v>2000.00</v>
      </c>
      <c r="F356" t="str">
        <f>"-16916.90"</f>
        <v>-16916.90</v>
      </c>
      <c r="G356" t="str">
        <f>"95034.30"</f>
        <v>95034.30</v>
      </c>
      <c r="H356" t="str">
        <f>"2000.00"</f>
        <v>2000.00</v>
      </c>
      <c r="I356" t="str">
        <f>"78"</f>
        <v>78</v>
      </c>
      <c r="J356" t="str">
        <f>"证券买入(顺灏股份)"</f>
        <v>证券买入(顺灏股份)</v>
      </c>
      <c r="K356" t="str">
        <f>"16.90"</f>
        <v>16.90</v>
      </c>
      <c r="L356" t="str">
        <f t="shared" si="122"/>
        <v>0.00</v>
      </c>
      <c r="M356" t="str">
        <f>"0.00"</f>
        <v>0.00</v>
      </c>
      <c r="N356" t="str">
        <f t="shared" si="124"/>
        <v>0.00</v>
      </c>
      <c r="O356" t="str">
        <f>"002565"</f>
        <v>002565</v>
      </c>
      <c r="P356" t="str">
        <f>"0153613480"</f>
        <v>0153613480</v>
      </c>
    </row>
    <row r="357" spans="1:16" x14ac:dyDescent="0.25">
      <c r="A357" t="str">
        <f t="shared" si="114"/>
        <v>人民币</v>
      </c>
      <c r="B357" t="str">
        <f>"诚志股份"</f>
        <v>诚志股份</v>
      </c>
      <c r="C357" t="str">
        <f t="shared" si="125"/>
        <v>20190911</v>
      </c>
      <c r="D357" t="str">
        <f>"17.510"</f>
        <v>17.510</v>
      </c>
      <c r="E357" t="str">
        <f>"-2000.00"</f>
        <v>-2000.00</v>
      </c>
      <c r="F357" t="str">
        <f>"34949.96"</f>
        <v>34949.96</v>
      </c>
      <c r="G357" t="str">
        <f>"111951.20"</f>
        <v>111951.20</v>
      </c>
      <c r="H357" t="str">
        <f>"0.00"</f>
        <v>0.00</v>
      </c>
      <c r="I357" t="str">
        <f>"59"</f>
        <v>59</v>
      </c>
      <c r="J357" t="str">
        <f>"证券卖出(诚志股份)"</f>
        <v>证券卖出(诚志股份)</v>
      </c>
      <c r="K357" t="str">
        <f>"35.02"</f>
        <v>35.02</v>
      </c>
      <c r="L357" t="str">
        <f>"35.02"</f>
        <v>35.02</v>
      </c>
      <c r="M357" t="str">
        <f>"0.00"</f>
        <v>0.00</v>
      </c>
      <c r="N357" t="str">
        <f t="shared" si="124"/>
        <v>0.00</v>
      </c>
      <c r="O357" t="str">
        <f>"000990"</f>
        <v>000990</v>
      </c>
      <c r="P357" t="str">
        <f>"0153613480"</f>
        <v>0153613480</v>
      </c>
    </row>
    <row r="358" spans="1:16" x14ac:dyDescent="0.25">
      <c r="A358" t="str">
        <f t="shared" si="114"/>
        <v>人民币</v>
      </c>
      <c r="B358" t="str">
        <f>"南京证券"</f>
        <v>南京证券</v>
      </c>
      <c r="C358" t="str">
        <f t="shared" si="125"/>
        <v>20190911</v>
      </c>
      <c r="D358" t="str">
        <f>"9.320"</f>
        <v>9.320</v>
      </c>
      <c r="E358" t="str">
        <f>"2000.00"</f>
        <v>2000.00</v>
      </c>
      <c r="F358" t="str">
        <f>"-18659.01"</f>
        <v>-18659.01</v>
      </c>
      <c r="G358" t="str">
        <f>"77001.24"</f>
        <v>77001.24</v>
      </c>
      <c r="H358" t="str">
        <f>"2000.00"</f>
        <v>2000.00</v>
      </c>
      <c r="I358" t="str">
        <f>"84"</f>
        <v>84</v>
      </c>
      <c r="J358" t="str">
        <f>"证券买入(南京证券)"</f>
        <v>证券买入(南京证券)</v>
      </c>
      <c r="K358" t="str">
        <f>"18.64"</f>
        <v>18.64</v>
      </c>
      <c r="L358" t="str">
        <f>"0.00"</f>
        <v>0.00</v>
      </c>
      <c r="M358" t="str">
        <f>"0.37"</f>
        <v>0.37</v>
      </c>
      <c r="N358" t="str">
        <f t="shared" si="124"/>
        <v>0.00</v>
      </c>
      <c r="O358" t="str">
        <f>"601990"</f>
        <v>601990</v>
      </c>
      <c r="P358" t="str">
        <f>"A400948245"</f>
        <v>A400948245</v>
      </c>
    </row>
    <row r="359" spans="1:16" x14ac:dyDescent="0.25">
      <c r="A359" t="str">
        <f t="shared" si="114"/>
        <v>人民币</v>
      </c>
      <c r="B359" t="str">
        <f>"人民网"</f>
        <v>人民网</v>
      </c>
      <c r="C359" t="str">
        <f t="shared" si="125"/>
        <v>20190911</v>
      </c>
      <c r="D359" t="str">
        <f>"24.600"</f>
        <v>24.600</v>
      </c>
      <c r="E359" t="str">
        <f>"-500.00"</f>
        <v>-500.00</v>
      </c>
      <c r="F359" t="str">
        <f>"12275.15"</f>
        <v>12275.15</v>
      </c>
      <c r="G359" t="str">
        <f>"95660.25"</f>
        <v>95660.25</v>
      </c>
      <c r="H359" t="str">
        <f>"0.00"</f>
        <v>0.00</v>
      </c>
      <c r="I359" t="str">
        <f>"72"</f>
        <v>72</v>
      </c>
      <c r="J359" t="str">
        <f>"证券卖出(人民网)"</f>
        <v>证券卖出(人民网)</v>
      </c>
      <c r="K359" t="str">
        <f>"12.30"</f>
        <v>12.30</v>
      </c>
      <c r="L359" t="str">
        <f>"12.30"</f>
        <v>12.30</v>
      </c>
      <c r="M359" t="str">
        <f>"0.25"</f>
        <v>0.25</v>
      </c>
      <c r="N359" t="str">
        <f t="shared" si="124"/>
        <v>0.00</v>
      </c>
      <c r="O359" t="str">
        <f>"603000"</f>
        <v>603000</v>
      </c>
      <c r="P359" t="str">
        <f>"A400948245"</f>
        <v>A400948245</v>
      </c>
    </row>
    <row r="360" spans="1:16" x14ac:dyDescent="0.25">
      <c r="A360" t="str">
        <f t="shared" si="114"/>
        <v>人民币</v>
      </c>
      <c r="B360" t="str">
        <f>"人民网"</f>
        <v>人民网</v>
      </c>
      <c r="C360" t="str">
        <f t="shared" si="125"/>
        <v>20190911</v>
      </c>
      <c r="D360" t="str">
        <f>"24.410"</f>
        <v>24.410</v>
      </c>
      <c r="E360" t="str">
        <f>"-500.00"</f>
        <v>-500.00</v>
      </c>
      <c r="F360" t="str">
        <f>"12180.34"</f>
        <v>12180.34</v>
      </c>
      <c r="G360" t="str">
        <f>"83385.10"</f>
        <v>83385.10</v>
      </c>
      <c r="H360" t="str">
        <f>"500.00"</f>
        <v>500.00</v>
      </c>
      <c r="I360" t="str">
        <f>"69"</f>
        <v>69</v>
      </c>
      <c r="J360" t="str">
        <f>"证券卖出(人民网)"</f>
        <v>证券卖出(人民网)</v>
      </c>
      <c r="K360" t="str">
        <f>"12.21"</f>
        <v>12.21</v>
      </c>
      <c r="L360" t="str">
        <f>"12.21"</f>
        <v>12.21</v>
      </c>
      <c r="M360" t="str">
        <f>"0.24"</f>
        <v>0.24</v>
      </c>
      <c r="N360" t="str">
        <f t="shared" si="124"/>
        <v>0.00</v>
      </c>
      <c r="O360" t="str">
        <f>"603000"</f>
        <v>603000</v>
      </c>
      <c r="P360" t="str">
        <f>"A400948245"</f>
        <v>A400948245</v>
      </c>
    </row>
    <row r="361" spans="1:16" x14ac:dyDescent="0.25">
      <c r="A361" t="str">
        <f t="shared" si="114"/>
        <v>人民币</v>
      </c>
      <c r="B361" t="str">
        <f>"仙乐健康"</f>
        <v>仙乐健康</v>
      </c>
      <c r="C361" t="str">
        <f>"20190912"</f>
        <v>20190912</v>
      </c>
      <c r="D361" t="str">
        <f>"0.000"</f>
        <v>0.000</v>
      </c>
      <c r="E361" t="str">
        <f>"17.00"</f>
        <v>17.00</v>
      </c>
      <c r="F361" t="str">
        <f>"0.00"</f>
        <v>0.00</v>
      </c>
      <c r="G361" t="str">
        <f>"106158.99"</f>
        <v>106158.99</v>
      </c>
      <c r="H361" t="str">
        <f>"0.00"</f>
        <v>0.00</v>
      </c>
      <c r="I361" t="str">
        <f>"99"</f>
        <v>99</v>
      </c>
      <c r="J361" t="str">
        <f>"申购配号(仙乐健康)"</f>
        <v>申购配号(仙乐健康)</v>
      </c>
      <c r="K361" t="str">
        <f>"0.00"</f>
        <v>0.00</v>
      </c>
      <c r="L361" t="str">
        <f>"0.00"</f>
        <v>0.00</v>
      </c>
      <c r="M361" t="str">
        <f>"0.00"</f>
        <v>0.00</v>
      </c>
      <c r="N361" t="str">
        <f t="shared" si="124"/>
        <v>0.00</v>
      </c>
      <c r="O361" t="str">
        <f>"300791"</f>
        <v>300791</v>
      </c>
      <c r="P361" t="str">
        <f>"0153613480"</f>
        <v>0153613480</v>
      </c>
    </row>
    <row r="362" spans="1:16" x14ac:dyDescent="0.25">
      <c r="A362" t="str">
        <f t="shared" si="114"/>
        <v>人民币</v>
      </c>
      <c r="B362" t="str">
        <f>"顺灏股份"</f>
        <v>顺灏股份</v>
      </c>
      <c r="C362" t="str">
        <f>"20190912"</f>
        <v>20190912</v>
      </c>
      <c r="D362" t="str">
        <f>"8.260"</f>
        <v>8.260</v>
      </c>
      <c r="E362" t="str">
        <f>"-2000.00"</f>
        <v>-2000.00</v>
      </c>
      <c r="F362" t="str">
        <f>"16486.96"</f>
        <v>16486.96</v>
      </c>
      <c r="G362" t="str">
        <f>"106158.99"</f>
        <v>106158.99</v>
      </c>
      <c r="H362" t="str">
        <f>"3000.00"</f>
        <v>3000.00</v>
      </c>
      <c r="I362" t="str">
        <f>"101"</f>
        <v>101</v>
      </c>
      <c r="J362" t="str">
        <f>"证券卖出(顺灏股份)"</f>
        <v>证券卖出(顺灏股份)</v>
      </c>
      <c r="K362" t="str">
        <f>"16.52"</f>
        <v>16.52</v>
      </c>
      <c r="L362" t="str">
        <f>"16.52"</f>
        <v>16.52</v>
      </c>
      <c r="M362" t="str">
        <f>"0.00"</f>
        <v>0.00</v>
      </c>
      <c r="N362" t="str">
        <f t="shared" si="124"/>
        <v>0.00</v>
      </c>
      <c r="O362" t="str">
        <f>"002565"</f>
        <v>002565</v>
      </c>
      <c r="P362" t="str">
        <f>"0153613480"</f>
        <v>0153613480</v>
      </c>
    </row>
    <row r="363" spans="1:16" x14ac:dyDescent="0.25">
      <c r="A363" t="str">
        <f t="shared" si="114"/>
        <v>人民币</v>
      </c>
      <c r="B363" t="str">
        <f>"顺灏股份"</f>
        <v>顺灏股份</v>
      </c>
      <c r="C363" t="str">
        <f>"20190912"</f>
        <v>20190912</v>
      </c>
      <c r="D363" t="str">
        <f>"7.930"</f>
        <v>7.930</v>
      </c>
      <c r="E363" t="str">
        <f>"2000.00"</f>
        <v>2000.00</v>
      </c>
      <c r="F363" t="str">
        <f>"-15875.86"</f>
        <v>-15875.86</v>
      </c>
      <c r="G363" t="str">
        <f>"89672.03"</f>
        <v>89672.03</v>
      </c>
      <c r="H363" t="str">
        <f>"5000.00"</f>
        <v>5000.00</v>
      </c>
      <c r="I363" t="str">
        <f>"96"</f>
        <v>96</v>
      </c>
      <c r="J363" t="str">
        <f>"证券买入(顺灏股份)"</f>
        <v>证券买入(顺灏股份)</v>
      </c>
      <c r="K363" t="str">
        <f>"15.86"</f>
        <v>15.86</v>
      </c>
      <c r="L363" t="str">
        <f>"0.00"</f>
        <v>0.00</v>
      </c>
      <c r="M363" t="str">
        <f>"0.00"</f>
        <v>0.00</v>
      </c>
      <c r="N363" t="str">
        <f t="shared" si="124"/>
        <v>0.00</v>
      </c>
      <c r="O363" t="str">
        <f>"002565"</f>
        <v>002565</v>
      </c>
      <c r="P363" t="str">
        <f>"0153613480"</f>
        <v>0153613480</v>
      </c>
    </row>
    <row r="364" spans="1:16" x14ac:dyDescent="0.25">
      <c r="A364" t="str">
        <f t="shared" si="114"/>
        <v>人民币</v>
      </c>
      <c r="B364" t="str">
        <f>"南京证券"</f>
        <v>南京证券</v>
      </c>
      <c r="C364" t="str">
        <f>"20190912"</f>
        <v>20190912</v>
      </c>
      <c r="D364" t="str">
        <f>"9.430"</f>
        <v>9.430</v>
      </c>
      <c r="E364" t="str">
        <f>"-2000.00"</f>
        <v>-2000.00</v>
      </c>
      <c r="F364" t="str">
        <f>"18821.89"</f>
        <v>18821.89</v>
      </c>
      <c r="G364" t="str">
        <f>"105547.89"</f>
        <v>105547.89</v>
      </c>
      <c r="H364" t="str">
        <f>"0.00"</f>
        <v>0.00</v>
      </c>
      <c r="I364" t="str">
        <f>"104"</f>
        <v>104</v>
      </c>
      <c r="J364" t="str">
        <f>"证券卖出(南京证券)"</f>
        <v>证券卖出(南京证券)</v>
      </c>
      <c r="K364" t="str">
        <f>"18.86"</f>
        <v>18.86</v>
      </c>
      <c r="L364" t="str">
        <f>"18.86"</f>
        <v>18.86</v>
      </c>
      <c r="M364" t="str">
        <f>"0.39"</f>
        <v>0.39</v>
      </c>
      <c r="N364" t="str">
        <f t="shared" si="124"/>
        <v>0.00</v>
      </c>
      <c r="O364" t="str">
        <f>"601990"</f>
        <v>601990</v>
      </c>
      <c r="P364" t="str">
        <f>"A400948245"</f>
        <v>A400948245</v>
      </c>
    </row>
    <row r="365" spans="1:16" x14ac:dyDescent="0.25">
      <c r="A365" t="str">
        <f t="shared" si="114"/>
        <v>人民币</v>
      </c>
      <c r="B365" t="str">
        <f>"顺灏股份"</f>
        <v>顺灏股份</v>
      </c>
      <c r="C365" t="str">
        <f>"20190916"</f>
        <v>20190916</v>
      </c>
      <c r="D365" t="str">
        <f>"8.240"</f>
        <v>8.240</v>
      </c>
      <c r="E365" t="str">
        <f>"2000.00"</f>
        <v>2000.00</v>
      </c>
      <c r="F365" t="str">
        <f>"-16496.48"</f>
        <v>-16496.48</v>
      </c>
      <c r="G365" t="str">
        <f>"128502.79"</f>
        <v>128502.79</v>
      </c>
      <c r="H365" t="str">
        <f>"5000.00"</f>
        <v>5000.00</v>
      </c>
      <c r="I365" t="str">
        <f>"112"</f>
        <v>112</v>
      </c>
      <c r="J365" t="str">
        <f>"证券买入(顺灏股份)"</f>
        <v>证券买入(顺灏股份)</v>
      </c>
      <c r="K365" t="str">
        <f>"16.48"</f>
        <v>16.48</v>
      </c>
      <c r="L365" t="str">
        <f>"0.00"</f>
        <v>0.00</v>
      </c>
      <c r="M365" t="str">
        <f>"0.00"</f>
        <v>0.00</v>
      </c>
      <c r="N365" t="str">
        <f t="shared" si="124"/>
        <v>0.00</v>
      </c>
      <c r="O365" t="str">
        <f>"002565"</f>
        <v>002565</v>
      </c>
      <c r="P365" t="str">
        <f>"0153613480"</f>
        <v>0153613480</v>
      </c>
    </row>
    <row r="366" spans="1:16" x14ac:dyDescent="0.25">
      <c r="A366" t="str">
        <f t="shared" si="114"/>
        <v>人民币</v>
      </c>
      <c r="B366" t="str">
        <f>"梅安森"</f>
        <v>梅安森</v>
      </c>
      <c r="C366" t="str">
        <f>"20190916"</f>
        <v>20190916</v>
      </c>
      <c r="D366" t="str">
        <f>"10.910"</f>
        <v>10.910</v>
      </c>
      <c r="E366" t="str">
        <f>"-3000.00"</f>
        <v>-3000.00</v>
      </c>
      <c r="F366" t="str">
        <f>"32664.54"</f>
        <v>32664.54</v>
      </c>
      <c r="G366" t="str">
        <f>"144999.27"</f>
        <v>144999.27</v>
      </c>
      <c r="H366" t="str">
        <f>"0.00"</f>
        <v>0.00</v>
      </c>
      <c r="I366" t="str">
        <f>"141"</f>
        <v>141</v>
      </c>
      <c r="J366" t="str">
        <f>"证券卖出(梅安森)"</f>
        <v>证券卖出(梅安森)</v>
      </c>
      <c r="K366" t="str">
        <f>"32.73"</f>
        <v>32.73</v>
      </c>
      <c r="L366" t="str">
        <f>"32.73"</f>
        <v>32.73</v>
      </c>
      <c r="M366" t="str">
        <f>"0.00"</f>
        <v>0.00</v>
      </c>
      <c r="N366" t="str">
        <f t="shared" si="124"/>
        <v>0.00</v>
      </c>
      <c r="O366" t="str">
        <f>"300275"</f>
        <v>300275</v>
      </c>
      <c r="P366" t="str">
        <f>"0153613480"</f>
        <v>0153613480</v>
      </c>
    </row>
    <row r="367" spans="1:16" x14ac:dyDescent="0.25">
      <c r="A367" t="str">
        <f t="shared" si="114"/>
        <v>人民币</v>
      </c>
      <c r="B367" t="str">
        <f>"梅安森"</f>
        <v>梅安森</v>
      </c>
      <c r="C367" t="str">
        <f>"20190916"</f>
        <v>20190916</v>
      </c>
      <c r="D367" t="str">
        <f>"11.110"</f>
        <v>11.110</v>
      </c>
      <c r="E367" t="str">
        <f>"-3000.00"</f>
        <v>-3000.00</v>
      </c>
      <c r="F367" t="str">
        <f>"33263.34"</f>
        <v>33263.34</v>
      </c>
      <c r="G367" t="str">
        <f>"112334.73"</f>
        <v>112334.73</v>
      </c>
      <c r="H367" t="str">
        <f>"3000.00"</f>
        <v>3000.00</v>
      </c>
      <c r="I367" t="str">
        <f>"129"</f>
        <v>129</v>
      </c>
      <c r="J367" t="str">
        <f>"证券卖出(梅安森)"</f>
        <v>证券卖出(梅安森)</v>
      </c>
      <c r="K367" t="str">
        <f>"33.33"</f>
        <v>33.33</v>
      </c>
      <c r="L367" t="str">
        <f>"33.33"</f>
        <v>33.33</v>
      </c>
      <c r="M367" t="str">
        <f>"0.00"</f>
        <v>0.00</v>
      </c>
      <c r="N367" t="str">
        <f t="shared" si="124"/>
        <v>0.00</v>
      </c>
      <c r="O367" t="str">
        <f>"300275"</f>
        <v>300275</v>
      </c>
      <c r="P367" t="str">
        <f>"0153613480"</f>
        <v>0153613480</v>
      </c>
    </row>
    <row r="368" spans="1:16" x14ac:dyDescent="0.25">
      <c r="A368" t="str">
        <f t="shared" si="114"/>
        <v>人民币</v>
      </c>
      <c r="B368" t="str">
        <f>"三安光电"</f>
        <v>三安光电</v>
      </c>
      <c r="C368" t="str">
        <f>"20190916"</f>
        <v>20190916</v>
      </c>
      <c r="D368" t="str">
        <f>"13.530"</f>
        <v>13.530</v>
      </c>
      <c r="E368" t="str">
        <f>"2000.00"</f>
        <v>2000.00</v>
      </c>
      <c r="F368" t="str">
        <f>"-27087.60"</f>
        <v>-27087.60</v>
      </c>
      <c r="G368" t="str">
        <f>"79071.39"</f>
        <v>79071.39</v>
      </c>
      <c r="H368" t="str">
        <f>"2000.00"</f>
        <v>2000.00</v>
      </c>
      <c r="I368" t="str">
        <f>"116"</f>
        <v>116</v>
      </c>
      <c r="J368" t="str">
        <f>"证券买入(三安光电)"</f>
        <v>证券买入(三安光电)</v>
      </c>
      <c r="K368" t="str">
        <f>"27.06"</f>
        <v>27.06</v>
      </c>
      <c r="L368" t="str">
        <f t="shared" ref="L368:L375" si="126">"0.00"</f>
        <v>0.00</v>
      </c>
      <c r="M368" t="str">
        <f>"0.54"</f>
        <v>0.54</v>
      </c>
      <c r="N368" t="str">
        <f t="shared" si="124"/>
        <v>0.00</v>
      </c>
      <c r="O368" t="str">
        <f>"600703"</f>
        <v>600703</v>
      </c>
      <c r="P368" t="str">
        <f>"A400948245"</f>
        <v>A400948245</v>
      </c>
    </row>
    <row r="369" spans="1:16" x14ac:dyDescent="0.25">
      <c r="A369" t="str">
        <f t="shared" si="114"/>
        <v>人民币</v>
      </c>
      <c r="B369" t="str">
        <f>"顺灏股份"</f>
        <v>顺灏股份</v>
      </c>
      <c r="C369" t="str">
        <f t="shared" ref="C369:C376" si="127">"20190917"</f>
        <v>20190917</v>
      </c>
      <c r="D369" t="str">
        <f>"7.950"</f>
        <v>7.950</v>
      </c>
      <c r="E369" t="str">
        <f>"2000.00"</f>
        <v>2000.00</v>
      </c>
      <c r="F369" t="str">
        <f>"-15915.90"</f>
        <v>-15915.90</v>
      </c>
      <c r="G369" t="str">
        <f>"65198.51"</f>
        <v>65198.51</v>
      </c>
      <c r="H369" t="str">
        <f>"7000.00"</f>
        <v>7000.00</v>
      </c>
      <c r="I369" t="str">
        <f>"174"</f>
        <v>174</v>
      </c>
      <c r="J369" t="str">
        <f>"证券买入(顺灏股份)"</f>
        <v>证券买入(顺灏股份)</v>
      </c>
      <c r="K369" t="str">
        <f>"15.90"</f>
        <v>15.90</v>
      </c>
      <c r="L369" t="str">
        <f t="shared" si="126"/>
        <v>0.00</v>
      </c>
      <c r="M369" t="str">
        <f>"0.00"</f>
        <v>0.00</v>
      </c>
      <c r="N369" t="str">
        <f t="shared" si="124"/>
        <v>0.00</v>
      </c>
      <c r="O369" t="str">
        <f>"002565"</f>
        <v>002565</v>
      </c>
      <c r="P369" t="str">
        <f>"0153613480"</f>
        <v>0153613480</v>
      </c>
    </row>
    <row r="370" spans="1:16" x14ac:dyDescent="0.25">
      <c r="A370" t="str">
        <f t="shared" si="114"/>
        <v>人民币</v>
      </c>
      <c r="B370" t="str">
        <f>"中海达"</f>
        <v>中海达</v>
      </c>
      <c r="C370" t="str">
        <f t="shared" si="127"/>
        <v>20190917</v>
      </c>
      <c r="D370" t="str">
        <f>"10.650"</f>
        <v>10.650</v>
      </c>
      <c r="E370" t="str">
        <f>"1000.00"</f>
        <v>1000.00</v>
      </c>
      <c r="F370" t="str">
        <f>"-10660.65"</f>
        <v>-10660.65</v>
      </c>
      <c r="G370" t="str">
        <f>"81114.41"</f>
        <v>81114.41</v>
      </c>
      <c r="H370" t="str">
        <f>"3000.00"</f>
        <v>3000.00</v>
      </c>
      <c r="I370" t="str">
        <f>"167"</f>
        <v>167</v>
      </c>
      <c r="J370" t="str">
        <f>"证券买入(中海达)"</f>
        <v>证券买入(中海达)</v>
      </c>
      <c r="K370" t="str">
        <f>"10.65"</f>
        <v>10.65</v>
      </c>
      <c r="L370" t="str">
        <f t="shared" si="126"/>
        <v>0.00</v>
      </c>
      <c r="M370" t="str">
        <f>"0.00"</f>
        <v>0.00</v>
      </c>
      <c r="N370" t="str">
        <f t="shared" si="124"/>
        <v>0.00</v>
      </c>
      <c r="O370" t="str">
        <f>"300177"</f>
        <v>300177</v>
      </c>
      <c r="P370" t="str">
        <f>"0153613480"</f>
        <v>0153613480</v>
      </c>
    </row>
    <row r="371" spans="1:16" x14ac:dyDescent="0.25">
      <c r="A371" t="str">
        <f t="shared" si="114"/>
        <v>人民币</v>
      </c>
      <c r="B371" t="str">
        <f>"中海达"</f>
        <v>中海达</v>
      </c>
      <c r="C371" t="str">
        <f t="shared" si="127"/>
        <v>20190917</v>
      </c>
      <c r="D371" t="str">
        <f>"10.800"</f>
        <v>10.800</v>
      </c>
      <c r="E371" t="str">
        <f>"1200.00"</f>
        <v>1200.00</v>
      </c>
      <c r="F371" t="str">
        <f>"-12972.96"</f>
        <v>-12972.96</v>
      </c>
      <c r="G371" t="str">
        <f>"91775.06"</f>
        <v>91775.06</v>
      </c>
      <c r="H371" t="str">
        <f>"2000.00"</f>
        <v>2000.00</v>
      </c>
      <c r="I371" t="str">
        <f>"159"</f>
        <v>159</v>
      </c>
      <c r="J371" t="str">
        <f>"证券买入(中海达)"</f>
        <v>证券买入(中海达)</v>
      </c>
      <c r="K371" t="str">
        <f>"12.96"</f>
        <v>12.96</v>
      </c>
      <c r="L371" t="str">
        <f t="shared" si="126"/>
        <v>0.00</v>
      </c>
      <c r="M371" t="str">
        <f>"0.00"</f>
        <v>0.00</v>
      </c>
      <c r="N371" t="str">
        <f t="shared" si="124"/>
        <v>0.00</v>
      </c>
      <c r="O371" t="str">
        <f>"300177"</f>
        <v>300177</v>
      </c>
      <c r="P371" t="str">
        <f>"0153613480"</f>
        <v>0153613480</v>
      </c>
    </row>
    <row r="372" spans="1:16" x14ac:dyDescent="0.25">
      <c r="A372" t="str">
        <f t="shared" si="114"/>
        <v>人民币</v>
      </c>
      <c r="B372" t="str">
        <f>"中海达"</f>
        <v>中海达</v>
      </c>
      <c r="C372" t="str">
        <f t="shared" si="127"/>
        <v>20190917</v>
      </c>
      <c r="D372" t="str">
        <f>"10.930"</f>
        <v>10.930</v>
      </c>
      <c r="E372" t="str">
        <f>"800.00"</f>
        <v>800.00</v>
      </c>
      <c r="F372" t="str">
        <f>"-8752.74"</f>
        <v>-8752.74</v>
      </c>
      <c r="G372" t="str">
        <f>"104748.02"</f>
        <v>104748.02</v>
      </c>
      <c r="H372" t="str">
        <f>"800.00"</f>
        <v>800.00</v>
      </c>
      <c r="I372" t="str">
        <f>"148"</f>
        <v>148</v>
      </c>
      <c r="J372" t="str">
        <f>"证券买入(中海达)"</f>
        <v>证券买入(中海达)</v>
      </c>
      <c r="K372" t="str">
        <f>"8.74"</f>
        <v>8.74</v>
      </c>
      <c r="L372" t="str">
        <f t="shared" si="126"/>
        <v>0.00</v>
      </c>
      <c r="M372" t="str">
        <f>"0.00"</f>
        <v>0.00</v>
      </c>
      <c r="N372" t="str">
        <f t="shared" si="124"/>
        <v>0.00</v>
      </c>
      <c r="O372" t="str">
        <f>"300177"</f>
        <v>300177</v>
      </c>
      <c r="P372" t="str">
        <f>"0153613480"</f>
        <v>0153613480</v>
      </c>
    </row>
    <row r="373" spans="1:16" x14ac:dyDescent="0.25">
      <c r="A373" t="str">
        <f t="shared" si="114"/>
        <v>人民币</v>
      </c>
      <c r="B373" t="str">
        <f>"德宏股份"</f>
        <v>德宏股份</v>
      </c>
      <c r="C373" t="str">
        <f t="shared" si="127"/>
        <v>20190917</v>
      </c>
      <c r="D373" t="str">
        <f>"14.290"</f>
        <v>14.290</v>
      </c>
      <c r="E373" t="str">
        <f>"1000.00"</f>
        <v>1000.00</v>
      </c>
      <c r="F373" t="str">
        <f>"-14304.58"</f>
        <v>-14304.58</v>
      </c>
      <c r="G373" t="str">
        <f>"113500.76"</f>
        <v>113500.76</v>
      </c>
      <c r="H373" t="str">
        <f>"3000.00"</f>
        <v>3000.00</v>
      </c>
      <c r="I373" t="str">
        <f>"170"</f>
        <v>170</v>
      </c>
      <c r="J373" t="str">
        <f>"证券买入(德宏股份)"</f>
        <v>证券买入(德宏股份)</v>
      </c>
      <c r="K373" t="str">
        <f>"14.29"</f>
        <v>14.29</v>
      </c>
      <c r="L373" t="str">
        <f t="shared" si="126"/>
        <v>0.00</v>
      </c>
      <c r="M373" t="str">
        <f>"0.29"</f>
        <v>0.29</v>
      </c>
      <c r="N373" t="str">
        <f t="shared" si="124"/>
        <v>0.00</v>
      </c>
      <c r="O373" t="str">
        <f>"603701"</f>
        <v>603701</v>
      </c>
      <c r="P373" t="str">
        <f>"A400948245"</f>
        <v>A400948245</v>
      </c>
    </row>
    <row r="374" spans="1:16" x14ac:dyDescent="0.25">
      <c r="A374" t="str">
        <f t="shared" si="114"/>
        <v>人民币</v>
      </c>
      <c r="B374" t="str">
        <f>"德宏股份"</f>
        <v>德宏股份</v>
      </c>
      <c r="C374" t="str">
        <f t="shared" si="127"/>
        <v>20190917</v>
      </c>
      <c r="D374" t="str">
        <f>"14.570"</f>
        <v>14.570</v>
      </c>
      <c r="E374" t="str">
        <f>"1000.00"</f>
        <v>1000.00</v>
      </c>
      <c r="F374" t="str">
        <f>"-14584.86"</f>
        <v>-14584.86</v>
      </c>
      <c r="G374" t="str">
        <f>"127805.34"</f>
        <v>127805.34</v>
      </c>
      <c r="H374" t="str">
        <f>"2000.00"</f>
        <v>2000.00</v>
      </c>
      <c r="I374" t="str">
        <f>"163"</f>
        <v>163</v>
      </c>
      <c r="J374" t="str">
        <f>"证券买入(德宏股份)"</f>
        <v>证券买入(德宏股份)</v>
      </c>
      <c r="K374" t="str">
        <f>"14.57"</f>
        <v>14.57</v>
      </c>
      <c r="L374" t="str">
        <f t="shared" si="126"/>
        <v>0.00</v>
      </c>
      <c r="M374" t="str">
        <f>"0.29"</f>
        <v>0.29</v>
      </c>
      <c r="N374" t="str">
        <f t="shared" si="124"/>
        <v>0.00</v>
      </c>
      <c r="O374" t="str">
        <f>"603701"</f>
        <v>603701</v>
      </c>
      <c r="P374" t="str">
        <f>"A400948245"</f>
        <v>A400948245</v>
      </c>
    </row>
    <row r="375" spans="1:16" x14ac:dyDescent="0.25">
      <c r="A375" t="str">
        <f t="shared" si="114"/>
        <v>人民币</v>
      </c>
      <c r="B375" t="str">
        <f>"德宏股份"</f>
        <v>德宏股份</v>
      </c>
      <c r="C375" t="str">
        <f t="shared" si="127"/>
        <v>20190917</v>
      </c>
      <c r="D375" t="str">
        <f>"14.600"</f>
        <v>14.600</v>
      </c>
      <c r="E375" t="str">
        <f>"1000.00"</f>
        <v>1000.00</v>
      </c>
      <c r="F375" t="str">
        <f>"-14614.89"</f>
        <v>-14614.89</v>
      </c>
      <c r="G375" t="str">
        <f>"142390.20"</f>
        <v>142390.20</v>
      </c>
      <c r="H375" t="str">
        <f>"1000.00"</f>
        <v>1000.00</v>
      </c>
      <c r="I375" t="str">
        <f>"155"</f>
        <v>155</v>
      </c>
      <c r="J375" t="str">
        <f>"证券买入(德宏股份)"</f>
        <v>证券买入(德宏股份)</v>
      </c>
      <c r="K375" t="str">
        <f>"14.60"</f>
        <v>14.60</v>
      </c>
      <c r="L375" t="str">
        <f t="shared" si="126"/>
        <v>0.00</v>
      </c>
      <c r="M375" t="str">
        <f>"0.29"</f>
        <v>0.29</v>
      </c>
      <c r="N375" t="str">
        <f t="shared" si="124"/>
        <v>0.00</v>
      </c>
      <c r="O375" t="str">
        <f>"603701"</f>
        <v>603701</v>
      </c>
      <c r="P375" t="str">
        <f>"A400948245"</f>
        <v>A400948245</v>
      </c>
    </row>
    <row r="376" spans="1:16" x14ac:dyDescent="0.25">
      <c r="A376" t="str">
        <f t="shared" si="114"/>
        <v>人民币</v>
      </c>
      <c r="B376" t="str">
        <f>"三安光电"</f>
        <v>三安光电</v>
      </c>
      <c r="C376" t="str">
        <f t="shared" si="127"/>
        <v>20190917</v>
      </c>
      <c r="D376" t="str">
        <f>"14.280"</f>
        <v>14.280</v>
      </c>
      <c r="E376" t="str">
        <f>"-2000.00"</f>
        <v>-2000.00</v>
      </c>
      <c r="F376" t="str">
        <f>"28502.30"</f>
        <v>28502.30</v>
      </c>
      <c r="G376" t="str">
        <f>"157005.09"</f>
        <v>157005.09</v>
      </c>
      <c r="H376" t="str">
        <f>"0.00"</f>
        <v>0.00</v>
      </c>
      <c r="I376" t="str">
        <f>"151"</f>
        <v>151</v>
      </c>
      <c r="J376" t="str">
        <f>"证券卖出(三安光电)"</f>
        <v>证券卖出(三安光电)</v>
      </c>
      <c r="K376" t="str">
        <f>"28.56"</f>
        <v>28.56</v>
      </c>
      <c r="L376" t="str">
        <f>"28.57"</f>
        <v>28.57</v>
      </c>
      <c r="M376" t="str">
        <f>"0.57"</f>
        <v>0.57</v>
      </c>
      <c r="N376" t="str">
        <f t="shared" si="124"/>
        <v>0.00</v>
      </c>
      <c r="O376" t="str">
        <f>"600703"</f>
        <v>600703</v>
      </c>
      <c r="P376" t="str">
        <f>"A400948245"</f>
        <v>A400948245</v>
      </c>
    </row>
    <row r="377" spans="1:16" x14ac:dyDescent="0.25">
      <c r="A377" t="str">
        <f t="shared" si="114"/>
        <v>人民币</v>
      </c>
      <c r="B377" t="str">
        <f>"壹网壹创"</f>
        <v>壹网壹创</v>
      </c>
      <c r="C377" t="str">
        <f t="shared" ref="C377:C382" si="128">"20190918"</f>
        <v>20190918</v>
      </c>
      <c r="D377" t="str">
        <f>"0.000"</f>
        <v>0.000</v>
      </c>
      <c r="E377" t="str">
        <f>"17.00"</f>
        <v>17.00</v>
      </c>
      <c r="F377" t="str">
        <f>"0.00"</f>
        <v>0.00</v>
      </c>
      <c r="G377" t="str">
        <f>"61729.00"</f>
        <v>61729.00</v>
      </c>
      <c r="H377" t="str">
        <f>"0.00"</f>
        <v>0.00</v>
      </c>
      <c r="I377" t="str">
        <f>"197"</f>
        <v>197</v>
      </c>
      <c r="J377" t="str">
        <f>"申购配号(壹网壹创)"</f>
        <v>申购配号(壹网壹创)</v>
      </c>
      <c r="K377" t="str">
        <f>"0.00"</f>
        <v>0.00</v>
      </c>
      <c r="L377" t="str">
        <f>"0.00"</f>
        <v>0.00</v>
      </c>
      <c r="M377" t="str">
        <f>"0.00"</f>
        <v>0.00</v>
      </c>
      <c r="N377" t="str">
        <f t="shared" si="124"/>
        <v>0.00</v>
      </c>
      <c r="O377" t="str">
        <f>"300792"</f>
        <v>300792</v>
      </c>
      <c r="P377" t="str">
        <f>"0153613480"</f>
        <v>0153613480</v>
      </c>
    </row>
    <row r="378" spans="1:16" x14ac:dyDescent="0.25">
      <c r="A378" t="str">
        <f t="shared" ref="A378:A441" si="129">"人民币"</f>
        <v>人民币</v>
      </c>
      <c r="B378" t="str">
        <f>"中海达"</f>
        <v>中海达</v>
      </c>
      <c r="C378" t="str">
        <f t="shared" si="128"/>
        <v>20190918</v>
      </c>
      <c r="D378" t="str">
        <f>"10.000"</f>
        <v>10.000</v>
      </c>
      <c r="E378" t="str">
        <f>"1000.00"</f>
        <v>1000.00</v>
      </c>
      <c r="F378" t="str">
        <f>"-10005.00"</f>
        <v>-10005.00</v>
      </c>
      <c r="G378" t="str">
        <f>"61729.00"</f>
        <v>61729.00</v>
      </c>
      <c r="H378" t="str">
        <f>"5000.00"</f>
        <v>5000.00</v>
      </c>
      <c r="I378" t="str">
        <f>"199"</f>
        <v>199</v>
      </c>
      <c r="J378" t="str">
        <f>"证券买入(中海达)"</f>
        <v>证券买入(中海达)</v>
      </c>
      <c r="K378" t="str">
        <f>"5.00"</f>
        <v>5.00</v>
      </c>
      <c r="L378" t="str">
        <f>"0.00"</f>
        <v>0.00</v>
      </c>
      <c r="M378" t="str">
        <f>"0.00"</f>
        <v>0.00</v>
      </c>
      <c r="N378" t="str">
        <f t="shared" si="124"/>
        <v>0.00</v>
      </c>
      <c r="O378" t="str">
        <f>"300177"</f>
        <v>300177</v>
      </c>
      <c r="P378" t="str">
        <f>"0153613480"</f>
        <v>0153613480</v>
      </c>
    </row>
    <row r="379" spans="1:16" x14ac:dyDescent="0.25">
      <c r="A379" t="str">
        <f t="shared" si="129"/>
        <v>人民币</v>
      </c>
      <c r="B379" t="str">
        <f>"中海达"</f>
        <v>中海达</v>
      </c>
      <c r="C379" t="str">
        <f t="shared" si="128"/>
        <v>20190918</v>
      </c>
      <c r="D379" t="str">
        <f>"10.120"</f>
        <v>10.120</v>
      </c>
      <c r="E379" t="str">
        <f>"1000.00"</f>
        <v>1000.00</v>
      </c>
      <c r="F379" t="str">
        <f>"-10125.00"</f>
        <v>-10125.00</v>
      </c>
      <c r="G379" t="str">
        <f>"71734.00"</f>
        <v>71734.00</v>
      </c>
      <c r="H379" t="str">
        <f>"4000.00"</f>
        <v>4000.00</v>
      </c>
      <c r="I379" t="str">
        <f>"193"</f>
        <v>193</v>
      </c>
      <c r="J379" t="str">
        <f>"证券买入(中海达)"</f>
        <v>证券买入(中海达)</v>
      </c>
      <c r="K379" t="str">
        <f>"5.00"</f>
        <v>5.00</v>
      </c>
      <c r="L379" t="str">
        <f>"0.00"</f>
        <v>0.00</v>
      </c>
      <c r="M379" t="str">
        <f>"0.00"</f>
        <v>0.00</v>
      </c>
      <c r="N379" t="str">
        <f t="shared" si="124"/>
        <v>0.00</v>
      </c>
      <c r="O379" t="str">
        <f>"300177"</f>
        <v>300177</v>
      </c>
      <c r="P379" t="str">
        <f>"0153613480"</f>
        <v>0153613480</v>
      </c>
    </row>
    <row r="380" spans="1:16" x14ac:dyDescent="0.25">
      <c r="A380" t="str">
        <f t="shared" si="129"/>
        <v>人民币</v>
      </c>
      <c r="B380" t="str">
        <f>"顺灏股份"</f>
        <v>顺灏股份</v>
      </c>
      <c r="C380" t="str">
        <f t="shared" si="128"/>
        <v>20190918</v>
      </c>
      <c r="D380" t="str">
        <f>"8.000"</f>
        <v>8.000</v>
      </c>
      <c r="E380" t="str">
        <f>"-2000.00"</f>
        <v>-2000.00</v>
      </c>
      <c r="F380" t="str">
        <f>"15979.00"</f>
        <v>15979.00</v>
      </c>
      <c r="G380" t="str">
        <f>"81859.00"</f>
        <v>81859.00</v>
      </c>
      <c r="H380" t="str">
        <f>"5000.00"</f>
        <v>5000.00</v>
      </c>
      <c r="I380" t="str">
        <f>"203"</f>
        <v>203</v>
      </c>
      <c r="J380" t="str">
        <f>"证券卖出(顺灏股份)"</f>
        <v>证券卖出(顺灏股份)</v>
      </c>
      <c r="K380" t="str">
        <f>"5.00"</f>
        <v>5.00</v>
      </c>
      <c r="L380" t="str">
        <f>"16.00"</f>
        <v>16.00</v>
      </c>
      <c r="M380" t="str">
        <f>"0.00"</f>
        <v>0.00</v>
      </c>
      <c r="N380" t="str">
        <f t="shared" si="124"/>
        <v>0.00</v>
      </c>
      <c r="O380" t="str">
        <f>"002565"</f>
        <v>002565</v>
      </c>
      <c r="P380" t="str">
        <f>"0153613480"</f>
        <v>0153613480</v>
      </c>
    </row>
    <row r="381" spans="1:16" x14ac:dyDescent="0.25">
      <c r="A381" t="str">
        <f t="shared" si="129"/>
        <v>人民币</v>
      </c>
      <c r="B381" t="str">
        <f>"德宏股份"</f>
        <v>德宏股份</v>
      </c>
      <c r="C381" t="str">
        <f t="shared" si="128"/>
        <v>20190918</v>
      </c>
      <c r="D381" t="str">
        <f>"14.528"</f>
        <v>14.528</v>
      </c>
      <c r="E381" t="str">
        <f>"-1500.00"</f>
        <v>-1500.00</v>
      </c>
      <c r="F381" t="str">
        <f>"21763.23"</f>
        <v>21763.23</v>
      </c>
      <c r="G381" t="str">
        <f>"65880.00"</f>
        <v>65880.00</v>
      </c>
      <c r="H381" t="str">
        <f>"3000.00"</f>
        <v>3000.00</v>
      </c>
      <c r="I381" t="str">
        <f>"206"</f>
        <v>206</v>
      </c>
      <c r="J381" t="str">
        <f>"证券卖出(德宏股份)"</f>
        <v>证券卖出(德宏股份)</v>
      </c>
      <c r="K381" t="str">
        <f>"6.54"</f>
        <v>6.54</v>
      </c>
      <c r="L381" t="str">
        <f>"21.79"</f>
        <v>21.79</v>
      </c>
      <c r="M381" t="str">
        <f>"0.44"</f>
        <v>0.44</v>
      </c>
      <c r="N381" t="str">
        <f t="shared" si="124"/>
        <v>0.00</v>
      </c>
      <c r="O381" t="str">
        <f>"603701"</f>
        <v>603701</v>
      </c>
      <c r="P381" t="str">
        <f>"A400948245"</f>
        <v>A400948245</v>
      </c>
    </row>
    <row r="382" spans="1:16" x14ac:dyDescent="0.25">
      <c r="A382" t="str">
        <f t="shared" si="129"/>
        <v>人民币</v>
      </c>
      <c r="B382" t="str">
        <f>"德宏股份"</f>
        <v>德宏股份</v>
      </c>
      <c r="C382" t="str">
        <f t="shared" si="128"/>
        <v>20190918</v>
      </c>
      <c r="D382" t="str">
        <f>"14.050"</f>
        <v>14.050</v>
      </c>
      <c r="E382" t="str">
        <f>"1500.00"</f>
        <v>1500.00</v>
      </c>
      <c r="F382" t="str">
        <f>"-21081.74"</f>
        <v>-21081.74</v>
      </c>
      <c r="G382" t="str">
        <f>"44116.77"</f>
        <v>44116.77</v>
      </c>
      <c r="H382" t="str">
        <f>"4500.00"</f>
        <v>4500.00</v>
      </c>
      <c r="I382" t="str">
        <f>"185"</f>
        <v>185</v>
      </c>
      <c r="J382" t="str">
        <f>"证券买入(德宏股份)"</f>
        <v>证券买入(德宏股份)</v>
      </c>
      <c r="K382" t="str">
        <f>"6.32"</f>
        <v>6.32</v>
      </c>
      <c r="L382" t="str">
        <f>"0.00"</f>
        <v>0.00</v>
      </c>
      <c r="M382" t="str">
        <f>"0.42"</f>
        <v>0.42</v>
      </c>
      <c r="N382" t="str">
        <f t="shared" si="124"/>
        <v>0.00</v>
      </c>
      <c r="O382" t="str">
        <f>"603701"</f>
        <v>603701</v>
      </c>
      <c r="P382" t="str">
        <f>"A400948245"</f>
        <v>A400948245</v>
      </c>
    </row>
    <row r="383" spans="1:16" x14ac:dyDescent="0.25">
      <c r="A383" t="str">
        <f t="shared" si="129"/>
        <v>人民币</v>
      </c>
      <c r="B383" t="str">
        <f>"顺灏股份"</f>
        <v>顺灏股份</v>
      </c>
      <c r="C383" t="str">
        <f>"20190919"</f>
        <v>20190919</v>
      </c>
      <c r="D383" t="str">
        <f>"7.780"</f>
        <v>7.780</v>
      </c>
      <c r="E383" t="str">
        <f>"2500.00"</f>
        <v>2500.00</v>
      </c>
      <c r="F383" t="str">
        <f>"-19455.84"</f>
        <v>-19455.84</v>
      </c>
      <c r="G383" t="str">
        <f>"37573.65"</f>
        <v>37573.65</v>
      </c>
      <c r="H383" t="str">
        <f>"7500.00"</f>
        <v>7500.00</v>
      </c>
      <c r="I383" t="str">
        <f>"227"</f>
        <v>227</v>
      </c>
      <c r="J383" t="str">
        <f>"证券买入(顺灏股份)"</f>
        <v>证券买入(顺灏股份)</v>
      </c>
      <c r="K383" t="str">
        <f>"5.84"</f>
        <v>5.84</v>
      </c>
      <c r="L383" t="str">
        <f>"0.00"</f>
        <v>0.00</v>
      </c>
      <c r="M383" t="str">
        <f>"0.00"</f>
        <v>0.00</v>
      </c>
      <c r="N383" t="str">
        <f t="shared" si="124"/>
        <v>0.00</v>
      </c>
      <c r="O383" t="str">
        <f>"002565"</f>
        <v>002565</v>
      </c>
      <c r="P383" t="str">
        <f>"0153613480"</f>
        <v>0153613480</v>
      </c>
    </row>
    <row r="384" spans="1:16" x14ac:dyDescent="0.25">
      <c r="A384" t="str">
        <f t="shared" si="129"/>
        <v>人民币</v>
      </c>
      <c r="B384" t="str">
        <f>"中海达"</f>
        <v>中海达</v>
      </c>
      <c r="C384" t="str">
        <f>"20190919"</f>
        <v>20190919</v>
      </c>
      <c r="D384" t="str">
        <f>"9.870"</f>
        <v>9.870</v>
      </c>
      <c r="E384" t="str">
        <f>"2000.00"</f>
        <v>2000.00</v>
      </c>
      <c r="F384" t="str">
        <f>"-19745.92"</f>
        <v>-19745.92</v>
      </c>
      <c r="G384" t="str">
        <f>"57029.49"</f>
        <v>57029.49</v>
      </c>
      <c r="H384" t="str">
        <f>"7000.00"</f>
        <v>7000.00</v>
      </c>
      <c r="I384" t="str">
        <f>"215"</f>
        <v>215</v>
      </c>
      <c r="J384" t="str">
        <f>"证券买入(中海达)"</f>
        <v>证券买入(中海达)</v>
      </c>
      <c r="K384" t="str">
        <f>"5.92"</f>
        <v>5.92</v>
      </c>
      <c r="L384" t="str">
        <f>"0.00"</f>
        <v>0.00</v>
      </c>
      <c r="M384" t="str">
        <f>"0.00"</f>
        <v>0.00</v>
      </c>
      <c r="N384" t="str">
        <f t="shared" si="124"/>
        <v>0.00</v>
      </c>
      <c r="O384" t="str">
        <f>"300177"</f>
        <v>300177</v>
      </c>
      <c r="P384" t="str">
        <f>"0153613480"</f>
        <v>0153613480</v>
      </c>
    </row>
    <row r="385" spans="1:16" x14ac:dyDescent="0.25">
      <c r="A385" t="str">
        <f t="shared" si="129"/>
        <v>人民币</v>
      </c>
      <c r="B385" t="str">
        <f>"赛腾股份"</f>
        <v>赛腾股份</v>
      </c>
      <c r="C385" t="str">
        <f>"20190919"</f>
        <v>20190919</v>
      </c>
      <c r="D385" t="str">
        <f>"25.080"</f>
        <v>25.080</v>
      </c>
      <c r="E385" t="str">
        <f>"400.00"</f>
        <v>400.00</v>
      </c>
      <c r="F385" t="str">
        <f>"-10037.20"</f>
        <v>-10037.20</v>
      </c>
      <c r="G385" t="str">
        <f>"76775.41"</f>
        <v>76775.41</v>
      </c>
      <c r="H385" t="str">
        <f>"1200.00"</f>
        <v>1200.00</v>
      </c>
      <c r="I385" t="str">
        <f>"231"</f>
        <v>231</v>
      </c>
      <c r="J385" t="str">
        <f>"证券买入(赛腾股份)"</f>
        <v>证券买入(赛腾股份)</v>
      </c>
      <c r="K385" t="str">
        <f>"5.00"</f>
        <v>5.00</v>
      </c>
      <c r="L385" t="str">
        <f>"0.00"</f>
        <v>0.00</v>
      </c>
      <c r="M385" t="str">
        <f>"0.20"</f>
        <v>0.20</v>
      </c>
      <c r="N385" t="str">
        <f t="shared" si="124"/>
        <v>0.00</v>
      </c>
      <c r="O385" t="str">
        <f>"603283"</f>
        <v>603283</v>
      </c>
      <c r="P385" t="str">
        <f>"A400948245"</f>
        <v>A400948245</v>
      </c>
    </row>
    <row r="386" spans="1:16" x14ac:dyDescent="0.25">
      <c r="A386" t="str">
        <f t="shared" si="129"/>
        <v>人民币</v>
      </c>
      <c r="B386" t="str">
        <f>"赛腾股份"</f>
        <v>赛腾股份</v>
      </c>
      <c r="C386" t="str">
        <f>"20190919"</f>
        <v>20190919</v>
      </c>
      <c r="D386" t="str">
        <f>"25.300"</f>
        <v>25.300</v>
      </c>
      <c r="E386" t="str">
        <f>"800.00"</f>
        <v>800.00</v>
      </c>
      <c r="F386" t="str">
        <f>"-20246.47"</f>
        <v>-20246.47</v>
      </c>
      <c r="G386" t="str">
        <f>"86812.61"</f>
        <v>86812.61</v>
      </c>
      <c r="H386" t="str">
        <f>"800.00"</f>
        <v>800.00</v>
      </c>
      <c r="I386" t="str">
        <f>"224"</f>
        <v>224</v>
      </c>
      <c r="J386" t="str">
        <f>"证券买入(赛腾股份)"</f>
        <v>证券买入(赛腾股份)</v>
      </c>
      <c r="K386" t="str">
        <f>"6.07"</f>
        <v>6.07</v>
      </c>
      <c r="L386" t="str">
        <f>"0.00"</f>
        <v>0.00</v>
      </c>
      <c r="M386" t="str">
        <f>"0.40"</f>
        <v>0.40</v>
      </c>
      <c r="N386" t="str">
        <f t="shared" si="124"/>
        <v>0.00</v>
      </c>
      <c r="O386" t="str">
        <f>"603283"</f>
        <v>603283</v>
      </c>
      <c r="P386" t="str">
        <f>"A400948245"</f>
        <v>A400948245</v>
      </c>
    </row>
    <row r="387" spans="1:16" x14ac:dyDescent="0.25">
      <c r="A387" t="str">
        <f t="shared" si="129"/>
        <v>人民币</v>
      </c>
      <c r="B387" t="str">
        <f>"德宏股份"</f>
        <v>德宏股份</v>
      </c>
      <c r="C387" t="str">
        <f>"20190919"</f>
        <v>20190919</v>
      </c>
      <c r="D387" t="str">
        <f>"15.130"</f>
        <v>15.130</v>
      </c>
      <c r="E387" t="str">
        <f>"-3000.00"</f>
        <v>-3000.00</v>
      </c>
      <c r="F387" t="str">
        <f>"45330.08"</f>
        <v>45330.08</v>
      </c>
      <c r="G387" t="str">
        <f>"107059.08"</f>
        <v>107059.08</v>
      </c>
      <c r="H387" t="str">
        <f>"0.00"</f>
        <v>0.00</v>
      </c>
      <c r="I387" t="str">
        <f>"218"</f>
        <v>218</v>
      </c>
      <c r="J387" t="str">
        <f>"证券卖出(德宏股份)"</f>
        <v>证券卖出(德宏股份)</v>
      </c>
      <c r="K387" t="str">
        <f>"13.62"</f>
        <v>13.62</v>
      </c>
      <c r="L387" t="str">
        <f>"45.39"</f>
        <v>45.39</v>
      </c>
      <c r="M387" t="str">
        <f>"0.91"</f>
        <v>0.91</v>
      </c>
      <c r="N387" t="str">
        <f t="shared" si="124"/>
        <v>0.00</v>
      </c>
      <c r="O387" t="str">
        <f>"603701"</f>
        <v>603701</v>
      </c>
      <c r="P387" t="str">
        <f>"A400948245"</f>
        <v>A400948245</v>
      </c>
    </row>
    <row r="388" spans="1:16" x14ac:dyDescent="0.25">
      <c r="A388" t="str">
        <f t="shared" si="129"/>
        <v>人民币</v>
      </c>
      <c r="B388" t="str">
        <f>""</f>
        <v/>
      </c>
      <c r="C388" t="str">
        <f>"20190920"</f>
        <v>20190920</v>
      </c>
      <c r="D388" t="str">
        <f>"---"</f>
        <v>---</v>
      </c>
      <c r="E388" t="str">
        <f>"---"</f>
        <v>---</v>
      </c>
      <c r="F388" t="str">
        <f>"19.48"</f>
        <v>19.48</v>
      </c>
      <c r="G388" t="str">
        <f>"37593.13"</f>
        <v>37593.13</v>
      </c>
      <c r="H388" t="str">
        <f>"---"</f>
        <v>---</v>
      </c>
      <c r="I388" t="str">
        <f>"---"</f>
        <v>---</v>
      </c>
      <c r="J388" t="str">
        <f>"批量利息归本"</f>
        <v>批量利息归本</v>
      </c>
      <c r="K388" t="str">
        <f t="shared" ref="K388:P388" si="130">"---"</f>
        <v>---</v>
      </c>
      <c r="L388" t="str">
        <f t="shared" si="130"/>
        <v>---</v>
      </c>
      <c r="M388" t="str">
        <f t="shared" si="130"/>
        <v>---</v>
      </c>
      <c r="N388" t="str">
        <f t="shared" si="130"/>
        <v>---</v>
      </c>
      <c r="O388" t="str">
        <f t="shared" si="130"/>
        <v>---</v>
      </c>
      <c r="P388" t="str">
        <f t="shared" si="130"/>
        <v>---</v>
      </c>
    </row>
    <row r="389" spans="1:16" x14ac:dyDescent="0.25">
      <c r="A389" t="str">
        <f t="shared" si="129"/>
        <v>人民币</v>
      </c>
      <c r="B389" t="str">
        <f>"中海达"</f>
        <v>中海达</v>
      </c>
      <c r="C389" t="str">
        <f>"20190923"</f>
        <v>20190923</v>
      </c>
      <c r="D389" t="str">
        <f>"10.090"</f>
        <v>10.090</v>
      </c>
      <c r="E389" t="str">
        <f>"2000.00"</f>
        <v>2000.00</v>
      </c>
      <c r="F389" t="str">
        <f>"-20186.06"</f>
        <v>-20186.06</v>
      </c>
      <c r="G389" t="str">
        <f>"30530.32"</f>
        <v>30530.32</v>
      </c>
      <c r="H389" t="str">
        <f>"7000.00"</f>
        <v>7000.00</v>
      </c>
      <c r="I389" t="str">
        <f>"253"</f>
        <v>253</v>
      </c>
      <c r="J389" t="str">
        <f>"证券买入(中海达)"</f>
        <v>证券买入(中海达)</v>
      </c>
      <c r="K389" t="str">
        <f>"6.06"</f>
        <v>6.06</v>
      </c>
      <c r="L389" t="str">
        <f>"0.00"</f>
        <v>0.00</v>
      </c>
      <c r="M389" t="str">
        <f>"0.00"</f>
        <v>0.00</v>
      </c>
      <c r="N389" t="str">
        <f>"0.00"</f>
        <v>0.00</v>
      </c>
      <c r="O389" t="str">
        <f>"300177"</f>
        <v>300177</v>
      </c>
      <c r="P389" t="str">
        <f>"0153613480"</f>
        <v>0153613480</v>
      </c>
    </row>
    <row r="390" spans="1:16" x14ac:dyDescent="0.25">
      <c r="A390" t="str">
        <f t="shared" si="129"/>
        <v>人民币</v>
      </c>
      <c r="B390" t="str">
        <f>"中海达"</f>
        <v>中海达</v>
      </c>
      <c r="C390" t="str">
        <f>"20190923"</f>
        <v>20190923</v>
      </c>
      <c r="D390" t="str">
        <f>"10.230"</f>
        <v>10.230</v>
      </c>
      <c r="E390" t="str">
        <f>"-2000.00"</f>
        <v>-2000.00</v>
      </c>
      <c r="F390" t="str">
        <f>"20433.40"</f>
        <v>20433.40</v>
      </c>
      <c r="G390" t="str">
        <f>"50716.38"</f>
        <v>50716.38</v>
      </c>
      <c r="H390" t="str">
        <f>"5000.00"</f>
        <v>5000.00</v>
      </c>
      <c r="I390" t="str">
        <f>"250"</f>
        <v>250</v>
      </c>
      <c r="J390" t="str">
        <f>"证券卖出(中海达)"</f>
        <v>证券卖出(中海达)</v>
      </c>
      <c r="K390" t="str">
        <f>"6.14"</f>
        <v>6.14</v>
      </c>
      <c r="L390" t="str">
        <f>"20.46"</f>
        <v>20.46</v>
      </c>
      <c r="M390" t="str">
        <f>"0.00"</f>
        <v>0.00</v>
      </c>
      <c r="N390" t="str">
        <f>"0.00"</f>
        <v>0.00</v>
      </c>
      <c r="O390" t="str">
        <f>"300177"</f>
        <v>300177</v>
      </c>
      <c r="P390" t="str">
        <f>"0153613480"</f>
        <v>0153613480</v>
      </c>
    </row>
    <row r="391" spans="1:16" x14ac:dyDescent="0.25">
      <c r="A391" t="str">
        <f t="shared" si="129"/>
        <v>人民币</v>
      </c>
      <c r="B391" t="str">
        <f>"赛腾股份"</f>
        <v>赛腾股份</v>
      </c>
      <c r="C391" t="str">
        <f>"20190923"</f>
        <v>20190923</v>
      </c>
      <c r="D391" t="str">
        <f>"24.350"</f>
        <v>24.350</v>
      </c>
      <c r="E391" t="str">
        <f>"300.00"</f>
        <v>300.00</v>
      </c>
      <c r="F391" t="str">
        <f>"-7310.15"</f>
        <v>-7310.15</v>
      </c>
      <c r="G391" t="str">
        <f>"30282.98"</f>
        <v>30282.98</v>
      </c>
      <c r="H391" t="str">
        <f>"1500.00"</f>
        <v>1500.00</v>
      </c>
      <c r="I391" t="str">
        <f>"240"</f>
        <v>240</v>
      </c>
      <c r="J391" t="str">
        <f>"证券买入(赛腾股份)"</f>
        <v>证券买入(赛腾股份)</v>
      </c>
      <c r="K391" t="str">
        <f>"5.00"</f>
        <v>5.00</v>
      </c>
      <c r="L391" t="str">
        <f>"0.00"</f>
        <v>0.00</v>
      </c>
      <c r="M391" t="str">
        <f>"0.15"</f>
        <v>0.15</v>
      </c>
      <c r="N391" t="str">
        <f t="shared" ref="N391:N397" si="131">"0.00"</f>
        <v>0.00</v>
      </c>
      <c r="O391" t="str">
        <f>"603283"</f>
        <v>603283</v>
      </c>
      <c r="P391" t="str">
        <f>"A400948245"</f>
        <v>A400948245</v>
      </c>
    </row>
    <row r="392" spans="1:16" x14ac:dyDescent="0.25">
      <c r="A392" t="str">
        <f t="shared" si="129"/>
        <v>人民币</v>
      </c>
      <c r="B392" t="str">
        <f>"赛腾股份"</f>
        <v>赛腾股份</v>
      </c>
      <c r="C392" t="str">
        <f>"20190924"</f>
        <v>20190924</v>
      </c>
      <c r="D392" t="str">
        <f>"25.060"</f>
        <v>25.060</v>
      </c>
      <c r="E392" t="str">
        <f>"-300.00"</f>
        <v>-300.00</v>
      </c>
      <c r="F392" t="str">
        <f>"7505.33"</f>
        <v>7505.33</v>
      </c>
      <c r="G392" t="str">
        <f>"46893.60"</f>
        <v>46893.60</v>
      </c>
      <c r="H392" t="str">
        <f>"1200.00"</f>
        <v>1200.00</v>
      </c>
      <c r="I392" t="str">
        <f>"264"</f>
        <v>264</v>
      </c>
      <c r="J392" t="str">
        <f>"证券卖出(赛腾股份)"</f>
        <v>证券卖出(赛腾股份)</v>
      </c>
      <c r="K392" t="str">
        <f>"5.00"</f>
        <v>5.00</v>
      </c>
      <c r="L392" t="str">
        <f>"7.52"</f>
        <v>7.52</v>
      </c>
      <c r="M392" t="str">
        <f>"0.15"</f>
        <v>0.15</v>
      </c>
      <c r="N392" t="str">
        <f t="shared" si="131"/>
        <v>0.00</v>
      </c>
      <c r="O392" t="str">
        <f>"603283"</f>
        <v>603283</v>
      </c>
      <c r="P392" t="str">
        <f>"A400948245"</f>
        <v>A400948245</v>
      </c>
    </row>
    <row r="393" spans="1:16" x14ac:dyDescent="0.25">
      <c r="A393" t="str">
        <f t="shared" si="129"/>
        <v>人民币</v>
      </c>
      <c r="B393" t="str">
        <f>"中通国脉"</f>
        <v>中通国脉</v>
      </c>
      <c r="C393" t="str">
        <f>"20190924"</f>
        <v>20190924</v>
      </c>
      <c r="D393" t="str">
        <f>"22.180"</f>
        <v>22.180</v>
      </c>
      <c r="E393" t="str">
        <f>"-400.00"</f>
        <v>-400.00</v>
      </c>
      <c r="F393" t="str">
        <f>"8857.95"</f>
        <v>8857.95</v>
      </c>
      <c r="G393" t="str">
        <f>"39388.27"</f>
        <v>39388.27</v>
      </c>
      <c r="H393" t="str">
        <f>"3300.00"</f>
        <v>3300.00</v>
      </c>
      <c r="I393" t="str">
        <f>"261"</f>
        <v>261</v>
      </c>
      <c r="J393" t="str">
        <f>"证券卖出(中通国脉)"</f>
        <v>证券卖出(中通国脉)</v>
      </c>
      <c r="K393" t="str">
        <f>"5.00"</f>
        <v>5.00</v>
      </c>
      <c r="L393" t="str">
        <f>"8.87"</f>
        <v>8.87</v>
      </c>
      <c r="M393" t="str">
        <f>"0.18"</f>
        <v>0.18</v>
      </c>
      <c r="N393" t="str">
        <f t="shared" si="131"/>
        <v>0.00</v>
      </c>
      <c r="O393" t="str">
        <f>"603559"</f>
        <v>603559</v>
      </c>
      <c r="P393" t="str">
        <f>"A400948245"</f>
        <v>A400948245</v>
      </c>
    </row>
    <row r="394" spans="1:16" x14ac:dyDescent="0.25">
      <c r="A394" t="str">
        <f t="shared" si="129"/>
        <v>人民币</v>
      </c>
      <c r="B394" t="str">
        <f>"顺灏股份"</f>
        <v>顺灏股份</v>
      </c>
      <c r="C394" t="str">
        <f t="shared" ref="C394:C400" si="132">"20190925"</f>
        <v>20190925</v>
      </c>
      <c r="D394" t="str">
        <f>"7.110"</f>
        <v>7.110</v>
      </c>
      <c r="E394" t="str">
        <f>"1500.00"</f>
        <v>1500.00</v>
      </c>
      <c r="F394" t="str">
        <f>"-10670.00"</f>
        <v>-10670.00</v>
      </c>
      <c r="G394" t="str">
        <f>"10845.51"</f>
        <v>10845.51</v>
      </c>
      <c r="H394" t="str">
        <f>"9000.00"</f>
        <v>9000.00</v>
      </c>
      <c r="I394" t="str">
        <f>"281"</f>
        <v>281</v>
      </c>
      <c r="J394" t="str">
        <f>"证券买入(顺灏股份)"</f>
        <v>证券买入(顺灏股份)</v>
      </c>
      <c r="K394" t="str">
        <f>"5.00"</f>
        <v>5.00</v>
      </c>
      <c r="L394" t="str">
        <f>"0.00"</f>
        <v>0.00</v>
      </c>
      <c r="M394" t="str">
        <f>"0.00"</f>
        <v>0.00</v>
      </c>
      <c r="N394" t="str">
        <f t="shared" si="131"/>
        <v>0.00</v>
      </c>
      <c r="O394" t="str">
        <f>"002565"</f>
        <v>002565</v>
      </c>
      <c r="P394" t="str">
        <f>"0153613480"</f>
        <v>0153613480</v>
      </c>
    </row>
    <row r="395" spans="1:16" x14ac:dyDescent="0.25">
      <c r="A395" t="str">
        <f t="shared" si="129"/>
        <v>人民币</v>
      </c>
      <c r="B395" t="str">
        <f>"科博配号"</f>
        <v>科博配号</v>
      </c>
      <c r="C395" t="str">
        <f t="shared" si="132"/>
        <v>20190925</v>
      </c>
      <c r="D395" t="str">
        <f>"0.000"</f>
        <v>0.000</v>
      </c>
      <c r="E395" t="str">
        <f>"10.00"</f>
        <v>10.00</v>
      </c>
      <c r="F395" t="str">
        <f>"0.00"</f>
        <v>0.00</v>
      </c>
      <c r="G395" t="str">
        <f>"46892.72"</f>
        <v>46892.72</v>
      </c>
      <c r="H395" t="str">
        <f>"0.00"</f>
        <v>0.00</v>
      </c>
      <c r="I395" t="str">
        <f>"272"</f>
        <v>272</v>
      </c>
      <c r="J395" t="str">
        <f>"申购配号(科博配号)"</f>
        <v>申购配号(科博配号)</v>
      </c>
      <c r="K395" t="str">
        <f>"0.00"</f>
        <v>0.00</v>
      </c>
      <c r="L395" t="str">
        <f>"0.00"</f>
        <v>0.00</v>
      </c>
      <c r="M395" t="str">
        <f>"0.00"</f>
        <v>0.00</v>
      </c>
      <c r="N395" t="str">
        <f t="shared" si="131"/>
        <v>0.00</v>
      </c>
      <c r="O395" t="str">
        <f>"736786"</f>
        <v>736786</v>
      </c>
      <c r="P395" t="str">
        <f t="shared" ref="P395:P408" si="133">"A400948245"</f>
        <v>A400948245</v>
      </c>
    </row>
    <row r="396" spans="1:16" x14ac:dyDescent="0.25">
      <c r="A396" t="str">
        <f t="shared" si="129"/>
        <v>人民币</v>
      </c>
      <c r="B396" t="str">
        <f>"中通国脉"</f>
        <v>中通国脉</v>
      </c>
      <c r="C396" t="str">
        <f t="shared" si="132"/>
        <v>20190925</v>
      </c>
      <c r="D396" t="str">
        <f>"21.220"</f>
        <v>21.220</v>
      </c>
      <c r="E396" t="str">
        <f>"300.00"</f>
        <v>300.00</v>
      </c>
      <c r="F396" t="str">
        <f>"-6371.13"</f>
        <v>-6371.13</v>
      </c>
      <c r="G396" t="str">
        <f>"21515.51"</f>
        <v>21515.51</v>
      </c>
      <c r="H396" t="str">
        <f>"3600.00"</f>
        <v>3600.00</v>
      </c>
      <c r="I396" t="str">
        <f>"278"</f>
        <v>278</v>
      </c>
      <c r="J396" t="str">
        <f>"证券买入(中通国脉)"</f>
        <v>证券买入(中通国脉)</v>
      </c>
      <c r="K396" t="str">
        <f>"5.00"</f>
        <v>5.00</v>
      </c>
      <c r="L396" t="str">
        <f>"0.00"</f>
        <v>0.00</v>
      </c>
      <c r="M396" t="str">
        <f>"0.13"</f>
        <v>0.13</v>
      </c>
      <c r="N396" t="str">
        <f t="shared" si="131"/>
        <v>0.00</v>
      </c>
      <c r="O396" t="str">
        <f>"603559"</f>
        <v>603559</v>
      </c>
      <c r="P396" t="str">
        <f t="shared" si="133"/>
        <v>A400948245</v>
      </c>
    </row>
    <row r="397" spans="1:16" x14ac:dyDescent="0.25">
      <c r="A397" t="str">
        <f t="shared" si="129"/>
        <v>人民币</v>
      </c>
      <c r="B397" t="str">
        <f>"威派格"</f>
        <v>威派格</v>
      </c>
      <c r="C397" t="str">
        <f t="shared" si="132"/>
        <v>20190925</v>
      </c>
      <c r="D397" t="str">
        <f>"19.000"</f>
        <v>19.000</v>
      </c>
      <c r="E397" t="str">
        <f>"1000.00"</f>
        <v>1000.00</v>
      </c>
      <c r="F397" t="str">
        <f>"-19006.08"</f>
        <v>-19006.08</v>
      </c>
      <c r="G397" t="str">
        <f>"27886.64"</f>
        <v>27886.64</v>
      </c>
      <c r="H397" t="str">
        <f>"1000.00"</f>
        <v>1000.00</v>
      </c>
      <c r="I397" t="str">
        <f>"274"</f>
        <v>274</v>
      </c>
      <c r="J397" t="str">
        <f>"证券买入(威派格)"</f>
        <v>证券买入(威派格)</v>
      </c>
      <c r="K397" t="str">
        <f>"5.70"</f>
        <v>5.70</v>
      </c>
      <c r="L397" t="str">
        <f>"0.00"</f>
        <v>0.00</v>
      </c>
      <c r="M397" t="str">
        <f>"0.38"</f>
        <v>0.38</v>
      </c>
      <c r="N397" t="str">
        <f t="shared" si="131"/>
        <v>0.00</v>
      </c>
      <c r="O397" t="str">
        <f>"603956"</f>
        <v>603956</v>
      </c>
      <c r="P397" t="str">
        <f t="shared" si="133"/>
        <v>A400948245</v>
      </c>
    </row>
    <row r="398" spans="1:16" x14ac:dyDescent="0.25">
      <c r="A398" t="str">
        <f t="shared" si="129"/>
        <v>人民币</v>
      </c>
      <c r="B398" t="str">
        <f>"中通国脉"</f>
        <v>中通国脉</v>
      </c>
      <c r="C398" t="str">
        <f t="shared" si="132"/>
        <v>20190925</v>
      </c>
      <c r="D398" t="str">
        <f>"0.000"</f>
        <v>0.000</v>
      </c>
      <c r="E398" t="str">
        <f>"0.00"</f>
        <v>0.00</v>
      </c>
      <c r="F398" t="str">
        <f>"-0.44"</f>
        <v>-0.44</v>
      </c>
      <c r="G398" t="str">
        <f>"46892.72"</f>
        <v>46892.72</v>
      </c>
      <c r="H398" t="str">
        <f>"3300.00"</f>
        <v>3300.00</v>
      </c>
      <c r="I398" t="str">
        <f>"---"</f>
        <v>---</v>
      </c>
      <c r="J398" t="str">
        <f>"红利差异税扣税(中通国脉)"</f>
        <v>红利差异税扣税(中通国脉)</v>
      </c>
      <c r="K398" t="str">
        <f t="shared" ref="K398:N400" si="134">"---"</f>
        <v>---</v>
      </c>
      <c r="L398" t="str">
        <f t="shared" si="134"/>
        <v>---</v>
      </c>
      <c r="M398" t="str">
        <f t="shared" si="134"/>
        <v>---</v>
      </c>
      <c r="N398" t="str">
        <f t="shared" si="134"/>
        <v>---</v>
      </c>
      <c r="O398" t="str">
        <f>"603559"</f>
        <v>603559</v>
      </c>
      <c r="P398" t="str">
        <f t="shared" si="133"/>
        <v>A400948245</v>
      </c>
    </row>
    <row r="399" spans="1:16" x14ac:dyDescent="0.25">
      <c r="A399" t="str">
        <f t="shared" si="129"/>
        <v>人民币</v>
      </c>
      <c r="B399" t="str">
        <f>"中通国脉"</f>
        <v>中通国脉</v>
      </c>
      <c r="C399" t="str">
        <f t="shared" si="132"/>
        <v>20190925</v>
      </c>
      <c r="D399" t="str">
        <f>"0.000"</f>
        <v>0.000</v>
      </c>
      <c r="E399" t="str">
        <f>"0.00"</f>
        <v>0.00</v>
      </c>
      <c r="F399" t="str">
        <f>"-0.22"</f>
        <v>-0.22</v>
      </c>
      <c r="G399" t="str">
        <f>"46893.16"</f>
        <v>46893.16</v>
      </c>
      <c r="H399" t="str">
        <f>"3300.00"</f>
        <v>3300.00</v>
      </c>
      <c r="I399" t="str">
        <f>"---"</f>
        <v>---</v>
      </c>
      <c r="J399" t="str">
        <f>"红利差异税扣税(中通国脉)"</f>
        <v>红利差异税扣税(中通国脉)</v>
      </c>
      <c r="K399" t="str">
        <f t="shared" si="134"/>
        <v>---</v>
      </c>
      <c r="L399" t="str">
        <f t="shared" si="134"/>
        <v>---</v>
      </c>
      <c r="M399" t="str">
        <f t="shared" si="134"/>
        <v>---</v>
      </c>
      <c r="N399" t="str">
        <f t="shared" si="134"/>
        <v>---</v>
      </c>
      <c r="O399" t="str">
        <f>"603559"</f>
        <v>603559</v>
      </c>
      <c r="P399" t="str">
        <f t="shared" si="133"/>
        <v>A400948245</v>
      </c>
    </row>
    <row r="400" spans="1:16" x14ac:dyDescent="0.25">
      <c r="A400" t="str">
        <f t="shared" si="129"/>
        <v>人民币</v>
      </c>
      <c r="B400" t="str">
        <f>"中通国脉"</f>
        <v>中通国脉</v>
      </c>
      <c r="C400" t="str">
        <f t="shared" si="132"/>
        <v>20190925</v>
      </c>
      <c r="D400" t="str">
        <f>"0.000"</f>
        <v>0.000</v>
      </c>
      <c r="E400" t="str">
        <f>"0.00"</f>
        <v>0.00</v>
      </c>
      <c r="F400" t="str">
        <f>"-0.22"</f>
        <v>-0.22</v>
      </c>
      <c r="G400" t="str">
        <f>"46893.38"</f>
        <v>46893.38</v>
      </c>
      <c r="H400" t="str">
        <f>"3300.00"</f>
        <v>3300.00</v>
      </c>
      <c r="I400" t="str">
        <f>"---"</f>
        <v>---</v>
      </c>
      <c r="J400" t="str">
        <f>"红利差异税扣税(中通国脉)"</f>
        <v>红利差异税扣税(中通国脉)</v>
      </c>
      <c r="K400" t="str">
        <f t="shared" si="134"/>
        <v>---</v>
      </c>
      <c r="L400" t="str">
        <f t="shared" si="134"/>
        <v>---</v>
      </c>
      <c r="M400" t="str">
        <f t="shared" si="134"/>
        <v>---</v>
      </c>
      <c r="N400" t="str">
        <f t="shared" si="134"/>
        <v>---</v>
      </c>
      <c r="O400" t="str">
        <f>"603559"</f>
        <v>603559</v>
      </c>
      <c r="P400" t="str">
        <f t="shared" si="133"/>
        <v>A400948245</v>
      </c>
    </row>
    <row r="401" spans="1:16" x14ac:dyDescent="0.25">
      <c r="A401" t="str">
        <f t="shared" si="129"/>
        <v>人民币</v>
      </c>
      <c r="B401" t="str">
        <f>"赛腾股份"</f>
        <v>赛腾股份</v>
      </c>
      <c r="C401" t="str">
        <f t="shared" ref="C401:C406" si="135">"20190926"</f>
        <v>20190926</v>
      </c>
      <c r="D401" t="str">
        <f>"25.890"</f>
        <v>25.890</v>
      </c>
      <c r="E401" t="str">
        <f>"-1200.00"</f>
        <v>-1200.00</v>
      </c>
      <c r="F401" t="str">
        <f>"31026.99"</f>
        <v>31026.99</v>
      </c>
      <c r="G401" t="str">
        <f>"32422.61"</f>
        <v>32422.61</v>
      </c>
      <c r="H401" t="str">
        <f>"900.00"</f>
        <v>900.00</v>
      </c>
      <c r="I401" t="str">
        <f>"311"</f>
        <v>311</v>
      </c>
      <c r="J401" t="str">
        <f>"证券卖出(赛腾股份)"</f>
        <v>证券卖出(赛腾股份)</v>
      </c>
      <c r="K401" t="str">
        <f>"9.32"</f>
        <v>9.32</v>
      </c>
      <c r="L401" t="str">
        <f>"31.07"</f>
        <v>31.07</v>
      </c>
      <c r="M401" t="str">
        <f>"0.62"</f>
        <v>0.62</v>
      </c>
      <c r="N401" t="str">
        <f t="shared" ref="N401:N408" si="136">"0.00"</f>
        <v>0.00</v>
      </c>
      <c r="O401" t="str">
        <f>"603283"</f>
        <v>603283</v>
      </c>
      <c r="P401" t="str">
        <f t="shared" si="133"/>
        <v>A400948245</v>
      </c>
    </row>
    <row r="402" spans="1:16" x14ac:dyDescent="0.25">
      <c r="A402" t="str">
        <f t="shared" si="129"/>
        <v>人民币</v>
      </c>
      <c r="B402" t="str">
        <f>"中通国脉"</f>
        <v>中通国脉</v>
      </c>
      <c r="C402" t="str">
        <f t="shared" si="135"/>
        <v>20190926</v>
      </c>
      <c r="D402" t="str">
        <f>"20.180"</f>
        <v>20.180</v>
      </c>
      <c r="E402" t="str">
        <f>"500.00"</f>
        <v>500.00</v>
      </c>
      <c r="F402" t="str">
        <f>"-10095.20"</f>
        <v>-10095.20</v>
      </c>
      <c r="G402" t="str">
        <f>"1395.62"</f>
        <v>1395.62</v>
      </c>
      <c r="H402" t="str">
        <f>"4100.00"</f>
        <v>4100.00</v>
      </c>
      <c r="I402" t="str">
        <f>"304"</f>
        <v>304</v>
      </c>
      <c r="J402" t="str">
        <f>"证券买入(中通国脉)"</f>
        <v>证券买入(中通国脉)</v>
      </c>
      <c r="K402" t="str">
        <f>"5.00"</f>
        <v>5.00</v>
      </c>
      <c r="L402" t="str">
        <f>"0.00"</f>
        <v>0.00</v>
      </c>
      <c r="M402" t="str">
        <f>"0.20"</f>
        <v>0.20</v>
      </c>
      <c r="N402" t="str">
        <f t="shared" si="136"/>
        <v>0.00</v>
      </c>
      <c r="O402" t="str">
        <f>"603559"</f>
        <v>603559</v>
      </c>
      <c r="P402" t="str">
        <f t="shared" si="133"/>
        <v>A400948245</v>
      </c>
    </row>
    <row r="403" spans="1:16" x14ac:dyDescent="0.25">
      <c r="A403" t="str">
        <f t="shared" si="129"/>
        <v>人民币</v>
      </c>
      <c r="B403" t="str">
        <f>"赛腾股份"</f>
        <v>赛腾股份</v>
      </c>
      <c r="C403" t="str">
        <f t="shared" si="135"/>
        <v>20190926</v>
      </c>
      <c r="D403" t="str">
        <f>"23.100"</f>
        <v>23.100</v>
      </c>
      <c r="E403" t="str">
        <f>"500.00"</f>
        <v>500.00</v>
      </c>
      <c r="F403" t="str">
        <f>"-11555.23"</f>
        <v>-11555.23</v>
      </c>
      <c r="G403" t="str">
        <f>"11490.82"</f>
        <v>11490.82</v>
      </c>
      <c r="H403" t="str">
        <f>"2100.00"</f>
        <v>2100.00</v>
      </c>
      <c r="I403" t="str">
        <f>"301"</f>
        <v>301</v>
      </c>
      <c r="J403" t="str">
        <f>"证券买入(赛腾股份)"</f>
        <v>证券买入(赛腾股份)</v>
      </c>
      <c r="K403" t="str">
        <f>"5.00"</f>
        <v>5.00</v>
      </c>
      <c r="L403" t="str">
        <f>"0.00"</f>
        <v>0.00</v>
      </c>
      <c r="M403" t="str">
        <f>"0.23"</f>
        <v>0.23</v>
      </c>
      <c r="N403" t="str">
        <f t="shared" si="136"/>
        <v>0.00</v>
      </c>
      <c r="O403" t="str">
        <f>"603283"</f>
        <v>603283</v>
      </c>
      <c r="P403" t="str">
        <f t="shared" si="133"/>
        <v>A400948245</v>
      </c>
    </row>
    <row r="404" spans="1:16" x14ac:dyDescent="0.25">
      <c r="A404" t="str">
        <f t="shared" si="129"/>
        <v>人民币</v>
      </c>
      <c r="B404" t="str">
        <f>"赛腾股份"</f>
        <v>赛腾股份</v>
      </c>
      <c r="C404" t="str">
        <f t="shared" si="135"/>
        <v>20190926</v>
      </c>
      <c r="D404" t="str">
        <f>"23.980"</f>
        <v>23.980</v>
      </c>
      <c r="E404" t="str">
        <f>"400.00"</f>
        <v>400.00</v>
      </c>
      <c r="F404" t="str">
        <f>"-9597.19"</f>
        <v>-9597.19</v>
      </c>
      <c r="G404" t="str">
        <f>"23046.05"</f>
        <v>23046.05</v>
      </c>
      <c r="H404" t="str">
        <f>"1600.00"</f>
        <v>1600.00</v>
      </c>
      <c r="I404" t="str">
        <f>"298"</f>
        <v>298</v>
      </c>
      <c r="J404" t="str">
        <f>"证券买入(赛腾股份)"</f>
        <v>证券买入(赛腾股份)</v>
      </c>
      <c r="K404" t="str">
        <f>"5.00"</f>
        <v>5.00</v>
      </c>
      <c r="L404" t="str">
        <f>"0.00"</f>
        <v>0.00</v>
      </c>
      <c r="M404" t="str">
        <f>"0.19"</f>
        <v>0.19</v>
      </c>
      <c r="N404" t="str">
        <f t="shared" si="136"/>
        <v>0.00</v>
      </c>
      <c r="O404" t="str">
        <f>"603283"</f>
        <v>603283</v>
      </c>
      <c r="P404" t="str">
        <f t="shared" si="133"/>
        <v>A400948245</v>
      </c>
    </row>
    <row r="405" spans="1:16" x14ac:dyDescent="0.25">
      <c r="A405" t="str">
        <f t="shared" si="129"/>
        <v>人民币</v>
      </c>
      <c r="B405" t="str">
        <f>"威派格"</f>
        <v>威派格</v>
      </c>
      <c r="C405" t="str">
        <f t="shared" si="135"/>
        <v>20190926</v>
      </c>
      <c r="D405" t="str">
        <f>"21.800"</f>
        <v>21.800</v>
      </c>
      <c r="E405" t="str">
        <f>"-500.00"</f>
        <v>-500.00</v>
      </c>
      <c r="F405" t="str">
        <f>"10883.88"</f>
        <v>10883.88</v>
      </c>
      <c r="G405" t="str">
        <f>"32643.24"</f>
        <v>32643.24</v>
      </c>
      <c r="H405" t="str">
        <f>"0.00"</f>
        <v>0.00</v>
      </c>
      <c r="I405" t="str">
        <f>"295"</f>
        <v>295</v>
      </c>
      <c r="J405" t="str">
        <f>"证券卖出(威派格)"</f>
        <v>证券卖出(威派格)</v>
      </c>
      <c r="K405" t="str">
        <f>"5.00"</f>
        <v>5.00</v>
      </c>
      <c r="L405" t="str">
        <f>"10.90"</f>
        <v>10.90</v>
      </c>
      <c r="M405" t="str">
        <f>"0.22"</f>
        <v>0.22</v>
      </c>
      <c r="N405" t="str">
        <f t="shared" si="136"/>
        <v>0.00</v>
      </c>
      <c r="O405" t="str">
        <f>"603956"</f>
        <v>603956</v>
      </c>
      <c r="P405" t="str">
        <f t="shared" si="133"/>
        <v>A400948245</v>
      </c>
    </row>
    <row r="406" spans="1:16" x14ac:dyDescent="0.25">
      <c r="A406" t="str">
        <f t="shared" si="129"/>
        <v>人民币</v>
      </c>
      <c r="B406" t="str">
        <f>"威派格"</f>
        <v>威派格</v>
      </c>
      <c r="C406" t="str">
        <f t="shared" si="135"/>
        <v>20190926</v>
      </c>
      <c r="D406" t="str">
        <f>"21.860"</f>
        <v>21.860</v>
      </c>
      <c r="E406" t="str">
        <f>"-500.00"</f>
        <v>-500.00</v>
      </c>
      <c r="F406" t="str">
        <f>"10913.85"</f>
        <v>10913.85</v>
      </c>
      <c r="G406" t="str">
        <f>"21759.36"</f>
        <v>21759.36</v>
      </c>
      <c r="H406" t="str">
        <f>"500.00"</f>
        <v>500.00</v>
      </c>
      <c r="I406" t="str">
        <f>"291"</f>
        <v>291</v>
      </c>
      <c r="J406" t="str">
        <f>"证券卖出(威派格)"</f>
        <v>证券卖出(威派格)</v>
      </c>
      <c r="K406" t="str">
        <f>"5.00"</f>
        <v>5.00</v>
      </c>
      <c r="L406" t="str">
        <f>"10.93"</f>
        <v>10.93</v>
      </c>
      <c r="M406" t="str">
        <f>"0.22"</f>
        <v>0.22</v>
      </c>
      <c r="N406" t="str">
        <f t="shared" si="136"/>
        <v>0.00</v>
      </c>
      <c r="O406" t="str">
        <f>"603956"</f>
        <v>603956</v>
      </c>
      <c r="P406" t="str">
        <f t="shared" si="133"/>
        <v>A400948245</v>
      </c>
    </row>
    <row r="407" spans="1:16" x14ac:dyDescent="0.25">
      <c r="A407" t="str">
        <f t="shared" si="129"/>
        <v>人民币</v>
      </c>
      <c r="B407" t="str">
        <f>"赛腾股份"</f>
        <v>赛腾股份</v>
      </c>
      <c r="C407" t="str">
        <f>"20190927"</f>
        <v>20190927</v>
      </c>
      <c r="D407" t="str">
        <f>"29.360"</f>
        <v>29.360</v>
      </c>
      <c r="E407" t="str">
        <f>"-900.00"</f>
        <v>-900.00</v>
      </c>
      <c r="F407" t="str">
        <f>"26389.12"</f>
        <v>26389.12</v>
      </c>
      <c r="G407" t="str">
        <f>"58811.73"</f>
        <v>58811.73</v>
      </c>
      <c r="H407" t="str">
        <f>"0.00"</f>
        <v>0.00</v>
      </c>
      <c r="I407" t="str">
        <f>"320"</f>
        <v>320</v>
      </c>
      <c r="J407" t="str">
        <f>"证券卖出(赛腾股份)"</f>
        <v>证券卖出(赛腾股份)</v>
      </c>
      <c r="K407" t="str">
        <f>"7.93"</f>
        <v>7.93</v>
      </c>
      <c r="L407" t="str">
        <f>"26.42"</f>
        <v>26.42</v>
      </c>
      <c r="M407" t="str">
        <f>"0.53"</f>
        <v>0.53</v>
      </c>
      <c r="N407" t="str">
        <f t="shared" si="136"/>
        <v>0.00</v>
      </c>
      <c r="O407" t="str">
        <f>"603283"</f>
        <v>603283</v>
      </c>
      <c r="P407" t="str">
        <f t="shared" si="133"/>
        <v>A400948245</v>
      </c>
    </row>
    <row r="408" spans="1:16" x14ac:dyDescent="0.25">
      <c r="A408" t="str">
        <f t="shared" si="129"/>
        <v>人民币</v>
      </c>
      <c r="B408" t="str">
        <f>"中通国脉"</f>
        <v>中通国脉</v>
      </c>
      <c r="C408" t="str">
        <f>"20190930"</f>
        <v>20190930</v>
      </c>
      <c r="D408" t="str">
        <f>"20.150"</f>
        <v>20.150</v>
      </c>
      <c r="E408" t="str">
        <f>"500.00"</f>
        <v>500.00</v>
      </c>
      <c r="F408" t="str">
        <f>"-10080.20"</f>
        <v>-10080.20</v>
      </c>
      <c r="G408" t="str">
        <f>"18731.53"</f>
        <v>18731.53</v>
      </c>
      <c r="H408" t="str">
        <f>"4600.00"</f>
        <v>4600.00</v>
      </c>
      <c r="I408" t="str">
        <f>"328"</f>
        <v>328</v>
      </c>
      <c r="J408" t="str">
        <f>"证券买入(中通国脉)"</f>
        <v>证券买入(中通国脉)</v>
      </c>
      <c r="K408" t="str">
        <f>"5.00"</f>
        <v>5.00</v>
      </c>
      <c r="L408" t="str">
        <f>"0.00"</f>
        <v>0.00</v>
      </c>
      <c r="M408" t="str">
        <f>"0.20"</f>
        <v>0.20</v>
      </c>
      <c r="N408" t="str">
        <f t="shared" si="136"/>
        <v>0.00</v>
      </c>
      <c r="O408" t="str">
        <f>"603559"</f>
        <v>603559</v>
      </c>
      <c r="P408" t="str">
        <f t="shared" si="133"/>
        <v>A400948245</v>
      </c>
    </row>
    <row r="409" spans="1:16" x14ac:dyDescent="0.25">
      <c r="A409" t="str">
        <f t="shared" si="129"/>
        <v>人民币</v>
      </c>
      <c r="B409" t="str">
        <f>""</f>
        <v/>
      </c>
      <c r="C409" t="str">
        <f>"20190930"</f>
        <v>20190930</v>
      </c>
      <c r="D409" t="str">
        <f>"---"</f>
        <v>---</v>
      </c>
      <c r="E409" t="str">
        <f>"---"</f>
        <v>---</v>
      </c>
      <c r="F409" t="str">
        <f>"-30000.00"</f>
        <v>-30000.00</v>
      </c>
      <c r="G409" t="str">
        <f>"28811.73"</f>
        <v>28811.73</v>
      </c>
      <c r="H409" t="str">
        <f>"---"</f>
        <v>---</v>
      </c>
      <c r="I409" t="str">
        <f>"---"</f>
        <v>---</v>
      </c>
      <c r="J409" t="str">
        <f>"银行转取"</f>
        <v>银行转取</v>
      </c>
      <c r="K409" t="str">
        <f t="shared" ref="K409:P409" si="137">"---"</f>
        <v>---</v>
      </c>
      <c r="L409" t="str">
        <f t="shared" si="137"/>
        <v>---</v>
      </c>
      <c r="M409" t="str">
        <f t="shared" si="137"/>
        <v>---</v>
      </c>
      <c r="N409" t="str">
        <f t="shared" si="137"/>
        <v>---</v>
      </c>
      <c r="O409" t="str">
        <f t="shared" si="137"/>
        <v>---</v>
      </c>
      <c r="P409" t="str">
        <f t="shared" si="137"/>
        <v>---</v>
      </c>
    </row>
    <row r="410" spans="1:16" x14ac:dyDescent="0.25">
      <c r="A410" t="str">
        <f t="shared" si="129"/>
        <v>人民币</v>
      </c>
      <c r="B410" t="str">
        <f>"佳禾智能"</f>
        <v>佳禾智能</v>
      </c>
      <c r="C410" t="str">
        <f>"20191008"</f>
        <v>20191008</v>
      </c>
      <c r="D410" t="str">
        <f>"0.000"</f>
        <v>0.000</v>
      </c>
      <c r="E410" t="str">
        <f>"20.00"</f>
        <v>20.00</v>
      </c>
      <c r="F410" t="str">
        <f>"0.00"</f>
        <v>0.00</v>
      </c>
      <c r="G410" t="str">
        <f>"17908.55"</f>
        <v>17908.55</v>
      </c>
      <c r="H410" t="str">
        <f>"0.00"</f>
        <v>0.00</v>
      </c>
      <c r="I410" t="str">
        <f>"335"</f>
        <v>335</v>
      </c>
      <c r="J410" t="str">
        <f>"申购配号(佳禾智能)"</f>
        <v>申购配号(佳禾智能)</v>
      </c>
      <c r="K410" t="str">
        <f>"0.00"</f>
        <v>0.00</v>
      </c>
      <c r="L410" t="str">
        <f>"0.00"</f>
        <v>0.00</v>
      </c>
      <c r="M410" t="str">
        <f>"0.00"</f>
        <v>0.00</v>
      </c>
      <c r="N410" t="str">
        <f>"0.00"</f>
        <v>0.00</v>
      </c>
      <c r="O410" t="str">
        <f>"300793"</f>
        <v>300793</v>
      </c>
      <c r="P410" t="str">
        <f>"0153613480"</f>
        <v>0153613480</v>
      </c>
    </row>
    <row r="411" spans="1:16" x14ac:dyDescent="0.25">
      <c r="A411" t="str">
        <f t="shared" si="129"/>
        <v>人民币</v>
      </c>
      <c r="B411" t="str">
        <f>"顺灏股份"</f>
        <v>顺灏股份</v>
      </c>
      <c r="C411" t="str">
        <f>"20191008"</f>
        <v>20191008</v>
      </c>
      <c r="D411" t="str">
        <f>"7.000"</f>
        <v>7.000</v>
      </c>
      <c r="E411" t="str">
        <f>"3000.00"</f>
        <v>3000.00</v>
      </c>
      <c r="F411" t="str">
        <f>"-21006.30"</f>
        <v>-21006.30</v>
      </c>
      <c r="G411" t="str">
        <f>"17908.55"</f>
        <v>17908.55</v>
      </c>
      <c r="H411" t="str">
        <f>"12000.00"</f>
        <v>12000.00</v>
      </c>
      <c r="I411" t="str">
        <f>"337"</f>
        <v>337</v>
      </c>
      <c r="J411" t="str">
        <f>"证券买入(顺灏股份)"</f>
        <v>证券买入(顺灏股份)</v>
      </c>
      <c r="K411" t="str">
        <f>"6.30"</f>
        <v>6.30</v>
      </c>
      <c r="L411" t="str">
        <f>"0.00"</f>
        <v>0.00</v>
      </c>
      <c r="M411" t="str">
        <f>"0.00"</f>
        <v>0.00</v>
      </c>
      <c r="N411" t="str">
        <f>"0.00"</f>
        <v>0.00</v>
      </c>
      <c r="O411" t="str">
        <f>"002565"</f>
        <v>002565</v>
      </c>
      <c r="P411" t="str">
        <f>"0153613480"</f>
        <v>0153613480</v>
      </c>
    </row>
    <row r="412" spans="1:16" x14ac:dyDescent="0.25">
      <c r="A412" t="str">
        <f t="shared" si="129"/>
        <v>人民币</v>
      </c>
      <c r="B412" t="str">
        <f>"中通国脉"</f>
        <v>中通国脉</v>
      </c>
      <c r="C412" t="str">
        <f>"20191008"</f>
        <v>20191008</v>
      </c>
      <c r="D412" t="str">
        <f>"20.210"</f>
        <v>20.210</v>
      </c>
      <c r="E412" t="str">
        <f>"-1000.00"</f>
        <v>-1000.00</v>
      </c>
      <c r="F412" t="str">
        <f>"20183.32"</f>
        <v>20183.32</v>
      </c>
      <c r="G412" t="str">
        <f>"38914.85"</f>
        <v>38914.85</v>
      </c>
      <c r="H412" t="str">
        <f>"3600.00"</f>
        <v>3600.00</v>
      </c>
      <c r="I412" t="str">
        <f>"332"</f>
        <v>332</v>
      </c>
      <c r="J412" t="str">
        <f>"证券卖出(中通国脉)"</f>
        <v>证券卖出(中通国脉)</v>
      </c>
      <c r="K412" t="str">
        <f>"6.07"</f>
        <v>6.07</v>
      </c>
      <c r="L412" t="str">
        <f>"20.21"</f>
        <v>20.21</v>
      </c>
      <c r="M412" t="str">
        <f>"0.40"</f>
        <v>0.40</v>
      </c>
      <c r="N412" t="str">
        <f>"0.00"</f>
        <v>0.00</v>
      </c>
      <c r="O412" t="str">
        <f>"603559"</f>
        <v>603559</v>
      </c>
      <c r="P412" t="str">
        <f>"A400948245"</f>
        <v>A400948245</v>
      </c>
    </row>
    <row r="413" spans="1:16" x14ac:dyDescent="0.25">
      <c r="A413" t="str">
        <f t="shared" si="129"/>
        <v>人民币</v>
      </c>
      <c r="B413" t="str">
        <f>"交建配号"</f>
        <v>交建配号</v>
      </c>
      <c r="C413" t="str">
        <f>"20191009"</f>
        <v>20191009</v>
      </c>
      <c r="D413" t="str">
        <f>"0.000"</f>
        <v>0.000</v>
      </c>
      <c r="E413" t="str">
        <f>"9.00"</f>
        <v>9.00</v>
      </c>
      <c r="F413" t="str">
        <f>"0.00"</f>
        <v>0.00</v>
      </c>
      <c r="G413" t="str">
        <f>"17906.57"</f>
        <v>17906.57</v>
      </c>
      <c r="H413" t="str">
        <f>"0.00"</f>
        <v>0.00</v>
      </c>
      <c r="I413" t="str">
        <f>"348"</f>
        <v>348</v>
      </c>
      <c r="J413" t="str">
        <f>"申购配号(交建配号)"</f>
        <v>申购配号(交建配号)</v>
      </c>
      <c r="K413" t="str">
        <f>"0.00"</f>
        <v>0.00</v>
      </c>
      <c r="L413" t="str">
        <f>"0.00"</f>
        <v>0.00</v>
      </c>
      <c r="M413" t="str">
        <f>"0.00"</f>
        <v>0.00</v>
      </c>
      <c r="N413" t="str">
        <f>"0.00"</f>
        <v>0.00</v>
      </c>
      <c r="O413" t="str">
        <f>"736815"</f>
        <v>736815</v>
      </c>
      <c r="P413" t="str">
        <f>"A400948245"</f>
        <v>A400948245</v>
      </c>
    </row>
    <row r="414" spans="1:16" x14ac:dyDescent="0.25">
      <c r="A414" t="str">
        <f t="shared" si="129"/>
        <v>人民币</v>
      </c>
      <c r="B414" t="str">
        <f>"中通国脉"</f>
        <v>中通国脉</v>
      </c>
      <c r="C414" t="str">
        <f>"20191009"</f>
        <v>20191009</v>
      </c>
      <c r="D414" t="str">
        <f>"0.000"</f>
        <v>0.000</v>
      </c>
      <c r="E414" t="str">
        <f>"0.00"</f>
        <v>0.00</v>
      </c>
      <c r="F414" t="str">
        <f>"-1.76"</f>
        <v>-1.76</v>
      </c>
      <c r="G414" t="str">
        <f>"17906.57"</f>
        <v>17906.57</v>
      </c>
      <c r="H414" t="str">
        <f>"3600.00"</f>
        <v>3600.00</v>
      </c>
      <c r="I414" t="str">
        <f>"---"</f>
        <v>---</v>
      </c>
      <c r="J414" t="str">
        <f>"红利差异税扣税(中通国脉)"</f>
        <v>红利差异税扣税(中通国脉)</v>
      </c>
      <c r="K414" t="str">
        <f t="shared" ref="K414:N415" si="138">"---"</f>
        <v>---</v>
      </c>
      <c r="L414" t="str">
        <f t="shared" si="138"/>
        <v>---</v>
      </c>
      <c r="M414" t="str">
        <f t="shared" si="138"/>
        <v>---</v>
      </c>
      <c r="N414" t="str">
        <f t="shared" si="138"/>
        <v>---</v>
      </c>
      <c r="O414" t="str">
        <f>"603559"</f>
        <v>603559</v>
      </c>
      <c r="P414" t="str">
        <f>"A400948245"</f>
        <v>A400948245</v>
      </c>
    </row>
    <row r="415" spans="1:16" x14ac:dyDescent="0.25">
      <c r="A415" t="str">
        <f t="shared" si="129"/>
        <v>人民币</v>
      </c>
      <c r="B415" t="str">
        <f>"中通国脉"</f>
        <v>中通国脉</v>
      </c>
      <c r="C415" t="str">
        <f>"20191009"</f>
        <v>20191009</v>
      </c>
      <c r="D415" t="str">
        <f>"0.000"</f>
        <v>0.000</v>
      </c>
      <c r="E415" t="str">
        <f>"0.00"</f>
        <v>0.00</v>
      </c>
      <c r="F415" t="str">
        <f>"-0.22"</f>
        <v>-0.22</v>
      </c>
      <c r="G415" t="str">
        <f>"17908.33"</f>
        <v>17908.33</v>
      </c>
      <c r="H415" t="str">
        <f>"3600.00"</f>
        <v>3600.00</v>
      </c>
      <c r="I415" t="str">
        <f>"---"</f>
        <v>---</v>
      </c>
      <c r="J415" t="str">
        <f>"红利差异税扣税(中通国脉)"</f>
        <v>红利差异税扣税(中通国脉)</v>
      </c>
      <c r="K415" t="str">
        <f t="shared" si="138"/>
        <v>---</v>
      </c>
      <c r="L415" t="str">
        <f t="shared" si="138"/>
        <v>---</v>
      </c>
      <c r="M415" t="str">
        <f t="shared" si="138"/>
        <v>---</v>
      </c>
      <c r="N415" t="str">
        <f t="shared" si="138"/>
        <v>---</v>
      </c>
      <c r="O415" t="str">
        <f>"603559"</f>
        <v>603559</v>
      </c>
      <c r="P415" t="str">
        <f>"A400948245"</f>
        <v>A400948245</v>
      </c>
    </row>
    <row r="416" spans="1:16" x14ac:dyDescent="0.25">
      <c r="A416" t="str">
        <f t="shared" si="129"/>
        <v>人民币</v>
      </c>
      <c r="B416" t="str">
        <f>"米奥兰特"</f>
        <v>米奥兰特</v>
      </c>
      <c r="C416" t="str">
        <f>"20191010"</f>
        <v>20191010</v>
      </c>
      <c r="D416" t="str">
        <f>"0.000"</f>
        <v>0.000</v>
      </c>
      <c r="E416" t="str">
        <f>"20.00"</f>
        <v>20.00</v>
      </c>
      <c r="F416" t="str">
        <f>"0.00"</f>
        <v>0.00</v>
      </c>
      <c r="G416" t="str">
        <f>"81.22"</f>
        <v>81.22</v>
      </c>
      <c r="H416" t="str">
        <f>"0.00"</f>
        <v>0.00</v>
      </c>
      <c r="I416" t="str">
        <f>"351"</f>
        <v>351</v>
      </c>
      <c r="J416" t="str">
        <f>"申购配号(米奥兰特)"</f>
        <v>申购配号(米奥兰特)</v>
      </c>
      <c r="K416" t="str">
        <f>"0.00"</f>
        <v>0.00</v>
      </c>
      <c r="L416" t="str">
        <f>"0.00"</f>
        <v>0.00</v>
      </c>
      <c r="M416" t="str">
        <f>"0.00"</f>
        <v>0.00</v>
      </c>
      <c r="N416" t="str">
        <f>"0.00"</f>
        <v>0.00</v>
      </c>
      <c r="O416" t="str">
        <f>"300795"</f>
        <v>300795</v>
      </c>
      <c r="P416" t="str">
        <f>"0153613480"</f>
        <v>0153613480</v>
      </c>
    </row>
    <row r="417" spans="1:16" x14ac:dyDescent="0.25">
      <c r="A417" t="str">
        <f t="shared" si="129"/>
        <v>人民币</v>
      </c>
      <c r="B417" t="str">
        <f>"中海达"</f>
        <v>中海达</v>
      </c>
      <c r="C417" t="str">
        <f>"20191010"</f>
        <v>20191010</v>
      </c>
      <c r="D417" t="str">
        <f>"8.910"</f>
        <v>8.910</v>
      </c>
      <c r="E417" t="str">
        <f>"2000.00"</f>
        <v>2000.00</v>
      </c>
      <c r="F417" t="str">
        <f>"-17825.35"</f>
        <v>-17825.35</v>
      </c>
      <c r="G417" t="str">
        <f>"81.22"</f>
        <v>81.22</v>
      </c>
      <c r="H417" t="str">
        <f>"9000.00"</f>
        <v>9000.00</v>
      </c>
      <c r="I417" t="str">
        <f>"353"</f>
        <v>353</v>
      </c>
      <c r="J417" t="str">
        <f>"证券买入(中海达)"</f>
        <v>证券买入(中海达)</v>
      </c>
      <c r="K417" t="str">
        <f>"5.35"</f>
        <v>5.35</v>
      </c>
      <c r="L417" t="str">
        <f>"0.00"</f>
        <v>0.00</v>
      </c>
      <c r="M417" t="str">
        <f>"0.00"</f>
        <v>0.00</v>
      </c>
      <c r="N417" t="str">
        <f>"0.00"</f>
        <v>0.00</v>
      </c>
      <c r="O417" t="str">
        <f>"300177"</f>
        <v>300177</v>
      </c>
      <c r="P417" t="str">
        <f>"0153613480"</f>
        <v>0153613480</v>
      </c>
    </row>
    <row r="418" spans="1:16" x14ac:dyDescent="0.25">
      <c r="A418" t="str">
        <f t="shared" si="129"/>
        <v>人民币</v>
      </c>
      <c r="B418" t="str">
        <f>"中海达"</f>
        <v>中海达</v>
      </c>
      <c r="C418" t="str">
        <f>"20191014"</f>
        <v>20191014</v>
      </c>
      <c r="D418" t="str">
        <f>"9.080"</f>
        <v>9.080</v>
      </c>
      <c r="E418" t="str">
        <f>"-2000.00"</f>
        <v>-2000.00</v>
      </c>
      <c r="F418" t="str">
        <f>"18136.39"</f>
        <v>18136.39</v>
      </c>
      <c r="G418" t="str">
        <f>"18602.30"</f>
        <v>18602.30</v>
      </c>
      <c r="H418" t="str">
        <f>"8500.00"</f>
        <v>8500.00</v>
      </c>
      <c r="I418" t="str">
        <f>"370"</f>
        <v>370</v>
      </c>
      <c r="J418" t="str">
        <f>"证券卖出(中海达)"</f>
        <v>证券卖出(中海达)</v>
      </c>
      <c r="K418" t="str">
        <f>"5.45"</f>
        <v>5.45</v>
      </c>
      <c r="L418" t="str">
        <f>"18.16"</f>
        <v>18.16</v>
      </c>
      <c r="M418" t="str">
        <f t="shared" ref="M418:N420" si="139">"0.00"</f>
        <v>0.00</v>
      </c>
      <c r="N418" t="str">
        <f t="shared" si="139"/>
        <v>0.00</v>
      </c>
      <c r="O418" t="str">
        <f>"300177"</f>
        <v>300177</v>
      </c>
      <c r="P418" t="str">
        <f>"0153613480"</f>
        <v>0153613480</v>
      </c>
    </row>
    <row r="419" spans="1:16" x14ac:dyDescent="0.25">
      <c r="A419" t="str">
        <f t="shared" si="129"/>
        <v>人民币</v>
      </c>
      <c r="B419" t="str">
        <f>"中海达"</f>
        <v>中海达</v>
      </c>
      <c r="C419" t="str">
        <f>"20191014"</f>
        <v>20191014</v>
      </c>
      <c r="D419" t="str">
        <f>"9.090"</f>
        <v>9.090</v>
      </c>
      <c r="E419" t="str">
        <f>"1500.00"</f>
        <v>1500.00</v>
      </c>
      <c r="F419" t="str">
        <f>"-13640.00"</f>
        <v>-13640.00</v>
      </c>
      <c r="G419" t="str">
        <f>"465.91"</f>
        <v>465.91</v>
      </c>
      <c r="H419" t="str">
        <f>"10500.00"</f>
        <v>10500.00</v>
      </c>
      <c r="I419" t="str">
        <f>"365"</f>
        <v>365</v>
      </c>
      <c r="J419" t="str">
        <f>"证券买入(中海达)"</f>
        <v>证券买入(中海达)</v>
      </c>
      <c r="K419" t="str">
        <f>"5.00"</f>
        <v>5.00</v>
      </c>
      <c r="L419" t="str">
        <f>"0.00"</f>
        <v>0.00</v>
      </c>
      <c r="M419" t="str">
        <f t="shared" si="139"/>
        <v>0.00</v>
      </c>
      <c r="N419" t="str">
        <f t="shared" si="139"/>
        <v>0.00</v>
      </c>
      <c r="O419" t="str">
        <f>"300177"</f>
        <v>300177</v>
      </c>
      <c r="P419" t="str">
        <f>"0153613480"</f>
        <v>0153613480</v>
      </c>
    </row>
    <row r="420" spans="1:16" x14ac:dyDescent="0.25">
      <c r="A420" t="str">
        <f t="shared" si="129"/>
        <v>人民币</v>
      </c>
      <c r="B420" t="str">
        <f>"渝农配号"</f>
        <v>渝农配号</v>
      </c>
      <c r="C420" t="str">
        <f>"20191014"</f>
        <v>20191014</v>
      </c>
      <c r="D420" t="str">
        <f>"0.000"</f>
        <v>0.000</v>
      </c>
      <c r="E420" t="str">
        <f>"9.00"</f>
        <v>9.00</v>
      </c>
      <c r="F420" t="str">
        <f>"0.00"</f>
        <v>0.00</v>
      </c>
      <c r="G420" t="str">
        <f>"14105.91"</f>
        <v>14105.91</v>
      </c>
      <c r="H420" t="str">
        <f>"0.00"</f>
        <v>0.00</v>
      </c>
      <c r="I420" t="str">
        <f>"368"</f>
        <v>368</v>
      </c>
      <c r="J420" t="str">
        <f>"申购配号(渝农配号)"</f>
        <v>申购配号(渝农配号)</v>
      </c>
      <c r="K420" t="str">
        <f>"0.00"</f>
        <v>0.00</v>
      </c>
      <c r="L420" t="str">
        <f>"0.00"</f>
        <v>0.00</v>
      </c>
      <c r="M420" t="str">
        <f t="shared" si="139"/>
        <v>0.00</v>
      </c>
      <c r="N420" t="str">
        <f t="shared" si="139"/>
        <v>0.00</v>
      </c>
      <c r="O420" t="str">
        <f>"791077"</f>
        <v>791077</v>
      </c>
      <c r="P420" t="str">
        <f>"A400948245"</f>
        <v>A400948245</v>
      </c>
    </row>
    <row r="421" spans="1:16" x14ac:dyDescent="0.25">
      <c r="A421" t="str">
        <f t="shared" si="129"/>
        <v>人民币</v>
      </c>
      <c r="B421" t="str">
        <f>"华菱精工"</f>
        <v>华菱精工</v>
      </c>
      <c r="C421" t="str">
        <f>"20191014"</f>
        <v>20191014</v>
      </c>
      <c r="D421" t="str">
        <f>"12.984"</f>
        <v>12.984</v>
      </c>
      <c r="E421" t="str">
        <f>"2000.00"</f>
        <v>2000.00</v>
      </c>
      <c r="F421" t="str">
        <f>"-25975.31"</f>
        <v>-25975.31</v>
      </c>
      <c r="G421" t="str">
        <f>"14105.91"</f>
        <v>14105.91</v>
      </c>
      <c r="H421" t="str">
        <f>"2000.00"</f>
        <v>2000.00</v>
      </c>
      <c r="I421" t="str">
        <f>"361"</f>
        <v>361</v>
      </c>
      <c r="J421" t="str">
        <f>"证券买入(华菱精工)"</f>
        <v>证券买入(华菱精工)</v>
      </c>
      <c r="K421" t="str">
        <f>"7.79"</f>
        <v>7.79</v>
      </c>
      <c r="L421" t="str">
        <f>"0.00"</f>
        <v>0.00</v>
      </c>
      <c r="M421" t="str">
        <f>"0.52"</f>
        <v>0.52</v>
      </c>
      <c r="N421" t="str">
        <f>"0.00"</f>
        <v>0.00</v>
      </c>
      <c r="O421" t="str">
        <f>"603356"</f>
        <v>603356</v>
      </c>
      <c r="P421" t="str">
        <f>"A400948245"</f>
        <v>A400948245</v>
      </c>
    </row>
    <row r="422" spans="1:16" x14ac:dyDescent="0.25">
      <c r="A422" t="str">
        <f t="shared" si="129"/>
        <v>人民币</v>
      </c>
      <c r="B422" t="str">
        <f>""</f>
        <v/>
      </c>
      <c r="C422" t="str">
        <f>"20191014"</f>
        <v>20191014</v>
      </c>
      <c r="D422" t="str">
        <f>"---"</f>
        <v>---</v>
      </c>
      <c r="E422" t="str">
        <f>"---"</f>
        <v>---</v>
      </c>
      <c r="F422" t="str">
        <f>"40000.00"</f>
        <v>40000.00</v>
      </c>
      <c r="G422" t="str">
        <f>"40081.22"</f>
        <v>40081.22</v>
      </c>
      <c r="H422" t="str">
        <f>"---"</f>
        <v>---</v>
      </c>
      <c r="I422" t="str">
        <f>"---"</f>
        <v>---</v>
      </c>
      <c r="J422" t="str">
        <f>"银行转存"</f>
        <v>银行转存</v>
      </c>
      <c r="K422" t="str">
        <f t="shared" ref="K422:P422" si="140">"---"</f>
        <v>---</v>
      </c>
      <c r="L422" t="str">
        <f t="shared" si="140"/>
        <v>---</v>
      </c>
      <c r="M422" t="str">
        <f t="shared" si="140"/>
        <v>---</v>
      </c>
      <c r="N422" t="str">
        <f t="shared" si="140"/>
        <v>---</v>
      </c>
      <c r="O422" t="str">
        <f t="shared" si="140"/>
        <v>---</v>
      </c>
      <c r="P422" t="str">
        <f t="shared" si="140"/>
        <v>---</v>
      </c>
    </row>
    <row r="423" spans="1:16" x14ac:dyDescent="0.25">
      <c r="A423" t="str">
        <f t="shared" si="129"/>
        <v>人民币</v>
      </c>
      <c r="B423" t="str">
        <f>"中通国脉"</f>
        <v>中通国脉</v>
      </c>
      <c r="C423" t="str">
        <f>"20191015"</f>
        <v>20191015</v>
      </c>
      <c r="D423" t="str">
        <f>"20.420"</f>
        <v>20.420</v>
      </c>
      <c r="E423" t="str">
        <f>"500.00"</f>
        <v>500.00</v>
      </c>
      <c r="F423" t="str">
        <f>"-10215.20"</f>
        <v>-10215.20</v>
      </c>
      <c r="G423" t="str">
        <f>"8387.10"</f>
        <v>8387.10</v>
      </c>
      <c r="H423" t="str">
        <f>"4100.00"</f>
        <v>4100.00</v>
      </c>
      <c r="I423" t="str">
        <f>"377"</f>
        <v>377</v>
      </c>
      <c r="J423" t="str">
        <f>"证券买入(中通国脉)"</f>
        <v>证券买入(中通国脉)</v>
      </c>
      <c r="K423" t="str">
        <f>"5.00"</f>
        <v>5.00</v>
      </c>
      <c r="L423" t="str">
        <f>"0.00"</f>
        <v>0.00</v>
      </c>
      <c r="M423" t="str">
        <f>"0.20"</f>
        <v>0.20</v>
      </c>
      <c r="N423" t="str">
        <f t="shared" ref="N423:N428" si="141">"0.00"</f>
        <v>0.00</v>
      </c>
      <c r="O423" t="str">
        <f>"603559"</f>
        <v>603559</v>
      </c>
      <c r="P423" t="str">
        <f>"A400948245"</f>
        <v>A400948245</v>
      </c>
    </row>
    <row r="424" spans="1:16" x14ac:dyDescent="0.25">
      <c r="A424" t="str">
        <f t="shared" si="129"/>
        <v>人民币</v>
      </c>
      <c r="B424" t="str">
        <f>"祥鑫科技"</f>
        <v>祥鑫科技</v>
      </c>
      <c r="C424" t="str">
        <f t="shared" ref="C424:C429" si="142">"20191016"</f>
        <v>20191016</v>
      </c>
      <c r="D424" t="str">
        <f>"0.000"</f>
        <v>0.000</v>
      </c>
      <c r="E424" t="str">
        <f>"23.00"</f>
        <v>23.00</v>
      </c>
      <c r="F424" t="str">
        <f>"0.00"</f>
        <v>0.00</v>
      </c>
      <c r="G424" t="str">
        <f>"1063.52"</f>
        <v>1063.52</v>
      </c>
      <c r="H424" t="str">
        <f>"0.00"</f>
        <v>0.00</v>
      </c>
      <c r="I424" t="str">
        <f>"382"</f>
        <v>382</v>
      </c>
      <c r="J424" t="str">
        <f>"申购配号(祥鑫科技)"</f>
        <v>申购配号(祥鑫科技)</v>
      </c>
      <c r="K424" t="str">
        <f>"0.00"</f>
        <v>0.00</v>
      </c>
      <c r="L424" t="str">
        <f>"0.00"</f>
        <v>0.00</v>
      </c>
      <c r="M424" t="str">
        <f>"0.00"</f>
        <v>0.00</v>
      </c>
      <c r="N424" t="str">
        <f t="shared" si="141"/>
        <v>0.00</v>
      </c>
      <c r="O424" t="str">
        <f>"002965"</f>
        <v>002965</v>
      </c>
      <c r="P424" t="str">
        <f>"0153613480"</f>
        <v>0153613480</v>
      </c>
    </row>
    <row r="425" spans="1:16" x14ac:dyDescent="0.25">
      <c r="A425" t="str">
        <f t="shared" si="129"/>
        <v>人民币</v>
      </c>
      <c r="B425" t="str">
        <f>"豪尔赛"</f>
        <v>豪尔赛</v>
      </c>
      <c r="C425" t="str">
        <f t="shared" si="142"/>
        <v>20191016</v>
      </c>
      <c r="D425" t="str">
        <f>"0.000"</f>
        <v>0.000</v>
      </c>
      <c r="E425" t="str">
        <f>"23.00"</f>
        <v>23.00</v>
      </c>
      <c r="F425" t="str">
        <f>"0.00"</f>
        <v>0.00</v>
      </c>
      <c r="G425" t="str">
        <f>"1063.52"</f>
        <v>1063.52</v>
      </c>
      <c r="H425" t="str">
        <f>"0.00"</f>
        <v>0.00</v>
      </c>
      <c r="I425" t="str">
        <f>"384"</f>
        <v>384</v>
      </c>
      <c r="J425" t="str">
        <f>"申购配号(豪尔赛)"</f>
        <v>申购配号(豪尔赛)</v>
      </c>
      <c r="K425" t="str">
        <f>"0.00"</f>
        <v>0.00</v>
      </c>
      <c r="L425" t="str">
        <f>"0.00"</f>
        <v>0.00</v>
      </c>
      <c r="M425" t="str">
        <f>"0.00"</f>
        <v>0.00</v>
      </c>
      <c r="N425" t="str">
        <f t="shared" si="141"/>
        <v>0.00</v>
      </c>
      <c r="O425" t="str">
        <f>"002963"</f>
        <v>002963</v>
      </c>
      <c r="P425" t="str">
        <f>"0153613480"</f>
        <v>0153613480</v>
      </c>
    </row>
    <row r="426" spans="1:16" x14ac:dyDescent="0.25">
      <c r="A426" t="str">
        <f t="shared" si="129"/>
        <v>人民币</v>
      </c>
      <c r="B426" t="str">
        <f>"顺灏股份"</f>
        <v>顺灏股份</v>
      </c>
      <c r="C426" t="str">
        <f t="shared" si="142"/>
        <v>20191016</v>
      </c>
      <c r="D426" t="str">
        <f>"7.730"</f>
        <v>7.730</v>
      </c>
      <c r="E426" t="str">
        <f>"1500.00"</f>
        <v>1500.00</v>
      </c>
      <c r="F426" t="str">
        <f>"-11600.00"</f>
        <v>-11600.00</v>
      </c>
      <c r="G426" t="str">
        <f>"1063.52"</f>
        <v>1063.52</v>
      </c>
      <c r="H426" t="str">
        <f>"13500.00"</f>
        <v>13500.00</v>
      </c>
      <c r="I426" t="str">
        <f>"386"</f>
        <v>386</v>
      </c>
      <c r="J426" t="str">
        <f>"证券买入(顺灏股份)"</f>
        <v>证券买入(顺灏股份)</v>
      </c>
      <c r="K426" t="str">
        <f>"5.00"</f>
        <v>5.00</v>
      </c>
      <c r="L426" t="str">
        <f>"0.00"</f>
        <v>0.00</v>
      </c>
      <c r="M426" t="str">
        <f>"0.00"</f>
        <v>0.00</v>
      </c>
      <c r="N426" t="str">
        <f t="shared" si="141"/>
        <v>0.00</v>
      </c>
      <c r="O426" t="str">
        <f>"002565"</f>
        <v>002565</v>
      </c>
      <c r="P426" t="str">
        <f>"0153613480"</f>
        <v>0153613480</v>
      </c>
    </row>
    <row r="427" spans="1:16" x14ac:dyDescent="0.25">
      <c r="A427" t="str">
        <f t="shared" si="129"/>
        <v>人民币</v>
      </c>
      <c r="B427" t="str">
        <f>"华菱精工"</f>
        <v>华菱精工</v>
      </c>
      <c r="C427" t="str">
        <f t="shared" si="142"/>
        <v>20191016</v>
      </c>
      <c r="D427" t="str">
        <f>"12.910"</f>
        <v>12.910</v>
      </c>
      <c r="E427" t="str">
        <f>"2000.00"</f>
        <v>2000.00</v>
      </c>
      <c r="F427" t="str">
        <f>"-25828.27"</f>
        <v>-25828.27</v>
      </c>
      <c r="G427" t="str">
        <f>"12663.52"</f>
        <v>12663.52</v>
      </c>
      <c r="H427" t="str">
        <f>"4000.00"</f>
        <v>4000.00</v>
      </c>
      <c r="I427" t="str">
        <f>"394"</f>
        <v>394</v>
      </c>
      <c r="J427" t="str">
        <f>"证券买入(华菱精工)"</f>
        <v>证券买入(华菱精工)</v>
      </c>
      <c r="K427" t="str">
        <f>"7.75"</f>
        <v>7.75</v>
      </c>
      <c r="L427" t="str">
        <f>"0.00"</f>
        <v>0.00</v>
      </c>
      <c r="M427" t="str">
        <f>"0.52"</f>
        <v>0.52</v>
      </c>
      <c r="N427" t="str">
        <f t="shared" si="141"/>
        <v>0.00</v>
      </c>
      <c r="O427" t="str">
        <f>"603356"</f>
        <v>603356</v>
      </c>
      <c r="P427" t="str">
        <f>"A400948245"</f>
        <v>A400948245</v>
      </c>
    </row>
    <row r="428" spans="1:16" x14ac:dyDescent="0.25">
      <c r="A428" t="str">
        <f t="shared" si="129"/>
        <v>人民币</v>
      </c>
      <c r="B428" t="str">
        <f>"中通国脉"</f>
        <v>中通国脉</v>
      </c>
      <c r="C428" t="str">
        <f t="shared" si="142"/>
        <v>20191016</v>
      </c>
      <c r="D428" t="str">
        <f>"20.240"</f>
        <v>20.240</v>
      </c>
      <c r="E428" t="str">
        <f>"-500.00"</f>
        <v>-500.00</v>
      </c>
      <c r="F428" t="str">
        <f>"10104.69"</f>
        <v>10104.69</v>
      </c>
      <c r="G428" t="str">
        <f>"38491.79"</f>
        <v>38491.79</v>
      </c>
      <c r="H428" t="str">
        <f>"3600.00"</f>
        <v>3600.00</v>
      </c>
      <c r="I428" t="str">
        <f>"389"</f>
        <v>389</v>
      </c>
      <c r="J428" t="str">
        <f>"证券卖出(中通国脉)"</f>
        <v>证券卖出(中通国脉)</v>
      </c>
      <c r="K428" t="str">
        <f>"5.00"</f>
        <v>5.00</v>
      </c>
      <c r="L428" t="str">
        <f>"10.11"</f>
        <v>10.11</v>
      </c>
      <c r="M428" t="str">
        <f>"0.20"</f>
        <v>0.20</v>
      </c>
      <c r="N428" t="str">
        <f t="shared" si="141"/>
        <v>0.00</v>
      </c>
      <c r="O428" t="str">
        <f>"603559"</f>
        <v>603559</v>
      </c>
      <c r="P428" t="str">
        <f>"A400948245"</f>
        <v>A400948245</v>
      </c>
    </row>
    <row r="429" spans="1:16" x14ac:dyDescent="0.25">
      <c r="A429" t="str">
        <f t="shared" si="129"/>
        <v>人民币</v>
      </c>
      <c r="B429" t="str">
        <f>""</f>
        <v/>
      </c>
      <c r="C429" t="str">
        <f t="shared" si="142"/>
        <v>20191016</v>
      </c>
      <c r="D429" t="str">
        <f>"---"</f>
        <v>---</v>
      </c>
      <c r="E429" t="str">
        <f>"---"</f>
        <v>---</v>
      </c>
      <c r="F429" t="str">
        <f>"20000.00"</f>
        <v>20000.00</v>
      </c>
      <c r="G429" t="str">
        <f>"28387.10"</f>
        <v>28387.10</v>
      </c>
      <c r="H429" t="str">
        <f>"---"</f>
        <v>---</v>
      </c>
      <c r="I429" t="str">
        <f>"---"</f>
        <v>---</v>
      </c>
      <c r="J429" t="str">
        <f>"银行转存"</f>
        <v>银行转存</v>
      </c>
      <c r="K429" t="str">
        <f t="shared" ref="K429:P429" si="143">"---"</f>
        <v>---</v>
      </c>
      <c r="L429" t="str">
        <f t="shared" si="143"/>
        <v>---</v>
      </c>
      <c r="M429" t="str">
        <f t="shared" si="143"/>
        <v>---</v>
      </c>
      <c r="N429" t="str">
        <f t="shared" si="143"/>
        <v>---</v>
      </c>
      <c r="O429" t="str">
        <f t="shared" si="143"/>
        <v>---</v>
      </c>
      <c r="P429" t="str">
        <f t="shared" si="143"/>
        <v>---</v>
      </c>
    </row>
    <row r="430" spans="1:16" x14ac:dyDescent="0.25">
      <c r="A430" t="str">
        <f t="shared" si="129"/>
        <v>人民币</v>
      </c>
      <c r="B430" t="str">
        <f>"左江科技"</f>
        <v>左江科技</v>
      </c>
      <c r="C430" t="str">
        <f>"20191017"</f>
        <v>20191017</v>
      </c>
      <c r="D430" t="str">
        <f>"0.000"</f>
        <v>0.000</v>
      </c>
      <c r="E430" t="str">
        <f>"24.00"</f>
        <v>24.00</v>
      </c>
      <c r="F430" t="str">
        <f>"0.00"</f>
        <v>0.00</v>
      </c>
      <c r="G430" t="str">
        <f>"9928.52"</f>
        <v>9928.52</v>
      </c>
      <c r="H430" t="str">
        <f>"0.00"</f>
        <v>0.00</v>
      </c>
      <c r="I430" t="str">
        <f>"408"</f>
        <v>408</v>
      </c>
      <c r="J430" t="str">
        <f>"申购配号(左江科技)"</f>
        <v>申购配号(左江科技)</v>
      </c>
      <c r="K430" t="str">
        <f>"0.00"</f>
        <v>0.00</v>
      </c>
      <c r="L430" t="str">
        <f>"0.00"</f>
        <v>0.00</v>
      </c>
      <c r="M430" t="str">
        <f>"0.00"</f>
        <v>0.00</v>
      </c>
      <c r="N430" t="str">
        <f>"0.00"</f>
        <v>0.00</v>
      </c>
      <c r="O430" t="str">
        <f>"300799"</f>
        <v>300799</v>
      </c>
      <c r="P430" t="str">
        <f>"0153613480"</f>
        <v>0153613480</v>
      </c>
    </row>
    <row r="431" spans="1:16" x14ac:dyDescent="0.25">
      <c r="A431" t="str">
        <f t="shared" si="129"/>
        <v>人民币</v>
      </c>
      <c r="B431" t="str">
        <f>"顺灏股份"</f>
        <v>顺灏股份</v>
      </c>
      <c r="C431" t="str">
        <f>"20191017"</f>
        <v>20191017</v>
      </c>
      <c r="D431" t="str">
        <f>"7.420"</f>
        <v>7.420</v>
      </c>
      <c r="E431" t="str">
        <f>"1500.00"</f>
        <v>1500.00</v>
      </c>
      <c r="F431" t="str">
        <f>"-11135.00"</f>
        <v>-11135.00</v>
      </c>
      <c r="G431" t="str">
        <f>"9928.52"</f>
        <v>9928.52</v>
      </c>
      <c r="H431" t="str">
        <f>"15000.00"</f>
        <v>15000.00</v>
      </c>
      <c r="I431" t="str">
        <f>"413"</f>
        <v>413</v>
      </c>
      <c r="J431" t="str">
        <f>"证券买入(顺灏股份)"</f>
        <v>证券买入(顺灏股份)</v>
      </c>
      <c r="K431" t="str">
        <f>"5.00"</f>
        <v>5.00</v>
      </c>
      <c r="L431" t="str">
        <f t="shared" ref="L431:N432" si="144">"0.00"</f>
        <v>0.00</v>
      </c>
      <c r="M431" t="str">
        <f t="shared" si="144"/>
        <v>0.00</v>
      </c>
      <c r="N431" t="str">
        <f t="shared" si="144"/>
        <v>0.00</v>
      </c>
      <c r="O431" t="str">
        <f>"002565"</f>
        <v>002565</v>
      </c>
      <c r="P431" t="str">
        <f>"0153613480"</f>
        <v>0153613480</v>
      </c>
    </row>
    <row r="432" spans="1:16" x14ac:dyDescent="0.25">
      <c r="A432" t="str">
        <f t="shared" si="129"/>
        <v>人民币</v>
      </c>
      <c r="B432" t="str">
        <f>"麒盛配号"</f>
        <v>麒盛配号</v>
      </c>
      <c r="C432" t="str">
        <f>"20191017"</f>
        <v>20191017</v>
      </c>
      <c r="D432" t="str">
        <f>"0.000"</f>
        <v>0.000</v>
      </c>
      <c r="E432" t="str">
        <f>"9.00"</f>
        <v>9.00</v>
      </c>
      <c r="F432" t="str">
        <f>"0.00"</f>
        <v>0.00</v>
      </c>
      <c r="G432" t="str">
        <f>"21063.52"</f>
        <v>21063.52</v>
      </c>
      <c r="H432" t="str">
        <f>"0.00"</f>
        <v>0.00</v>
      </c>
      <c r="I432" t="str">
        <f>"410"</f>
        <v>410</v>
      </c>
      <c r="J432" t="str">
        <f>"申购配号(麒盛配号)"</f>
        <v>申购配号(麒盛配号)</v>
      </c>
      <c r="K432" t="str">
        <f>"0.00"</f>
        <v>0.00</v>
      </c>
      <c r="L432" t="str">
        <f t="shared" si="144"/>
        <v>0.00</v>
      </c>
      <c r="M432" t="str">
        <f t="shared" si="144"/>
        <v>0.00</v>
      </c>
      <c r="N432" t="str">
        <f t="shared" si="144"/>
        <v>0.00</v>
      </c>
      <c r="O432" t="str">
        <f>"736610"</f>
        <v>736610</v>
      </c>
      <c r="P432" t="str">
        <f>"A400948245"</f>
        <v>A400948245</v>
      </c>
    </row>
    <row r="433" spans="1:16" x14ac:dyDescent="0.25">
      <c r="A433" t="str">
        <f t="shared" si="129"/>
        <v>人民币</v>
      </c>
      <c r="B433" t="str">
        <f>""</f>
        <v/>
      </c>
      <c r="C433" t="str">
        <f>"20191017"</f>
        <v>20191017</v>
      </c>
      <c r="D433" t="str">
        <f>"---"</f>
        <v>---</v>
      </c>
      <c r="E433" t="str">
        <f>"---"</f>
        <v>---</v>
      </c>
      <c r="F433" t="str">
        <f>"20000.00"</f>
        <v>20000.00</v>
      </c>
      <c r="G433" t="str">
        <f>"21063.52"</f>
        <v>21063.52</v>
      </c>
      <c r="H433" t="str">
        <f>"---"</f>
        <v>---</v>
      </c>
      <c r="I433" t="str">
        <f>"---"</f>
        <v>---</v>
      </c>
      <c r="J433" t="str">
        <f>"银行转存"</f>
        <v>银行转存</v>
      </c>
      <c r="K433" t="str">
        <f t="shared" ref="K433:P433" si="145">"---"</f>
        <v>---</v>
      </c>
      <c r="L433" t="str">
        <f t="shared" si="145"/>
        <v>---</v>
      </c>
      <c r="M433" t="str">
        <f t="shared" si="145"/>
        <v>---</v>
      </c>
      <c r="N433" t="str">
        <f t="shared" si="145"/>
        <v>---</v>
      </c>
      <c r="O433" t="str">
        <f t="shared" si="145"/>
        <v>---</v>
      </c>
      <c r="P433" t="str">
        <f t="shared" si="145"/>
        <v>---</v>
      </c>
    </row>
    <row r="434" spans="1:16" x14ac:dyDescent="0.25">
      <c r="A434" t="str">
        <f t="shared" si="129"/>
        <v>人民币</v>
      </c>
      <c r="B434" t="str">
        <f>"中海达"</f>
        <v>中海达</v>
      </c>
      <c r="C434" t="str">
        <f>"20191021"</f>
        <v>20191021</v>
      </c>
      <c r="D434" t="str">
        <f>"8.400"</f>
        <v>8.400</v>
      </c>
      <c r="E434" t="str">
        <f>"-1100.00"</f>
        <v>-1100.00</v>
      </c>
      <c r="F434" t="str">
        <f>"9225.76"</f>
        <v>9225.76</v>
      </c>
      <c r="G434" t="str">
        <f>"9997.28"</f>
        <v>9997.28</v>
      </c>
      <c r="H434" t="str">
        <f>"8500.00"</f>
        <v>8500.00</v>
      </c>
      <c r="I434" t="str">
        <f>"425"</f>
        <v>425</v>
      </c>
      <c r="J434" t="str">
        <f>"证券卖出(中海达)"</f>
        <v>证券卖出(中海达)</v>
      </c>
      <c r="K434" t="str">
        <f>"5.00"</f>
        <v>5.00</v>
      </c>
      <c r="L434" t="str">
        <f>"9.24"</f>
        <v>9.24</v>
      </c>
      <c r="M434" t="str">
        <f t="shared" ref="M434:N449" si="146">"0.00"</f>
        <v>0.00</v>
      </c>
      <c r="N434" t="str">
        <f t="shared" si="146"/>
        <v>0.00</v>
      </c>
      <c r="O434" t="str">
        <f>"300177"</f>
        <v>300177</v>
      </c>
      <c r="P434" t="str">
        <f>"0153613480"</f>
        <v>0153613480</v>
      </c>
    </row>
    <row r="435" spans="1:16" x14ac:dyDescent="0.25">
      <c r="A435" t="str">
        <f t="shared" si="129"/>
        <v>人民币</v>
      </c>
      <c r="B435" t="str">
        <f>"中海达"</f>
        <v>中海达</v>
      </c>
      <c r="C435" t="str">
        <f>"20191021"</f>
        <v>20191021</v>
      </c>
      <c r="D435" t="str">
        <f>"8.320"</f>
        <v>8.320</v>
      </c>
      <c r="E435" t="str">
        <f>"1100.00"</f>
        <v>1100.00</v>
      </c>
      <c r="F435" t="str">
        <f>"-9157.00"</f>
        <v>-9157.00</v>
      </c>
      <c r="G435" t="str">
        <f>"771.52"</f>
        <v>771.52</v>
      </c>
      <c r="H435" t="str">
        <f>"9600.00"</f>
        <v>9600.00</v>
      </c>
      <c r="I435" t="str">
        <f>"422"</f>
        <v>422</v>
      </c>
      <c r="J435" t="str">
        <f>"证券买入(中海达)"</f>
        <v>证券买入(中海达)</v>
      </c>
      <c r="K435" t="str">
        <f>"5.00"</f>
        <v>5.00</v>
      </c>
      <c r="L435" t="str">
        <f>"0.00"</f>
        <v>0.00</v>
      </c>
      <c r="M435" t="str">
        <f t="shared" si="146"/>
        <v>0.00</v>
      </c>
      <c r="N435" t="str">
        <f t="shared" si="146"/>
        <v>0.00</v>
      </c>
      <c r="O435" t="str">
        <f>"300177"</f>
        <v>300177</v>
      </c>
      <c r="P435" t="str">
        <f>"0153613480"</f>
        <v>0153613480</v>
      </c>
    </row>
    <row r="436" spans="1:16" x14ac:dyDescent="0.25">
      <c r="A436" t="str">
        <f t="shared" si="129"/>
        <v>人民币</v>
      </c>
      <c r="B436" t="str">
        <f>"钢研纳克"</f>
        <v>钢研纳克</v>
      </c>
      <c r="C436" t="str">
        <f>"20191022"</f>
        <v>20191022</v>
      </c>
      <c r="D436" t="str">
        <f>"0.000"</f>
        <v>0.000</v>
      </c>
      <c r="E436" t="str">
        <f>"27.00"</f>
        <v>27.00</v>
      </c>
      <c r="F436" t="str">
        <f>"0.00"</f>
        <v>0.00</v>
      </c>
      <c r="G436" t="str">
        <f>"88352.16"</f>
        <v>88352.16</v>
      </c>
      <c r="H436" t="str">
        <f>"0.00"</f>
        <v>0.00</v>
      </c>
      <c r="I436" t="str">
        <f>"1"</f>
        <v>1</v>
      </c>
      <c r="J436" t="str">
        <f>"申购配号(钢研纳克)"</f>
        <v>申购配号(钢研纳克)</v>
      </c>
      <c r="K436" t="str">
        <f>"0.00"</f>
        <v>0.00</v>
      </c>
      <c r="L436" t="str">
        <f>"0.00"</f>
        <v>0.00</v>
      </c>
      <c r="M436" t="str">
        <f t="shared" si="146"/>
        <v>0.00</v>
      </c>
      <c r="N436" t="str">
        <f t="shared" si="146"/>
        <v>0.00</v>
      </c>
      <c r="O436" t="str">
        <f>"300797"</f>
        <v>300797</v>
      </c>
      <c r="P436" t="str">
        <f>"0153613480"</f>
        <v>0153613480</v>
      </c>
    </row>
    <row r="437" spans="1:16" x14ac:dyDescent="0.25">
      <c r="A437" t="str">
        <f t="shared" si="129"/>
        <v>人民币</v>
      </c>
      <c r="B437" t="str">
        <f>"中海达"</f>
        <v>中海达</v>
      </c>
      <c r="C437" t="str">
        <f>"20191022"</f>
        <v>20191022</v>
      </c>
      <c r="D437" t="str">
        <f>"8.400"</f>
        <v>8.400</v>
      </c>
      <c r="E437" t="str">
        <f>"1100.00"</f>
        <v>1100.00</v>
      </c>
      <c r="F437" t="str">
        <f>"-9245.00"</f>
        <v>-9245.00</v>
      </c>
      <c r="G437" t="str">
        <f>"88352.16"</f>
        <v>88352.16</v>
      </c>
      <c r="H437" t="str">
        <f>"9600.00"</f>
        <v>9600.00</v>
      </c>
      <c r="I437" t="str">
        <f>"9"</f>
        <v>9</v>
      </c>
      <c r="J437" t="str">
        <f>"证券买入(中海达)"</f>
        <v>证券买入(中海达)</v>
      </c>
      <c r="K437" t="str">
        <f>"5.00"</f>
        <v>5.00</v>
      </c>
      <c r="L437" t="str">
        <f>"0.00"</f>
        <v>0.00</v>
      </c>
      <c r="M437" t="str">
        <f t="shared" si="146"/>
        <v>0.00</v>
      </c>
      <c r="N437" t="str">
        <f t="shared" si="146"/>
        <v>0.00</v>
      </c>
      <c r="O437" t="str">
        <f>"300177"</f>
        <v>300177</v>
      </c>
      <c r="P437" t="str">
        <f>"0153613480"</f>
        <v>0153613480</v>
      </c>
    </row>
    <row r="438" spans="1:16" x14ac:dyDescent="0.25">
      <c r="A438" t="str">
        <f t="shared" si="129"/>
        <v>人民币</v>
      </c>
      <c r="B438" t="str">
        <f>"顺灏股份"</f>
        <v>顺灏股份</v>
      </c>
      <c r="C438" t="str">
        <f>"20191022"</f>
        <v>20191022</v>
      </c>
      <c r="D438" t="str">
        <f>"7.550"</f>
        <v>7.550</v>
      </c>
      <c r="E438" t="str">
        <f>"-4500.00"</f>
        <v>-4500.00</v>
      </c>
      <c r="F438" t="str">
        <f>"33930.82"</f>
        <v>33930.82</v>
      </c>
      <c r="G438" t="str">
        <f>"97597.16"</f>
        <v>97597.16</v>
      </c>
      <c r="H438" t="str">
        <f>"10500.00"</f>
        <v>10500.00</v>
      </c>
      <c r="I438" t="str">
        <f>"12"</f>
        <v>12</v>
      </c>
      <c r="J438" t="str">
        <f>"证券卖出(顺灏股份)"</f>
        <v>证券卖出(顺灏股份)</v>
      </c>
      <c r="K438" t="str">
        <f>"10.20"</f>
        <v>10.20</v>
      </c>
      <c r="L438" t="str">
        <f>"33.98"</f>
        <v>33.98</v>
      </c>
      <c r="M438" t="str">
        <f t="shared" si="146"/>
        <v>0.00</v>
      </c>
      <c r="N438" t="str">
        <f t="shared" si="146"/>
        <v>0.00</v>
      </c>
      <c r="O438" t="str">
        <f>"002565"</f>
        <v>002565</v>
      </c>
      <c r="P438" t="str">
        <f>"0153613480"</f>
        <v>0153613480</v>
      </c>
    </row>
    <row r="439" spans="1:16" x14ac:dyDescent="0.25">
      <c r="A439" t="str">
        <f t="shared" si="129"/>
        <v>人民币</v>
      </c>
      <c r="B439" t="str">
        <f>"华菱精工"</f>
        <v>华菱精工</v>
      </c>
      <c r="C439" t="str">
        <f>"20191022"</f>
        <v>20191022</v>
      </c>
      <c r="D439" t="str">
        <f>"13.440"</f>
        <v>13.440</v>
      </c>
      <c r="E439" t="str">
        <f>"-2000.00"</f>
        <v>-2000.00</v>
      </c>
      <c r="F439" t="str">
        <f>"26844.52"</f>
        <v>26844.52</v>
      </c>
      <c r="G439" t="str">
        <f>"63666.34"</f>
        <v>63666.34</v>
      </c>
      <c r="H439" t="str">
        <f>"0.00"</f>
        <v>0.00</v>
      </c>
      <c r="I439" t="str">
        <f>"19"</f>
        <v>19</v>
      </c>
      <c r="J439" t="str">
        <f>"证券卖出(华菱精工)"</f>
        <v>证券卖出(华菱精工)</v>
      </c>
      <c r="K439" t="str">
        <f>"8.07"</f>
        <v>8.07</v>
      </c>
      <c r="L439" t="str">
        <f>"26.87"</f>
        <v>26.87</v>
      </c>
      <c r="M439" t="str">
        <f>"0.54"</f>
        <v>0.54</v>
      </c>
      <c r="N439" t="str">
        <f t="shared" si="146"/>
        <v>0.00</v>
      </c>
      <c r="O439" t="str">
        <f>"603356"</f>
        <v>603356</v>
      </c>
      <c r="P439" t="str">
        <f>"A400948245"</f>
        <v>A400948245</v>
      </c>
    </row>
    <row r="440" spans="1:16" x14ac:dyDescent="0.25">
      <c r="A440" t="str">
        <f t="shared" si="129"/>
        <v>人民币</v>
      </c>
      <c r="B440" t="str">
        <f>"华菱精工"</f>
        <v>华菱精工</v>
      </c>
      <c r="C440" t="str">
        <f>"20191022"</f>
        <v>20191022</v>
      </c>
      <c r="D440" t="str">
        <f>"13.430"</f>
        <v>13.430</v>
      </c>
      <c r="E440" t="str">
        <f>"-2000.00"</f>
        <v>-2000.00</v>
      </c>
      <c r="F440" t="str">
        <f>"26824.54"</f>
        <v>26824.54</v>
      </c>
      <c r="G440" t="str">
        <f>"36821.82"</f>
        <v>36821.82</v>
      </c>
      <c r="H440" t="str">
        <f>"2000.00"</f>
        <v>2000.00</v>
      </c>
      <c r="I440" t="str">
        <f>"16"</f>
        <v>16</v>
      </c>
      <c r="J440" t="str">
        <f>"证券卖出(华菱精工)"</f>
        <v>证券卖出(华菱精工)</v>
      </c>
      <c r="K440" t="str">
        <f>"8.06"</f>
        <v>8.06</v>
      </c>
      <c r="L440" t="str">
        <f>"26.86"</f>
        <v>26.86</v>
      </c>
      <c r="M440" t="str">
        <f>"0.54"</f>
        <v>0.54</v>
      </c>
      <c r="N440" t="str">
        <f t="shared" si="146"/>
        <v>0.00</v>
      </c>
      <c r="O440" t="str">
        <f>"603356"</f>
        <v>603356</v>
      </c>
      <c r="P440" t="str">
        <f>"A400948245"</f>
        <v>A400948245</v>
      </c>
    </row>
    <row r="441" spans="1:16" x14ac:dyDescent="0.25">
      <c r="A441" t="str">
        <f t="shared" si="129"/>
        <v>人民币</v>
      </c>
      <c r="B441" t="str">
        <f>"中海达"</f>
        <v>中海达</v>
      </c>
      <c r="C441" t="str">
        <f>"20191023"</f>
        <v>20191023</v>
      </c>
      <c r="D441" t="str">
        <f>"8.400"</f>
        <v>8.400</v>
      </c>
      <c r="E441" t="str">
        <f>"1400.00"</f>
        <v>1400.00</v>
      </c>
      <c r="F441" t="str">
        <f>"-11765.00"</f>
        <v>-11765.00</v>
      </c>
      <c r="G441" t="str">
        <f>"65819.03"</f>
        <v>65819.03</v>
      </c>
      <c r="H441" t="str">
        <f>"11000.00"</f>
        <v>11000.00</v>
      </c>
      <c r="I441" t="str">
        <f>"43"</f>
        <v>43</v>
      </c>
      <c r="J441" t="str">
        <f>"证券买入(中海达)"</f>
        <v>证券买入(中海达)</v>
      </c>
      <c r="K441" t="str">
        <f>"5.00"</f>
        <v>5.00</v>
      </c>
      <c r="L441" t="str">
        <f>"0.00"</f>
        <v>0.00</v>
      </c>
      <c r="M441" t="str">
        <f>"0.00"</f>
        <v>0.00</v>
      </c>
      <c r="N441" t="str">
        <f t="shared" si="146"/>
        <v>0.00</v>
      </c>
      <c r="O441" t="str">
        <f>"300177"</f>
        <v>300177</v>
      </c>
      <c r="P441" t="str">
        <f t="shared" ref="P441:P447" si="147">"0153613480"</f>
        <v>0153613480</v>
      </c>
    </row>
    <row r="442" spans="1:16" x14ac:dyDescent="0.25">
      <c r="A442" t="str">
        <f t="shared" ref="A442:A491" si="148">"人民币"</f>
        <v>人民币</v>
      </c>
      <c r="B442" t="str">
        <f>"顺灏股份"</f>
        <v>顺灏股份</v>
      </c>
      <c r="C442" t="str">
        <f>"20191023"</f>
        <v>20191023</v>
      </c>
      <c r="D442" t="str">
        <f>"7.680"</f>
        <v>7.680</v>
      </c>
      <c r="E442" t="str">
        <f>"3000.00"</f>
        <v>3000.00</v>
      </c>
      <c r="F442" t="str">
        <f>"-23046.91"</f>
        <v>-23046.91</v>
      </c>
      <c r="G442" t="str">
        <f>"77584.03"</f>
        <v>77584.03</v>
      </c>
      <c r="H442" t="str">
        <f>"12000.00"</f>
        <v>12000.00</v>
      </c>
      <c r="I442" t="str">
        <f>"38"</f>
        <v>38</v>
      </c>
      <c r="J442" t="str">
        <f>"证券买入(顺灏股份)"</f>
        <v>证券买入(顺灏股份)</v>
      </c>
      <c r="K442" t="str">
        <f>"6.91"</f>
        <v>6.91</v>
      </c>
      <c r="L442" t="str">
        <f>"0.00"</f>
        <v>0.00</v>
      </c>
      <c r="M442" t="str">
        <f>"0.00"</f>
        <v>0.00</v>
      </c>
      <c r="N442" t="str">
        <f t="shared" si="146"/>
        <v>0.00</v>
      </c>
      <c r="O442" t="str">
        <f>"002565"</f>
        <v>002565</v>
      </c>
      <c r="P442" t="str">
        <f t="shared" si="147"/>
        <v>0153613480</v>
      </c>
    </row>
    <row r="443" spans="1:16" x14ac:dyDescent="0.25">
      <c r="A443" t="str">
        <f t="shared" si="148"/>
        <v>人民币</v>
      </c>
      <c r="B443" t="str">
        <f>"顺灏股份"</f>
        <v>顺灏股份</v>
      </c>
      <c r="C443" t="str">
        <f>"20191023"</f>
        <v>20191023</v>
      </c>
      <c r="D443" t="str">
        <f>"7.800"</f>
        <v>7.800</v>
      </c>
      <c r="E443" t="str">
        <f>"-4000.00"</f>
        <v>-4000.00</v>
      </c>
      <c r="F443" t="str">
        <f>"31159.44"</f>
        <v>31159.44</v>
      </c>
      <c r="G443" t="str">
        <f>"100630.94"</f>
        <v>100630.94</v>
      </c>
      <c r="H443" t="str">
        <f>"9000.00"</f>
        <v>9000.00</v>
      </c>
      <c r="I443" t="str">
        <f>"35"</f>
        <v>35</v>
      </c>
      <c r="J443" t="str">
        <f>"证券卖出(顺灏股份)"</f>
        <v>证券卖出(顺灏股份)</v>
      </c>
      <c r="K443" t="str">
        <f>"9.36"</f>
        <v>9.36</v>
      </c>
      <c r="L443" t="str">
        <f>"31.20"</f>
        <v>31.20</v>
      </c>
      <c r="M443" t="str">
        <f>"0.00"</f>
        <v>0.00</v>
      </c>
      <c r="N443" t="str">
        <f t="shared" si="146"/>
        <v>0.00</v>
      </c>
      <c r="O443" t="str">
        <f>"002565"</f>
        <v>002565</v>
      </c>
      <c r="P443" t="str">
        <f t="shared" si="147"/>
        <v>0153613480</v>
      </c>
    </row>
    <row r="444" spans="1:16" x14ac:dyDescent="0.25">
      <c r="A444" t="str">
        <f t="shared" si="148"/>
        <v>人民币</v>
      </c>
      <c r="B444" t="str">
        <f>"顺灏股份"</f>
        <v>顺灏股份</v>
      </c>
      <c r="C444" t="str">
        <f>"20191023"</f>
        <v>20191023</v>
      </c>
      <c r="D444" t="str">
        <f>"7.550"</f>
        <v>7.550</v>
      </c>
      <c r="E444" t="str">
        <f>"2500.00"</f>
        <v>2500.00</v>
      </c>
      <c r="F444" t="str">
        <f>"-18880.66"</f>
        <v>-18880.66</v>
      </c>
      <c r="G444" t="str">
        <f>"69471.50"</f>
        <v>69471.50</v>
      </c>
      <c r="H444" t="str">
        <f>"13000.00"</f>
        <v>13000.00</v>
      </c>
      <c r="I444" t="str">
        <f>"29"</f>
        <v>29</v>
      </c>
      <c r="J444" t="str">
        <f>"证券买入(顺灏股份)"</f>
        <v>证券买入(顺灏股份)</v>
      </c>
      <c r="K444" t="str">
        <f>"5.66"</f>
        <v>5.66</v>
      </c>
      <c r="L444" t="str">
        <f>"0.00"</f>
        <v>0.00</v>
      </c>
      <c r="M444" t="str">
        <f>"0.00"</f>
        <v>0.00</v>
      </c>
      <c r="N444" t="str">
        <f t="shared" si="146"/>
        <v>0.00</v>
      </c>
      <c r="O444" t="str">
        <f>"002565"</f>
        <v>002565</v>
      </c>
      <c r="P444" t="str">
        <f t="shared" si="147"/>
        <v>0153613480</v>
      </c>
    </row>
    <row r="445" spans="1:16" x14ac:dyDescent="0.25">
      <c r="A445" t="str">
        <f t="shared" si="148"/>
        <v>人民币</v>
      </c>
      <c r="B445" t="str">
        <f>"力合科技"</f>
        <v>力合科技</v>
      </c>
      <c r="C445" t="str">
        <f>"20191024"</f>
        <v>20191024</v>
      </c>
      <c r="D445" t="str">
        <f>"0.000"</f>
        <v>0.000</v>
      </c>
      <c r="E445" t="str">
        <f>"29.00"</f>
        <v>29.00</v>
      </c>
      <c r="F445" t="str">
        <f>"0.00"</f>
        <v>0.00</v>
      </c>
      <c r="G445" t="str">
        <f>"28487.56"</f>
        <v>28487.56</v>
      </c>
      <c r="H445" t="str">
        <f>"0.00"</f>
        <v>0.00</v>
      </c>
      <c r="I445" t="str">
        <f>"60"</f>
        <v>60</v>
      </c>
      <c r="J445" t="str">
        <f>"申购配号(力合科技)"</f>
        <v>申购配号(力合科技)</v>
      </c>
      <c r="K445" t="str">
        <f>"0.00"</f>
        <v>0.00</v>
      </c>
      <c r="L445" t="str">
        <f>"0.00"</f>
        <v>0.00</v>
      </c>
      <c r="M445" t="str">
        <f>"0.00"</f>
        <v>0.00</v>
      </c>
      <c r="N445" t="str">
        <f t="shared" si="146"/>
        <v>0.00</v>
      </c>
      <c r="O445" t="str">
        <f>"300800"</f>
        <v>300800</v>
      </c>
      <c r="P445" t="str">
        <f t="shared" si="147"/>
        <v>0153613480</v>
      </c>
    </row>
    <row r="446" spans="1:16" x14ac:dyDescent="0.25">
      <c r="A446" t="str">
        <f t="shared" si="148"/>
        <v>人民币</v>
      </c>
      <c r="B446" t="str">
        <f>"顺灏股份"</f>
        <v>顺灏股份</v>
      </c>
      <c r="C446" t="str">
        <f>"20191024"</f>
        <v>20191024</v>
      </c>
      <c r="D446" t="str">
        <f>"7.380"</f>
        <v>7.380</v>
      </c>
      <c r="E446" t="str">
        <f>"3000.00"</f>
        <v>3000.00</v>
      </c>
      <c r="F446" t="str">
        <f>"-22146.64"</f>
        <v>-22146.64</v>
      </c>
      <c r="G446" t="str">
        <f>"28487.56"</f>
        <v>28487.56</v>
      </c>
      <c r="H446" t="str">
        <f>"17000.00"</f>
        <v>17000.00</v>
      </c>
      <c r="I446" t="str">
        <f>"62"</f>
        <v>62</v>
      </c>
      <c r="J446" t="str">
        <f>"证券买入(顺灏股份)"</f>
        <v>证券买入(顺灏股份)</v>
      </c>
      <c r="K446" t="str">
        <f>"6.64"</f>
        <v>6.64</v>
      </c>
      <c r="L446" t="str">
        <f>"0.00"</f>
        <v>0.00</v>
      </c>
      <c r="M446" t="str">
        <f>"0.00"</f>
        <v>0.00</v>
      </c>
      <c r="N446" t="str">
        <f t="shared" si="146"/>
        <v>0.00</v>
      </c>
      <c r="O446" t="str">
        <f>"002565"</f>
        <v>002565</v>
      </c>
      <c r="P446" t="str">
        <f t="shared" si="147"/>
        <v>0153613480</v>
      </c>
    </row>
    <row r="447" spans="1:16" x14ac:dyDescent="0.25">
      <c r="A447" t="str">
        <f t="shared" si="148"/>
        <v>人民币</v>
      </c>
      <c r="B447" t="str">
        <f>"顺灏股份"</f>
        <v>顺灏股份</v>
      </c>
      <c r="C447" t="str">
        <f>"20191024"</f>
        <v>20191024</v>
      </c>
      <c r="D447" t="str">
        <f>"7.530"</f>
        <v>7.530</v>
      </c>
      <c r="E447" t="str">
        <f>"2000.00"</f>
        <v>2000.00</v>
      </c>
      <c r="F447" t="str">
        <f>"-15065.00"</f>
        <v>-15065.00</v>
      </c>
      <c r="G447" t="str">
        <f>"50634.20"</f>
        <v>50634.20</v>
      </c>
      <c r="H447" t="str">
        <f>"14000.00"</f>
        <v>14000.00</v>
      </c>
      <c r="I447" t="str">
        <f>"54"</f>
        <v>54</v>
      </c>
      <c r="J447" t="str">
        <f>"证券买入(顺灏股份)"</f>
        <v>证券买入(顺灏股份)</v>
      </c>
      <c r="K447" t="str">
        <f>"5.00"</f>
        <v>5.00</v>
      </c>
      <c r="L447" t="str">
        <f>"0.00"</f>
        <v>0.00</v>
      </c>
      <c r="M447" t="str">
        <f>"0.00"</f>
        <v>0.00</v>
      </c>
      <c r="N447" t="str">
        <f t="shared" si="146"/>
        <v>0.00</v>
      </c>
      <c r="O447" t="str">
        <f>"002565"</f>
        <v>002565</v>
      </c>
      <c r="P447" t="str">
        <f t="shared" si="147"/>
        <v>0153613480</v>
      </c>
    </row>
    <row r="448" spans="1:16" x14ac:dyDescent="0.25">
      <c r="A448" t="str">
        <f t="shared" si="148"/>
        <v>人民币</v>
      </c>
      <c r="B448" t="str">
        <f>"中通国脉"</f>
        <v>中通国脉</v>
      </c>
      <c r="C448" t="str">
        <f>"20191024"</f>
        <v>20191024</v>
      </c>
      <c r="D448" t="str">
        <f>"18.900"</f>
        <v>18.900</v>
      </c>
      <c r="E448" t="str">
        <f>"-500.00"</f>
        <v>-500.00</v>
      </c>
      <c r="F448" t="str">
        <f>"9435.36"</f>
        <v>9435.36</v>
      </c>
      <c r="G448" t="str">
        <f>"65699.20"</f>
        <v>65699.20</v>
      </c>
      <c r="H448" t="str">
        <f>"3600.00"</f>
        <v>3600.00</v>
      </c>
      <c r="I448" t="str">
        <f>"67"</f>
        <v>67</v>
      </c>
      <c r="J448" t="str">
        <f>"证券卖出(中通国脉)"</f>
        <v>证券卖出(中通国脉)</v>
      </c>
      <c r="K448" t="str">
        <f>"5.00"</f>
        <v>5.00</v>
      </c>
      <c r="L448" t="str">
        <f>"9.45"</f>
        <v>9.45</v>
      </c>
      <c r="M448" t="str">
        <f>"0.19"</f>
        <v>0.19</v>
      </c>
      <c r="N448" t="str">
        <f t="shared" si="146"/>
        <v>0.00</v>
      </c>
      <c r="O448" t="str">
        <f>"603559"</f>
        <v>603559</v>
      </c>
      <c r="P448" t="str">
        <f>"A400948245"</f>
        <v>A400948245</v>
      </c>
    </row>
    <row r="449" spans="1:16" x14ac:dyDescent="0.25">
      <c r="A449" t="str">
        <f t="shared" si="148"/>
        <v>人民币</v>
      </c>
      <c r="B449" t="str">
        <f>"中通国脉"</f>
        <v>中通国脉</v>
      </c>
      <c r="C449" t="str">
        <f>"20191024"</f>
        <v>20191024</v>
      </c>
      <c r="D449" t="str">
        <f>"19.100"</f>
        <v>19.100</v>
      </c>
      <c r="E449" t="str">
        <f>"500.00"</f>
        <v>500.00</v>
      </c>
      <c r="F449" t="str">
        <f>"-9555.19"</f>
        <v>-9555.19</v>
      </c>
      <c r="G449" t="str">
        <f>"56263.84"</f>
        <v>56263.84</v>
      </c>
      <c r="H449" t="str">
        <f>"4100.00"</f>
        <v>4100.00</v>
      </c>
      <c r="I449" t="str">
        <f>"50"</f>
        <v>50</v>
      </c>
      <c r="J449" t="str">
        <f>"证券买入(中通国脉)"</f>
        <v>证券买入(中通国脉)</v>
      </c>
      <c r="K449" t="str">
        <f>"5.00"</f>
        <v>5.00</v>
      </c>
      <c r="L449" t="str">
        <f>"0.00"</f>
        <v>0.00</v>
      </c>
      <c r="M449" t="str">
        <f>"0.19"</f>
        <v>0.19</v>
      </c>
      <c r="N449" t="str">
        <f t="shared" si="146"/>
        <v>0.00</v>
      </c>
      <c r="O449" t="str">
        <f>"603559"</f>
        <v>603559</v>
      </c>
      <c r="P449" t="str">
        <f>"A400948245"</f>
        <v>A400948245</v>
      </c>
    </row>
    <row r="450" spans="1:16" x14ac:dyDescent="0.25">
      <c r="A450" t="str">
        <f t="shared" si="148"/>
        <v>人民币</v>
      </c>
      <c r="B450" t="str">
        <f>"顺灏股份"</f>
        <v>顺灏股份</v>
      </c>
      <c r="C450" t="str">
        <f>"20191025"</f>
        <v>20191025</v>
      </c>
      <c r="D450" t="str">
        <f>"7.600"</f>
        <v>7.600</v>
      </c>
      <c r="E450" t="str">
        <f>"-2000.00"</f>
        <v>-2000.00</v>
      </c>
      <c r="F450" t="str">
        <f>"15179.80"</f>
        <v>15179.80</v>
      </c>
      <c r="G450" t="str">
        <f>"19102.36"</f>
        <v>19102.36</v>
      </c>
      <c r="H450" t="str">
        <f>"17000.00"</f>
        <v>17000.00</v>
      </c>
      <c r="I450" t="str">
        <f>"81"</f>
        <v>81</v>
      </c>
      <c r="J450" t="str">
        <f>"证券卖出(顺灏股份)"</f>
        <v>证券卖出(顺灏股份)</v>
      </c>
      <c r="K450" t="str">
        <f>"5.00"</f>
        <v>5.00</v>
      </c>
      <c r="L450" t="str">
        <f>"15.20"</f>
        <v>15.20</v>
      </c>
      <c r="M450" t="str">
        <f>"0.00"</f>
        <v>0.00</v>
      </c>
      <c r="N450" t="str">
        <f t="shared" ref="N450:N451" si="149">"0.00"</f>
        <v>0.00</v>
      </c>
      <c r="O450" t="str">
        <f>"002565"</f>
        <v>002565</v>
      </c>
      <c r="P450" t="str">
        <f>"0153613480"</f>
        <v>0153613480</v>
      </c>
    </row>
    <row r="451" spans="1:16" x14ac:dyDescent="0.25">
      <c r="A451" t="str">
        <f t="shared" si="148"/>
        <v>人民币</v>
      </c>
      <c r="B451" t="str">
        <f>"顺灏股份"</f>
        <v>顺灏股份</v>
      </c>
      <c r="C451" t="str">
        <f>"20191025"</f>
        <v>20191025</v>
      </c>
      <c r="D451" t="str">
        <f>"7.280"</f>
        <v>7.280</v>
      </c>
      <c r="E451" t="str">
        <f>"2000.00"</f>
        <v>2000.00</v>
      </c>
      <c r="F451" t="str">
        <f>"-14565.00"</f>
        <v>-14565.00</v>
      </c>
      <c r="G451" t="str">
        <f>"3922.56"</f>
        <v>3922.56</v>
      </c>
      <c r="H451" t="str">
        <f>"19000.00"</f>
        <v>19000.00</v>
      </c>
      <c r="I451" t="str">
        <f>"75"</f>
        <v>75</v>
      </c>
      <c r="J451" t="str">
        <f>"证券买入(顺灏股份)"</f>
        <v>证券买入(顺灏股份)</v>
      </c>
      <c r="K451" t="str">
        <f>"5.00"</f>
        <v>5.00</v>
      </c>
      <c r="L451" t="str">
        <f>"0.00"</f>
        <v>0.00</v>
      </c>
      <c r="M451" t="str">
        <f>"0.00"</f>
        <v>0.00</v>
      </c>
      <c r="N451" t="str">
        <f t="shared" si="149"/>
        <v>0.00</v>
      </c>
      <c r="O451" t="str">
        <f>"002565"</f>
        <v>002565</v>
      </c>
      <c r="P451" t="str">
        <f>"0153613480"</f>
        <v>0153613480</v>
      </c>
    </row>
    <row r="452" spans="1:16" x14ac:dyDescent="0.25">
      <c r="A452" t="str">
        <f t="shared" si="148"/>
        <v>人民币</v>
      </c>
      <c r="B452" t="str">
        <f>""</f>
        <v/>
      </c>
      <c r="C452" t="str">
        <f>"20191025"</f>
        <v>20191025</v>
      </c>
      <c r="D452" t="str">
        <f>"---"</f>
        <v>---</v>
      </c>
      <c r="E452" t="str">
        <f>"---"</f>
        <v>---</v>
      </c>
      <c r="F452" t="str">
        <f>"-10000.00"</f>
        <v>-10000.00</v>
      </c>
      <c r="G452" t="str">
        <f>"18487.56"</f>
        <v>18487.56</v>
      </c>
      <c r="H452" t="str">
        <f>"---"</f>
        <v>---</v>
      </c>
      <c r="I452" t="str">
        <f>"---"</f>
        <v>---</v>
      </c>
      <c r="J452" t="str">
        <f>"银行转取"</f>
        <v>银行转取</v>
      </c>
      <c r="K452" t="str">
        <f t="shared" ref="K452:P452" si="150">"---"</f>
        <v>---</v>
      </c>
      <c r="L452" t="str">
        <f t="shared" si="150"/>
        <v>---</v>
      </c>
      <c r="M452" t="str">
        <f t="shared" si="150"/>
        <v>---</v>
      </c>
      <c r="N452" t="str">
        <f t="shared" si="150"/>
        <v>---</v>
      </c>
      <c r="O452" t="str">
        <f t="shared" si="150"/>
        <v>---</v>
      </c>
      <c r="P452" t="str">
        <f t="shared" si="150"/>
        <v>---</v>
      </c>
    </row>
    <row r="453" spans="1:16" x14ac:dyDescent="0.25">
      <c r="A453" t="str">
        <f t="shared" si="148"/>
        <v>人民币</v>
      </c>
      <c r="B453" t="str">
        <f>"中海达"</f>
        <v>中海达</v>
      </c>
      <c r="C453" t="str">
        <f>"20191028"</f>
        <v>20191028</v>
      </c>
      <c r="D453" t="str">
        <f>"8.580"</f>
        <v>8.580</v>
      </c>
      <c r="E453" t="str">
        <f>"-2500.00"</f>
        <v>-2500.00</v>
      </c>
      <c r="F453" t="str">
        <f>"21422.11"</f>
        <v>21422.11</v>
      </c>
      <c r="G453" t="str">
        <f>"63624.40"</f>
        <v>63624.40</v>
      </c>
      <c r="H453" t="str">
        <f>"8500.00"</f>
        <v>8500.00</v>
      </c>
      <c r="I453" t="str">
        <f>"93"</f>
        <v>93</v>
      </c>
      <c r="J453" t="str">
        <f>"证券卖出(中海达)"</f>
        <v>证券卖出(中海达)</v>
      </c>
      <c r="K453" t="str">
        <f>"6.44"</f>
        <v>6.44</v>
      </c>
      <c r="L453" t="str">
        <f>"21.45"</f>
        <v>21.45</v>
      </c>
      <c r="M453" t="str">
        <f t="shared" ref="M453:N468" si="151">"0.00"</f>
        <v>0.00</v>
      </c>
      <c r="N453" t="str">
        <f t="shared" si="151"/>
        <v>0.00</v>
      </c>
      <c r="O453" t="str">
        <f>"300177"</f>
        <v>300177</v>
      </c>
      <c r="P453" t="str">
        <f>"0153613480"</f>
        <v>0153613480</v>
      </c>
    </row>
    <row r="454" spans="1:16" x14ac:dyDescent="0.25">
      <c r="A454" t="str">
        <f t="shared" si="148"/>
        <v>人民币</v>
      </c>
      <c r="B454" t="str">
        <f>"顺灏股份"</f>
        <v>顺灏股份</v>
      </c>
      <c r="C454" t="str">
        <f>"20191028"</f>
        <v>20191028</v>
      </c>
      <c r="D454" t="str">
        <f>"7.710"</f>
        <v>7.710</v>
      </c>
      <c r="E454" t="str">
        <f>"-3000.00"</f>
        <v>-3000.00</v>
      </c>
      <c r="F454" t="str">
        <f>"23099.93"</f>
        <v>23099.93</v>
      </c>
      <c r="G454" t="str">
        <f>"42202.29"</f>
        <v>42202.29</v>
      </c>
      <c r="H454" t="str">
        <f>"14000.00"</f>
        <v>14000.00</v>
      </c>
      <c r="I454" t="str">
        <f>"86"</f>
        <v>86</v>
      </c>
      <c r="J454" t="str">
        <f>"证券卖出(顺灏股份)"</f>
        <v>证券卖出(顺灏股份)</v>
      </c>
      <c r="K454" t="str">
        <f>"6.94"</f>
        <v>6.94</v>
      </c>
      <c r="L454" t="str">
        <f>"23.13"</f>
        <v>23.13</v>
      </c>
      <c r="M454" t="str">
        <f t="shared" si="151"/>
        <v>0.00</v>
      </c>
      <c r="N454" t="str">
        <f t="shared" si="151"/>
        <v>0.00</v>
      </c>
      <c r="O454" t="str">
        <f>"002565"</f>
        <v>002565</v>
      </c>
      <c r="P454" t="str">
        <f>"0153613480"</f>
        <v>0153613480</v>
      </c>
    </row>
    <row r="455" spans="1:16" x14ac:dyDescent="0.25">
      <c r="A455" t="str">
        <f t="shared" si="148"/>
        <v>人民币</v>
      </c>
      <c r="B455" t="str">
        <f>"中海达"</f>
        <v>中海达</v>
      </c>
      <c r="C455" t="str">
        <f>"20191029"</f>
        <v>20191029</v>
      </c>
      <c r="D455" t="str">
        <f>"8.570"</f>
        <v>8.570</v>
      </c>
      <c r="E455" t="str">
        <f>"2000.00"</f>
        <v>2000.00</v>
      </c>
      <c r="F455" t="str">
        <f>"-17145.14"</f>
        <v>-17145.14</v>
      </c>
      <c r="G455" t="str">
        <f>"22570.78"</f>
        <v>22570.78</v>
      </c>
      <c r="H455" t="str">
        <f>"10500.00"</f>
        <v>10500.00</v>
      </c>
      <c r="I455" t="str">
        <f>"104"</f>
        <v>104</v>
      </c>
      <c r="J455" t="str">
        <f>"证券买入(中海达)"</f>
        <v>证券买入(中海达)</v>
      </c>
      <c r="K455" t="str">
        <f>"5.14"</f>
        <v>5.14</v>
      </c>
      <c r="L455" t="str">
        <f t="shared" ref="L455:M463" si="152">"0.00"</f>
        <v>0.00</v>
      </c>
      <c r="M455" t="str">
        <f t="shared" si="151"/>
        <v>0.00</v>
      </c>
      <c r="N455" t="str">
        <f t="shared" si="151"/>
        <v>0.00</v>
      </c>
      <c r="O455" t="str">
        <f>"300177"</f>
        <v>300177</v>
      </c>
      <c r="P455" t="str">
        <f>"0153613480"</f>
        <v>0153613480</v>
      </c>
    </row>
    <row r="456" spans="1:16" x14ac:dyDescent="0.25">
      <c r="A456" t="str">
        <f t="shared" si="148"/>
        <v>人民币</v>
      </c>
      <c r="B456" t="str">
        <f>"中通国脉"</f>
        <v>中通国脉</v>
      </c>
      <c r="C456" t="str">
        <f>"20191029"</f>
        <v>20191029</v>
      </c>
      <c r="D456" t="str">
        <f>"19.990"</f>
        <v>19.990</v>
      </c>
      <c r="E456" t="str">
        <f>"600.00"</f>
        <v>600.00</v>
      </c>
      <c r="F456" t="str">
        <f>"-11999.24"</f>
        <v>-11999.24</v>
      </c>
      <c r="G456" t="str">
        <f>"39715.92"</f>
        <v>39715.92</v>
      </c>
      <c r="H456" t="str">
        <f>"4800.00"</f>
        <v>4800.00</v>
      </c>
      <c r="I456" t="str">
        <f>"115"</f>
        <v>115</v>
      </c>
      <c r="J456" t="str">
        <f>"证券买入(中通国脉)"</f>
        <v>证券买入(中通国脉)</v>
      </c>
      <c r="K456" t="str">
        <f>"5.00"</f>
        <v>5.00</v>
      </c>
      <c r="L456" t="str">
        <f t="shared" si="152"/>
        <v>0.00</v>
      </c>
      <c r="M456" t="str">
        <f>"0.24"</f>
        <v>0.24</v>
      </c>
      <c r="N456" t="str">
        <f t="shared" si="151"/>
        <v>0.00</v>
      </c>
      <c r="O456" t="str">
        <f>"603559"</f>
        <v>603559</v>
      </c>
      <c r="P456" t="str">
        <f>"A400948245"</f>
        <v>A400948245</v>
      </c>
    </row>
    <row r="457" spans="1:16" x14ac:dyDescent="0.25">
      <c r="A457" t="str">
        <f t="shared" si="148"/>
        <v>人民币</v>
      </c>
      <c r="B457" t="str">
        <f>"中通国脉"</f>
        <v>中通国脉</v>
      </c>
      <c r="C457" t="str">
        <f>"20191029"</f>
        <v>20191029</v>
      </c>
      <c r="D457" t="str">
        <f>"19.840"</f>
        <v>19.840</v>
      </c>
      <c r="E457" t="str">
        <f>"600.00"</f>
        <v>600.00</v>
      </c>
      <c r="F457" t="str">
        <f>"-11909.24"</f>
        <v>-11909.24</v>
      </c>
      <c r="G457" t="str">
        <f>"51715.16"</f>
        <v>51715.16</v>
      </c>
      <c r="H457" t="str">
        <f>"4200.00"</f>
        <v>4200.00</v>
      </c>
      <c r="I457" t="str">
        <f>"101"</f>
        <v>101</v>
      </c>
      <c r="J457" t="str">
        <f>"证券买入(中通国脉)"</f>
        <v>证券买入(中通国脉)</v>
      </c>
      <c r="K457" t="str">
        <f>"5.00"</f>
        <v>5.00</v>
      </c>
      <c r="L457" t="str">
        <f t="shared" si="152"/>
        <v>0.00</v>
      </c>
      <c r="M457" t="str">
        <f>"0.24"</f>
        <v>0.24</v>
      </c>
      <c r="N457" t="str">
        <f t="shared" si="151"/>
        <v>0.00</v>
      </c>
      <c r="O457" t="str">
        <f>"603559"</f>
        <v>603559</v>
      </c>
      <c r="P457" t="str">
        <f>"A400948245"</f>
        <v>A400948245</v>
      </c>
    </row>
    <row r="458" spans="1:16" x14ac:dyDescent="0.25">
      <c r="A458" t="str">
        <f t="shared" si="148"/>
        <v>人民币</v>
      </c>
      <c r="B458" t="str">
        <f>"筑博设计"</f>
        <v>筑博设计</v>
      </c>
      <c r="C458" t="str">
        <f>"20191030"</f>
        <v>20191030</v>
      </c>
      <c r="D458" t="str">
        <f>"0.000"</f>
        <v>0.000</v>
      </c>
      <c r="E458" t="str">
        <f>"20.00"</f>
        <v>20.00</v>
      </c>
      <c r="F458" t="str">
        <f>"0.00"</f>
        <v>0.00</v>
      </c>
      <c r="G458" t="str">
        <f>"24764.12"</f>
        <v>24764.12</v>
      </c>
      <c r="H458" t="str">
        <f>"0.00"</f>
        <v>0.00</v>
      </c>
      <c r="I458" t="str">
        <f>"123"</f>
        <v>123</v>
      </c>
      <c r="J458" t="str">
        <f>"申购配号(筑博设计)"</f>
        <v>申购配号(筑博设计)</v>
      </c>
      <c r="K458" t="str">
        <f>"0.00"</f>
        <v>0.00</v>
      </c>
      <c r="L458" t="str">
        <f t="shared" si="152"/>
        <v>0.00</v>
      </c>
      <c r="M458" t="str">
        <f t="shared" si="152"/>
        <v>0.00</v>
      </c>
      <c r="N458" t="str">
        <f t="shared" si="151"/>
        <v>0.00</v>
      </c>
      <c r="O458" t="str">
        <f>"300564"</f>
        <v>300564</v>
      </c>
      <c r="P458" t="str">
        <f>"0153613480"</f>
        <v>0153613480</v>
      </c>
    </row>
    <row r="459" spans="1:16" x14ac:dyDescent="0.25">
      <c r="A459" t="str">
        <f t="shared" si="148"/>
        <v>人民币</v>
      </c>
      <c r="B459" t="str">
        <f>"广电计量"</f>
        <v>广电计量</v>
      </c>
      <c r="C459" t="str">
        <f>"20191030"</f>
        <v>20191030</v>
      </c>
      <c r="D459" t="str">
        <f>"0.000"</f>
        <v>0.000</v>
      </c>
      <c r="E459" t="str">
        <f>"32.00"</f>
        <v>32.00</v>
      </c>
      <c r="F459" t="str">
        <f>"0.00"</f>
        <v>0.00</v>
      </c>
      <c r="G459" t="str">
        <f>"24764.12"</f>
        <v>24764.12</v>
      </c>
      <c r="H459" t="str">
        <f>"0.00"</f>
        <v>0.00</v>
      </c>
      <c r="I459" t="str">
        <f>"125"</f>
        <v>125</v>
      </c>
      <c r="J459" t="str">
        <f>"申购配号(广电计量)"</f>
        <v>申购配号(广电计量)</v>
      </c>
      <c r="K459" t="str">
        <f>"0.00"</f>
        <v>0.00</v>
      </c>
      <c r="L459" t="str">
        <f t="shared" si="152"/>
        <v>0.00</v>
      </c>
      <c r="M459" t="str">
        <f t="shared" si="152"/>
        <v>0.00</v>
      </c>
      <c r="N459" t="str">
        <f t="shared" si="151"/>
        <v>0.00</v>
      </c>
      <c r="O459" t="str">
        <f>"002967"</f>
        <v>002967</v>
      </c>
      <c r="P459" t="str">
        <f>"0153613480"</f>
        <v>0153613480</v>
      </c>
    </row>
    <row r="460" spans="1:16" x14ac:dyDescent="0.25">
      <c r="A460" t="str">
        <f t="shared" si="148"/>
        <v>人民币</v>
      </c>
      <c r="B460" t="str">
        <f>"飞力达"</f>
        <v>飞力达</v>
      </c>
      <c r="C460" t="str">
        <f>"20191030"</f>
        <v>20191030</v>
      </c>
      <c r="D460" t="str">
        <f>"7.220"</f>
        <v>7.220</v>
      </c>
      <c r="E460" t="str">
        <f>"2000.00"</f>
        <v>2000.00</v>
      </c>
      <c r="F460" t="str">
        <f>"-14445.00"</f>
        <v>-14445.00</v>
      </c>
      <c r="G460" t="str">
        <f>"24764.12"</f>
        <v>24764.12</v>
      </c>
      <c r="H460" t="str">
        <f>"2000.00"</f>
        <v>2000.00</v>
      </c>
      <c r="I460" t="str">
        <f>"132"</f>
        <v>132</v>
      </c>
      <c r="J460" t="str">
        <f>"证券买入(飞力达)"</f>
        <v>证券买入(飞力达)</v>
      </c>
      <c r="K460" t="str">
        <f>"5.00"</f>
        <v>5.00</v>
      </c>
      <c r="L460" t="str">
        <f t="shared" si="152"/>
        <v>0.00</v>
      </c>
      <c r="M460" t="str">
        <f t="shared" si="152"/>
        <v>0.00</v>
      </c>
      <c r="N460" t="str">
        <f t="shared" si="151"/>
        <v>0.00</v>
      </c>
      <c r="O460" t="str">
        <f>"300240"</f>
        <v>300240</v>
      </c>
      <c r="P460" t="str">
        <f>"0153613480"</f>
        <v>0153613480</v>
      </c>
    </row>
    <row r="461" spans="1:16" x14ac:dyDescent="0.25">
      <c r="A461" t="str">
        <f t="shared" si="148"/>
        <v>人民币</v>
      </c>
      <c r="B461" t="str">
        <f>"中海达"</f>
        <v>中海达</v>
      </c>
      <c r="C461" t="str">
        <f>"20191030"</f>
        <v>20191030</v>
      </c>
      <c r="D461" t="str">
        <f>"8.330"</f>
        <v>8.330</v>
      </c>
      <c r="E461" t="str">
        <f>"-2000.00"</f>
        <v>-2000.00</v>
      </c>
      <c r="F461" t="str">
        <f>"16638.34"</f>
        <v>16638.34</v>
      </c>
      <c r="G461" t="str">
        <f>"39209.12"</f>
        <v>39209.12</v>
      </c>
      <c r="H461" t="str">
        <f>"8500.00"</f>
        <v>8500.00</v>
      </c>
      <c r="I461" t="str">
        <f>"129"</f>
        <v>129</v>
      </c>
      <c r="J461" t="str">
        <f>"证券卖出(中海达)"</f>
        <v>证券卖出(中海达)</v>
      </c>
      <c r="K461" t="str">
        <f>"5.00"</f>
        <v>5.00</v>
      </c>
      <c r="L461" t="str">
        <f>"16.66"</f>
        <v>16.66</v>
      </c>
      <c r="M461" t="str">
        <f t="shared" si="152"/>
        <v>0.00</v>
      </c>
      <c r="N461" t="str">
        <f t="shared" si="151"/>
        <v>0.00</v>
      </c>
      <c r="O461" t="str">
        <f>"300177"</f>
        <v>300177</v>
      </c>
      <c r="P461" t="str">
        <f>"0153613480"</f>
        <v>0153613480</v>
      </c>
    </row>
    <row r="462" spans="1:16" x14ac:dyDescent="0.25">
      <c r="A462" t="str">
        <f t="shared" si="148"/>
        <v>人民币</v>
      </c>
      <c r="B462" t="str">
        <f>"八方配号"</f>
        <v>八方配号</v>
      </c>
      <c r="C462" t="str">
        <f>"20191030"</f>
        <v>20191030</v>
      </c>
      <c r="D462" t="str">
        <f>"0.000"</f>
        <v>0.000</v>
      </c>
      <c r="E462" t="str">
        <f>"9.00"</f>
        <v>9.00</v>
      </c>
      <c r="F462" t="str">
        <f>"0.00"</f>
        <v>0.00</v>
      </c>
      <c r="G462" t="str">
        <f>"22570.78"</f>
        <v>22570.78</v>
      </c>
      <c r="H462" t="str">
        <f>"0.00"</f>
        <v>0.00</v>
      </c>
      <c r="I462" t="str">
        <f>"127"</f>
        <v>127</v>
      </c>
      <c r="J462" t="str">
        <f>"申购配号(八方配号)"</f>
        <v>申购配号(八方配号)</v>
      </c>
      <c r="K462" t="str">
        <f>"0.00"</f>
        <v>0.00</v>
      </c>
      <c r="L462" t="str">
        <f>"0.00"</f>
        <v>0.00</v>
      </c>
      <c r="M462" t="str">
        <f t="shared" si="152"/>
        <v>0.00</v>
      </c>
      <c r="N462" t="str">
        <f t="shared" si="151"/>
        <v>0.00</v>
      </c>
      <c r="O462" t="str">
        <f>"736489"</f>
        <v>736489</v>
      </c>
      <c r="P462" t="str">
        <f>"A400948245"</f>
        <v>A400948245</v>
      </c>
    </row>
    <row r="463" spans="1:16" x14ac:dyDescent="0.25">
      <c r="A463" t="str">
        <f t="shared" si="148"/>
        <v>人民币</v>
      </c>
      <c r="B463" t="str">
        <f>"飞力达"</f>
        <v>飞力达</v>
      </c>
      <c r="C463" t="str">
        <f>"20191031"</f>
        <v>20191031</v>
      </c>
      <c r="D463" t="str">
        <f>"7.570"</f>
        <v>7.570</v>
      </c>
      <c r="E463" t="str">
        <f>"-2000.00"</f>
        <v>-2000.00</v>
      </c>
      <c r="F463" t="str">
        <f>"15119.86"</f>
        <v>15119.86</v>
      </c>
      <c r="G463" t="str">
        <f>"40029.35"</f>
        <v>40029.35</v>
      </c>
      <c r="H463" t="str">
        <f>"0.00"</f>
        <v>0.00</v>
      </c>
      <c r="I463" t="str">
        <f>"141"</f>
        <v>141</v>
      </c>
      <c r="J463" t="str">
        <f>"证券卖出(飞力达)"</f>
        <v>证券卖出(飞力达)</v>
      </c>
      <c r="K463" t="str">
        <f>"5.00"</f>
        <v>5.00</v>
      </c>
      <c r="L463" t="str">
        <f>"15.14"</f>
        <v>15.14</v>
      </c>
      <c r="M463" t="str">
        <f t="shared" si="152"/>
        <v>0.00</v>
      </c>
      <c r="N463" t="str">
        <f t="shared" si="151"/>
        <v>0.00</v>
      </c>
      <c r="O463" t="str">
        <f>"300240"</f>
        <v>300240</v>
      </c>
      <c r="P463" t="str">
        <f>"0153613480"</f>
        <v>0153613480</v>
      </c>
    </row>
    <row r="464" spans="1:16" x14ac:dyDescent="0.25">
      <c r="A464" t="str">
        <f t="shared" si="148"/>
        <v>人民币</v>
      </c>
      <c r="B464" t="str">
        <f>"中通国脉"</f>
        <v>中通国脉</v>
      </c>
      <c r="C464" t="str">
        <f>"20191031"</f>
        <v>20191031</v>
      </c>
      <c r="D464" t="str">
        <f>"19.970"</f>
        <v>19.970</v>
      </c>
      <c r="E464" t="str">
        <f>"600.00"</f>
        <v>600.00</v>
      </c>
      <c r="F464" t="str">
        <f>"-11987.24"</f>
        <v>-11987.24</v>
      </c>
      <c r="G464" t="str">
        <f>"24909.49"</f>
        <v>24909.49</v>
      </c>
      <c r="H464" t="str">
        <f>"4800.00"</f>
        <v>4800.00</v>
      </c>
      <c r="I464" t="str">
        <f>"147"</f>
        <v>147</v>
      </c>
      <c r="J464" t="str">
        <f>"证券买入(中通国脉)"</f>
        <v>证券买入(中通国脉)</v>
      </c>
      <c r="K464" t="str">
        <f>"5.00"</f>
        <v>5.00</v>
      </c>
      <c r="L464" t="str">
        <f>"0.00"</f>
        <v>0.00</v>
      </c>
      <c r="M464" t="str">
        <f>"0.24"</f>
        <v>0.24</v>
      </c>
      <c r="N464" t="str">
        <f t="shared" si="151"/>
        <v>0.00</v>
      </c>
      <c r="O464" t="str">
        <f>"603559"</f>
        <v>603559</v>
      </c>
      <c r="P464" t="str">
        <f>"A400948245"</f>
        <v>A400948245</v>
      </c>
    </row>
    <row r="465" spans="1:16" x14ac:dyDescent="0.25">
      <c r="A465" t="str">
        <f t="shared" si="148"/>
        <v>人民币</v>
      </c>
      <c r="B465" t="str">
        <f>"中通国脉"</f>
        <v>中通国脉</v>
      </c>
      <c r="C465" t="str">
        <f>"20191031"</f>
        <v>20191031</v>
      </c>
      <c r="D465" t="str">
        <f>"20.250"</f>
        <v>20.250</v>
      </c>
      <c r="E465" t="str">
        <f>"-600.00"</f>
        <v>-600.00</v>
      </c>
      <c r="F465" t="str">
        <f>"12132.61"</f>
        <v>12132.61</v>
      </c>
      <c r="G465" t="str">
        <f>"36896.73"</f>
        <v>36896.73</v>
      </c>
      <c r="H465" t="str">
        <f>"4200.00"</f>
        <v>4200.00</v>
      </c>
      <c r="I465" t="str">
        <f>"144"</f>
        <v>144</v>
      </c>
      <c r="J465" t="str">
        <f>"证券卖出(中通国脉)"</f>
        <v>证券卖出(中通国脉)</v>
      </c>
      <c r="K465" t="str">
        <f>"5.00"</f>
        <v>5.00</v>
      </c>
      <c r="L465" t="str">
        <f>"12.15"</f>
        <v>12.15</v>
      </c>
      <c r="M465" t="str">
        <f>"0.24"</f>
        <v>0.24</v>
      </c>
      <c r="N465" t="str">
        <f t="shared" si="151"/>
        <v>0.00</v>
      </c>
      <c r="O465" t="str">
        <f>"603559"</f>
        <v>603559</v>
      </c>
      <c r="P465" t="str">
        <f>"A400948245"</f>
        <v>A400948245</v>
      </c>
    </row>
    <row r="466" spans="1:16" x14ac:dyDescent="0.25">
      <c r="A466" t="str">
        <f t="shared" si="148"/>
        <v>人民币</v>
      </c>
      <c r="B466" t="str">
        <f>"顺灏股份"</f>
        <v>顺灏股份</v>
      </c>
      <c r="C466" t="str">
        <f>"20191101"</f>
        <v>20191101</v>
      </c>
      <c r="D466" t="str">
        <f>"7.150"</f>
        <v>7.150</v>
      </c>
      <c r="E466" t="str">
        <f>"3000.00"</f>
        <v>3000.00</v>
      </c>
      <c r="F466" t="str">
        <f>"-21456.44"</f>
        <v>-21456.44</v>
      </c>
      <c r="G466" t="str">
        <f>"3575.02"</f>
        <v>3575.02</v>
      </c>
      <c r="H466" t="str">
        <f>"17000.00"</f>
        <v>17000.00</v>
      </c>
      <c r="I466" t="str">
        <f>"181"</f>
        <v>181</v>
      </c>
      <c r="J466" t="str">
        <f>"证券买入(顺灏股份)"</f>
        <v>证券买入(顺灏股份)</v>
      </c>
      <c r="K466" t="str">
        <f>"6.44"</f>
        <v>6.44</v>
      </c>
      <c r="L466" t="str">
        <f>"0.00"</f>
        <v>0.00</v>
      </c>
      <c r="M466" t="str">
        <f>"0.00"</f>
        <v>0.00</v>
      </c>
      <c r="N466" t="str">
        <f t="shared" si="151"/>
        <v>0.00</v>
      </c>
      <c r="O466" t="str">
        <f>"002565"</f>
        <v>002565</v>
      </c>
      <c r="P466" t="str">
        <f>"0153613480"</f>
        <v>0153613480</v>
      </c>
    </row>
    <row r="467" spans="1:16" x14ac:dyDescent="0.25">
      <c r="A467" t="str">
        <f t="shared" si="148"/>
        <v>人民币</v>
      </c>
      <c r="B467" t="str">
        <f>"顺灏股份"</f>
        <v>顺灏股份</v>
      </c>
      <c r="C467" t="str">
        <f>"20191101"</f>
        <v>20191101</v>
      </c>
      <c r="D467" t="str">
        <f>"6.970"</f>
        <v>6.970</v>
      </c>
      <c r="E467" t="str">
        <f>"-3000.00"</f>
        <v>-3000.00</v>
      </c>
      <c r="F467" t="str">
        <f>"20882.80"</f>
        <v>20882.80</v>
      </c>
      <c r="G467" t="str">
        <f>"25031.46"</f>
        <v>25031.46</v>
      </c>
      <c r="H467" t="str">
        <f>"14000.00"</f>
        <v>14000.00</v>
      </c>
      <c r="I467" t="str">
        <f>"166"</f>
        <v>166</v>
      </c>
      <c r="J467" t="str">
        <f>"证券卖出(顺灏股份)"</f>
        <v>证券卖出(顺灏股份)</v>
      </c>
      <c r="K467" t="str">
        <f>"6.28"</f>
        <v>6.28</v>
      </c>
      <c r="L467" t="str">
        <f>"20.92"</f>
        <v>20.92</v>
      </c>
      <c r="M467" t="str">
        <f>"0.00"</f>
        <v>0.00</v>
      </c>
      <c r="N467" t="str">
        <f t="shared" si="151"/>
        <v>0.00</v>
      </c>
      <c r="O467" t="str">
        <f>"002565"</f>
        <v>002565</v>
      </c>
      <c r="P467" t="str">
        <f>"0153613480"</f>
        <v>0153613480</v>
      </c>
    </row>
    <row r="468" spans="1:16" x14ac:dyDescent="0.25">
      <c r="A468" t="str">
        <f t="shared" si="148"/>
        <v>人民币</v>
      </c>
      <c r="B468" t="str">
        <f>"顺灏股份"</f>
        <v>顺灏股份</v>
      </c>
      <c r="C468" t="str">
        <f>"20191101"</f>
        <v>20191101</v>
      </c>
      <c r="D468" t="str">
        <f>"6.830"</f>
        <v>6.830</v>
      </c>
      <c r="E468" t="str">
        <f>"3000.00"</f>
        <v>3000.00</v>
      </c>
      <c r="F468" t="str">
        <f>"-20496.15"</f>
        <v>-20496.15</v>
      </c>
      <c r="G468" t="str">
        <f>"4148.66"</f>
        <v>4148.66</v>
      </c>
      <c r="H468" t="str">
        <f>"17000.00"</f>
        <v>17000.00</v>
      </c>
      <c r="I468" t="str">
        <f>"156"</f>
        <v>156</v>
      </c>
      <c r="J468" t="str">
        <f>"证券买入(顺灏股份)"</f>
        <v>证券买入(顺灏股份)</v>
      </c>
      <c r="K468" t="str">
        <f>"6.15"</f>
        <v>6.15</v>
      </c>
      <c r="L468" t="str">
        <f>"0.00"</f>
        <v>0.00</v>
      </c>
      <c r="M468" t="str">
        <f>"0.00"</f>
        <v>0.00</v>
      </c>
      <c r="N468" t="str">
        <f t="shared" si="151"/>
        <v>0.00</v>
      </c>
      <c r="O468" t="str">
        <f>"002565"</f>
        <v>002565</v>
      </c>
      <c r="P468" t="str">
        <f>"0153613480"</f>
        <v>0153613480</v>
      </c>
    </row>
    <row r="469" spans="1:16" x14ac:dyDescent="0.25">
      <c r="A469" t="str">
        <f t="shared" si="148"/>
        <v>人民币</v>
      </c>
      <c r="B469" t="str">
        <f>"中通国脉"</f>
        <v>中通国脉</v>
      </c>
      <c r="C469" t="str">
        <f>"20191101"</f>
        <v>20191101</v>
      </c>
      <c r="D469" t="str">
        <f>"20.540"</f>
        <v>20.540</v>
      </c>
      <c r="E469" t="str">
        <f>"-1200.00"</f>
        <v>-1200.00</v>
      </c>
      <c r="F469" t="str">
        <f>"24615.46"</f>
        <v>24615.46</v>
      </c>
      <c r="G469" t="str">
        <f>"24644.81"</f>
        <v>24644.81</v>
      </c>
      <c r="H469" t="str">
        <f>"3600.00"</f>
        <v>3600.00</v>
      </c>
      <c r="I469" t="str">
        <f>"177"</f>
        <v>177</v>
      </c>
      <c r="J469" t="str">
        <f>"证券卖出(中通国脉)"</f>
        <v>证券卖出(中通国脉)</v>
      </c>
      <c r="K469" t="str">
        <f>"7.40"</f>
        <v>7.40</v>
      </c>
      <c r="L469" t="str">
        <f>"24.65"</f>
        <v>24.65</v>
      </c>
      <c r="M469" t="str">
        <f>"0.49"</f>
        <v>0.49</v>
      </c>
      <c r="N469" t="str">
        <f t="shared" ref="N469" si="153">"0.00"</f>
        <v>0.00</v>
      </c>
      <c r="O469" t="str">
        <f>"603559"</f>
        <v>603559</v>
      </c>
      <c r="P469" t="str">
        <f>"A400948245"</f>
        <v>A400948245</v>
      </c>
    </row>
    <row r="470" spans="1:16" x14ac:dyDescent="0.25">
      <c r="A470" t="str">
        <f t="shared" si="148"/>
        <v>人民币</v>
      </c>
      <c r="B470" t="str">
        <f>""</f>
        <v/>
      </c>
      <c r="C470" t="str">
        <f>"20191101"</f>
        <v>20191101</v>
      </c>
      <c r="D470" t="str">
        <f>"---"</f>
        <v>---</v>
      </c>
      <c r="E470" t="str">
        <f>"---"</f>
        <v>---</v>
      </c>
      <c r="F470" t="str">
        <f>"-40000.00"</f>
        <v>-40000.00</v>
      </c>
      <c r="G470" t="str">
        <f>"29.35"</f>
        <v>29.35</v>
      </c>
      <c r="H470" t="str">
        <f>"---"</f>
        <v>---</v>
      </c>
      <c r="I470" t="str">
        <f>"---"</f>
        <v>---</v>
      </c>
      <c r="J470" t="str">
        <f>"银行转取"</f>
        <v>银行转取</v>
      </c>
      <c r="K470" t="str">
        <f t="shared" ref="K470:P470" si="154">"---"</f>
        <v>---</v>
      </c>
      <c r="L470" t="str">
        <f t="shared" si="154"/>
        <v>---</v>
      </c>
      <c r="M470" t="str">
        <f t="shared" si="154"/>
        <v>---</v>
      </c>
      <c r="N470" t="str">
        <f t="shared" si="154"/>
        <v>---</v>
      </c>
      <c r="O470" t="str">
        <f t="shared" si="154"/>
        <v>---</v>
      </c>
      <c r="P470" t="str">
        <f t="shared" si="154"/>
        <v>---</v>
      </c>
    </row>
    <row r="471" spans="1:16" x14ac:dyDescent="0.25">
      <c r="A471" t="str">
        <f t="shared" si="148"/>
        <v>人民币</v>
      </c>
      <c r="B471" t="str">
        <f>"顺灏股份"</f>
        <v>顺灏股份</v>
      </c>
      <c r="C471" t="str">
        <f t="shared" ref="C471:C477" si="155">"20191104"</f>
        <v>20191104</v>
      </c>
      <c r="D471" t="str">
        <f>"6.780"</f>
        <v>6.780</v>
      </c>
      <c r="E471" t="str">
        <f>"2900.00"</f>
        <v>2900.00</v>
      </c>
      <c r="F471" t="str">
        <f>"-19667.90"</f>
        <v>-19667.90</v>
      </c>
      <c r="G471" t="str">
        <f>"382.49"</f>
        <v>382.49</v>
      </c>
      <c r="H471" t="str">
        <f>"19900.00"</f>
        <v>19900.00</v>
      </c>
      <c r="I471" t="str">
        <f>"209"</f>
        <v>209</v>
      </c>
      <c r="J471" t="str">
        <f>"证券买入(顺灏股份)"</f>
        <v>证券买入(顺灏股份)</v>
      </c>
      <c r="K471" t="str">
        <f>"5.90"</f>
        <v>5.90</v>
      </c>
      <c r="L471" t="str">
        <f>"0.00"</f>
        <v>0.00</v>
      </c>
      <c r="M471" t="str">
        <f>"0.00"</f>
        <v>0.00</v>
      </c>
      <c r="N471" t="str">
        <f>"0.00"</f>
        <v>0.00</v>
      </c>
      <c r="O471" t="str">
        <f>"002565"</f>
        <v>002565</v>
      </c>
      <c r="P471" t="str">
        <f>"0153613480"</f>
        <v>0153613480</v>
      </c>
    </row>
    <row r="472" spans="1:16" x14ac:dyDescent="0.25">
      <c r="A472" t="str">
        <f t="shared" si="148"/>
        <v>人民币</v>
      </c>
      <c r="B472" t="str">
        <f>"顺灏股份"</f>
        <v>顺灏股份</v>
      </c>
      <c r="C472" t="str">
        <f t="shared" si="155"/>
        <v>20191104</v>
      </c>
      <c r="D472" t="str">
        <f>"6.820"</f>
        <v>6.820</v>
      </c>
      <c r="E472" t="str">
        <f>"-2000.00"</f>
        <v>-2000.00</v>
      </c>
      <c r="F472" t="str">
        <f>"13621.36"</f>
        <v>13621.36</v>
      </c>
      <c r="G472" t="str">
        <f>"20050.39"</f>
        <v>20050.39</v>
      </c>
      <c r="H472" t="str">
        <f>"17000.00"</f>
        <v>17000.00</v>
      </c>
      <c r="I472" t="str">
        <f>"200"</f>
        <v>200</v>
      </c>
      <c r="J472" t="str">
        <f>"证券卖出(顺灏股份)"</f>
        <v>证券卖出(顺灏股份)</v>
      </c>
      <c r="K472" t="str">
        <f>"5.00"</f>
        <v>5.00</v>
      </c>
      <c r="L472" t="str">
        <f>"13.64"</f>
        <v>13.64</v>
      </c>
      <c r="M472" t="str">
        <f t="shared" ref="M472:N475" si="156">"0.00"</f>
        <v>0.00</v>
      </c>
      <c r="N472" t="str">
        <f t="shared" si="156"/>
        <v>0.00</v>
      </c>
      <c r="O472" t="str">
        <f>"002565"</f>
        <v>002565</v>
      </c>
      <c r="P472" t="str">
        <f>"0153613480"</f>
        <v>0153613480</v>
      </c>
    </row>
    <row r="473" spans="1:16" x14ac:dyDescent="0.25">
      <c r="A473" t="str">
        <f t="shared" si="148"/>
        <v>人民币</v>
      </c>
      <c r="B473" t="str">
        <f>"顺灏股份"</f>
        <v>顺灏股份</v>
      </c>
      <c r="C473" t="str">
        <f t="shared" si="155"/>
        <v>20191104</v>
      </c>
      <c r="D473" t="str">
        <f>"6.800"</f>
        <v>6.800</v>
      </c>
      <c r="E473" t="str">
        <f>"-1230.00"</f>
        <v>-1230.00</v>
      </c>
      <c r="F473" t="str">
        <f>"8350.64"</f>
        <v>8350.64</v>
      </c>
      <c r="G473" t="str">
        <f>"6429.03"</f>
        <v>6429.03</v>
      </c>
      <c r="H473" t="str">
        <f>"19000.00"</f>
        <v>19000.00</v>
      </c>
      <c r="I473" t="str">
        <f>"197"</f>
        <v>197</v>
      </c>
      <c r="J473" t="str">
        <f>"证券卖出(顺灏股份)"</f>
        <v>证券卖出(顺灏股份)</v>
      </c>
      <c r="K473" t="str">
        <f>"5.00"</f>
        <v>5.00</v>
      </c>
      <c r="L473" t="str">
        <f>"8.36"</f>
        <v>8.36</v>
      </c>
      <c r="M473" t="str">
        <f t="shared" si="156"/>
        <v>0.00</v>
      </c>
      <c r="N473" t="str">
        <f t="shared" si="156"/>
        <v>0.00</v>
      </c>
      <c r="O473" t="str">
        <f>"002565"</f>
        <v>002565</v>
      </c>
      <c r="P473" t="str">
        <f>"0153613480"</f>
        <v>0153613480</v>
      </c>
    </row>
    <row r="474" spans="1:16" x14ac:dyDescent="0.25">
      <c r="A474" t="str">
        <f t="shared" si="148"/>
        <v>人民币</v>
      </c>
      <c r="B474" t="str">
        <f>"顺灏股份"</f>
        <v>顺灏股份</v>
      </c>
      <c r="C474" t="str">
        <f t="shared" si="155"/>
        <v>20191104</v>
      </c>
      <c r="D474" t="str">
        <f>"6.750"</f>
        <v>6.750</v>
      </c>
      <c r="E474" t="str">
        <f>"-1770.00"</f>
        <v>-1770.00</v>
      </c>
      <c r="F474" t="str">
        <f>"11930.55"</f>
        <v>11930.55</v>
      </c>
      <c r="G474" t="str">
        <f>"-1921.61"</f>
        <v>-1921.61</v>
      </c>
      <c r="H474" t="str">
        <f>"20230.00"</f>
        <v>20230.00</v>
      </c>
      <c r="I474" t="str">
        <f>"193"</f>
        <v>193</v>
      </c>
      <c r="J474" t="str">
        <f>"证券卖出(顺灏股份)"</f>
        <v>证券卖出(顺灏股份)</v>
      </c>
      <c r="K474" t="str">
        <f>"5.00"</f>
        <v>5.00</v>
      </c>
      <c r="L474" t="str">
        <f>"11.95"</f>
        <v>11.95</v>
      </c>
      <c r="M474" t="str">
        <f t="shared" si="156"/>
        <v>0.00</v>
      </c>
      <c r="N474" t="str">
        <f t="shared" si="156"/>
        <v>0.00</v>
      </c>
      <c r="O474" t="str">
        <f>"002565"</f>
        <v>002565</v>
      </c>
      <c r="P474" t="str">
        <f>"0153613480"</f>
        <v>0153613480</v>
      </c>
    </row>
    <row r="475" spans="1:16" x14ac:dyDescent="0.25">
      <c r="A475" t="str">
        <f t="shared" si="148"/>
        <v>人民币</v>
      </c>
      <c r="B475" t="str">
        <f>"顺灏股份"</f>
        <v>顺灏股份</v>
      </c>
      <c r="C475" t="str">
        <f t="shared" si="155"/>
        <v>20191104</v>
      </c>
      <c r="D475" t="str">
        <f>"6.590"</f>
        <v>6.590</v>
      </c>
      <c r="E475" t="str">
        <f>"5000.00"</f>
        <v>5000.00</v>
      </c>
      <c r="F475" t="str">
        <f>"-32959.89"</f>
        <v>-32959.89</v>
      </c>
      <c r="G475" t="str">
        <f>"-13852.16"</f>
        <v>-13852.16</v>
      </c>
      <c r="H475" t="str">
        <f>"22000.00"</f>
        <v>22000.00</v>
      </c>
      <c r="I475" t="str">
        <f>"189"</f>
        <v>189</v>
      </c>
      <c r="J475" t="str">
        <f>"证券买入(顺灏股份)"</f>
        <v>证券买入(顺灏股份)</v>
      </c>
      <c r="K475" t="str">
        <f>"9.89"</f>
        <v>9.89</v>
      </c>
      <c r="L475" t="str">
        <f>"0.00"</f>
        <v>0.00</v>
      </c>
      <c r="M475" t="str">
        <f t="shared" si="156"/>
        <v>0.00</v>
      </c>
      <c r="N475" t="str">
        <f t="shared" si="156"/>
        <v>0.00</v>
      </c>
      <c r="O475" t="str">
        <f>"002565"</f>
        <v>002565</v>
      </c>
      <c r="P475" t="str">
        <f>"0153613480"</f>
        <v>0153613480</v>
      </c>
    </row>
    <row r="476" spans="1:16" x14ac:dyDescent="0.25">
      <c r="A476" t="str">
        <f t="shared" si="148"/>
        <v>人民币</v>
      </c>
      <c r="B476" t="str">
        <f>"中通国脉"</f>
        <v>中通国脉</v>
      </c>
      <c r="C476" t="str">
        <f t="shared" si="155"/>
        <v>20191104</v>
      </c>
      <c r="D476" t="str">
        <f>"20.660"</f>
        <v>20.660</v>
      </c>
      <c r="E476" t="str">
        <f>"700.00"</f>
        <v>700.00</v>
      </c>
      <c r="F476" t="str">
        <f>"-14467.29"</f>
        <v>-14467.29</v>
      </c>
      <c r="G476" t="str">
        <f>"19107.73"</f>
        <v>19107.73</v>
      </c>
      <c r="H476" t="str">
        <f>"4300.00"</f>
        <v>4300.00</v>
      </c>
      <c r="I476" t="str">
        <f>"203"</f>
        <v>203</v>
      </c>
      <c r="J476" t="str">
        <f>"证券买入(中通国脉)"</f>
        <v>证券买入(中通国脉)</v>
      </c>
      <c r="K476" t="str">
        <f>"5.00"</f>
        <v>5.00</v>
      </c>
      <c r="L476" t="str">
        <f>"0.00"</f>
        <v>0.00</v>
      </c>
      <c r="M476" t="str">
        <f>"0.29"</f>
        <v>0.29</v>
      </c>
      <c r="N476" t="str">
        <f>"0.00"</f>
        <v>0.00</v>
      </c>
      <c r="O476" t="str">
        <f>"603559"</f>
        <v>603559</v>
      </c>
      <c r="P476" t="str">
        <f>"A400948245"</f>
        <v>A400948245</v>
      </c>
    </row>
    <row r="477" spans="1:16" x14ac:dyDescent="0.25">
      <c r="A477" t="str">
        <f t="shared" si="148"/>
        <v>人民币</v>
      </c>
      <c r="B477" t="str">
        <f>""</f>
        <v/>
      </c>
      <c r="C477" t="str">
        <f t="shared" si="155"/>
        <v>20191104</v>
      </c>
      <c r="D477" t="str">
        <f>"---"</f>
        <v>---</v>
      </c>
      <c r="E477" t="str">
        <f>"---"</f>
        <v>---</v>
      </c>
      <c r="F477" t="str">
        <f>"30000.00"</f>
        <v>30000.00</v>
      </c>
      <c r="G477" t="str">
        <f>"33575.02"</f>
        <v>33575.02</v>
      </c>
      <c r="H477" t="str">
        <f>"---"</f>
        <v>---</v>
      </c>
      <c r="I477" t="str">
        <f>"---"</f>
        <v>---</v>
      </c>
      <c r="J477" t="str">
        <f>"银行转存"</f>
        <v>银行转存</v>
      </c>
      <c r="K477" t="str">
        <f t="shared" ref="K477:P477" si="157">"---"</f>
        <v>---</v>
      </c>
      <c r="L477" t="str">
        <f t="shared" si="157"/>
        <v>---</v>
      </c>
      <c r="M477" t="str">
        <f t="shared" si="157"/>
        <v>---</v>
      </c>
      <c r="N477" t="str">
        <f t="shared" si="157"/>
        <v>---</v>
      </c>
      <c r="O477" t="str">
        <f t="shared" si="157"/>
        <v>---</v>
      </c>
      <c r="P477" t="str">
        <f t="shared" si="157"/>
        <v>---</v>
      </c>
    </row>
    <row r="478" spans="1:16" x14ac:dyDescent="0.25">
      <c r="A478" t="str">
        <f t="shared" si="148"/>
        <v>人民币</v>
      </c>
      <c r="B478" t="str">
        <f>"矩子科技"</f>
        <v>矩子科技</v>
      </c>
      <c r="C478" t="str">
        <f>"20191105"</f>
        <v>20191105</v>
      </c>
      <c r="D478" t="str">
        <f>"0.000"</f>
        <v>0.000</v>
      </c>
      <c r="E478" t="str">
        <f>"20.00"</f>
        <v>20.00</v>
      </c>
      <c r="F478" t="str">
        <f>"0.00"</f>
        <v>0.00</v>
      </c>
      <c r="G478" t="str">
        <f>"382.49"</f>
        <v>382.49</v>
      </c>
      <c r="H478" t="str">
        <f>"0.00"</f>
        <v>0.00</v>
      </c>
      <c r="I478" t="str">
        <f>"220"</f>
        <v>220</v>
      </c>
      <c r="J478" t="str">
        <f>"申购配号(矩子科技)"</f>
        <v>申购配号(矩子科技)</v>
      </c>
      <c r="K478" t="str">
        <f t="shared" ref="K478:N491" si="158">"0.00"</f>
        <v>0.00</v>
      </c>
      <c r="L478" t="str">
        <f t="shared" si="158"/>
        <v>0.00</v>
      </c>
      <c r="M478" t="str">
        <f t="shared" si="158"/>
        <v>0.00</v>
      </c>
      <c r="N478" t="str">
        <f t="shared" si="158"/>
        <v>0.00</v>
      </c>
      <c r="O478" t="str">
        <f>"300802"</f>
        <v>300802</v>
      </c>
      <c r="P478" t="str">
        <f t="shared" ref="P478:P483" si="159">"0153613480"</f>
        <v>0153613480</v>
      </c>
    </row>
    <row r="479" spans="1:16" x14ac:dyDescent="0.25">
      <c r="A479" t="str">
        <f t="shared" si="148"/>
        <v>人民币</v>
      </c>
      <c r="B479" t="str">
        <f>"贝斯美"</f>
        <v>贝斯美</v>
      </c>
      <c r="C479" t="str">
        <f>"20191105"</f>
        <v>20191105</v>
      </c>
      <c r="D479" t="str">
        <f>"0.000"</f>
        <v>0.000</v>
      </c>
      <c r="E479" t="str">
        <f>"24.00"</f>
        <v>24.00</v>
      </c>
      <c r="F479" t="str">
        <f>"0.00"</f>
        <v>0.00</v>
      </c>
      <c r="G479" t="str">
        <f>"382.49"</f>
        <v>382.49</v>
      </c>
      <c r="H479" t="str">
        <f>"0.00"</f>
        <v>0.00</v>
      </c>
      <c r="I479" t="str">
        <f>"222"</f>
        <v>222</v>
      </c>
      <c r="J479" t="str">
        <f>"申购配号(贝斯美)"</f>
        <v>申购配号(贝斯美)</v>
      </c>
      <c r="K479" t="str">
        <f t="shared" si="158"/>
        <v>0.00</v>
      </c>
      <c r="L479" t="str">
        <f t="shared" si="158"/>
        <v>0.00</v>
      </c>
      <c r="M479" t="str">
        <f t="shared" si="158"/>
        <v>0.00</v>
      </c>
      <c r="N479" t="str">
        <f t="shared" si="158"/>
        <v>0.00</v>
      </c>
      <c r="O479" t="str">
        <f>"300796"</f>
        <v>300796</v>
      </c>
      <c r="P479" t="str">
        <f t="shared" si="159"/>
        <v>0153613480</v>
      </c>
    </row>
    <row r="480" spans="1:16" x14ac:dyDescent="0.25">
      <c r="A480" t="str">
        <f t="shared" si="148"/>
        <v>人民币</v>
      </c>
      <c r="B480" t="str">
        <f>"指南针"</f>
        <v>指南针</v>
      </c>
      <c r="C480" t="str">
        <f>"20191106"</f>
        <v>20191106</v>
      </c>
      <c r="D480" t="str">
        <f>"0.000"</f>
        <v>0.000</v>
      </c>
      <c r="E480" t="str">
        <f>"34.00"</f>
        <v>34.00</v>
      </c>
      <c r="F480" t="str">
        <f>"0.00"</f>
        <v>0.00</v>
      </c>
      <c r="G480" t="str">
        <f>"13714.14"</f>
        <v>13714.14</v>
      </c>
      <c r="H480" t="str">
        <f>"0.00"</f>
        <v>0.00</v>
      </c>
      <c r="I480" t="str">
        <f>"226"</f>
        <v>226</v>
      </c>
      <c r="J480" t="str">
        <f>"申购配号(指南针)"</f>
        <v>申购配号(指南针)</v>
      </c>
      <c r="K480" t="str">
        <f t="shared" si="158"/>
        <v>0.00</v>
      </c>
      <c r="L480" t="str">
        <f t="shared" si="158"/>
        <v>0.00</v>
      </c>
      <c r="M480" t="str">
        <f t="shared" si="158"/>
        <v>0.00</v>
      </c>
      <c r="N480" t="str">
        <f t="shared" si="158"/>
        <v>0.00</v>
      </c>
      <c r="O480" t="str">
        <f>"300803"</f>
        <v>300803</v>
      </c>
      <c r="P480" t="str">
        <f t="shared" si="159"/>
        <v>0153613480</v>
      </c>
    </row>
    <row r="481" spans="1:16" x14ac:dyDescent="0.25">
      <c r="A481" t="str">
        <f t="shared" si="148"/>
        <v>人民币</v>
      </c>
      <c r="B481" t="str">
        <f>"中海达"</f>
        <v>中海达</v>
      </c>
      <c r="C481" t="str">
        <f>"20191106"</f>
        <v>20191106</v>
      </c>
      <c r="D481" t="str">
        <f>"8.900"</f>
        <v>8.900</v>
      </c>
      <c r="E481" t="str">
        <f>"-1500.00"</f>
        <v>-1500.00</v>
      </c>
      <c r="F481" t="str">
        <f>"13331.65"</f>
        <v>13331.65</v>
      </c>
      <c r="G481" t="str">
        <f>"13714.14"</f>
        <v>13714.14</v>
      </c>
      <c r="H481" t="str">
        <f>"7000.00"</f>
        <v>7000.00</v>
      </c>
      <c r="I481" t="str">
        <f>"231"</f>
        <v>231</v>
      </c>
      <c r="J481" t="str">
        <f>"证券卖出(中海达)"</f>
        <v>证券卖出(中海达)</v>
      </c>
      <c r="K481" t="str">
        <f>"5.00"</f>
        <v>5.00</v>
      </c>
      <c r="L481" t="str">
        <f>"13.35"</f>
        <v>13.35</v>
      </c>
      <c r="M481" t="str">
        <f t="shared" si="158"/>
        <v>0.00</v>
      </c>
      <c r="N481" t="str">
        <f t="shared" si="158"/>
        <v>0.00</v>
      </c>
      <c r="O481" t="str">
        <f>"300177"</f>
        <v>300177</v>
      </c>
      <c r="P481" t="str">
        <f t="shared" si="159"/>
        <v>0153613480</v>
      </c>
    </row>
    <row r="482" spans="1:16" x14ac:dyDescent="0.25">
      <c r="A482" t="str">
        <f t="shared" si="148"/>
        <v>人民币</v>
      </c>
      <c r="B482" t="str">
        <f>"中海达"</f>
        <v>中海达</v>
      </c>
      <c r="C482" t="str">
        <f t="shared" ref="C482:C487" si="160">"20191107"</f>
        <v>20191107</v>
      </c>
      <c r="D482" t="str">
        <f>"8.920"</f>
        <v>8.920</v>
      </c>
      <c r="E482" t="str">
        <f>"-2000.00"</f>
        <v>-2000.00</v>
      </c>
      <c r="F482" t="str">
        <f>"17816.81"</f>
        <v>17816.81</v>
      </c>
      <c r="G482" t="str">
        <f>"59377.42"</f>
        <v>59377.42</v>
      </c>
      <c r="H482" t="str">
        <f>"0.00"</f>
        <v>0.00</v>
      </c>
      <c r="I482" t="str">
        <f>"252"</f>
        <v>252</v>
      </c>
      <c r="J482" t="str">
        <f>"证券卖出(中海达)"</f>
        <v>证券卖出(中海达)</v>
      </c>
      <c r="K482" t="str">
        <f>"5.35"</f>
        <v>5.35</v>
      </c>
      <c r="L482" t="str">
        <f>"17.84"</f>
        <v>17.84</v>
      </c>
      <c r="M482" t="str">
        <f t="shared" si="158"/>
        <v>0.00</v>
      </c>
      <c r="N482" t="str">
        <f t="shared" si="158"/>
        <v>0.00</v>
      </c>
      <c r="O482" t="str">
        <f>"300177"</f>
        <v>300177</v>
      </c>
      <c r="P482" t="str">
        <f t="shared" si="159"/>
        <v>0153613480</v>
      </c>
    </row>
    <row r="483" spans="1:16" x14ac:dyDescent="0.25">
      <c r="A483" t="str">
        <f t="shared" si="148"/>
        <v>人民币</v>
      </c>
      <c r="B483" t="str">
        <f>"中海达"</f>
        <v>中海达</v>
      </c>
      <c r="C483" t="str">
        <f t="shared" si="160"/>
        <v>20191107</v>
      </c>
      <c r="D483" t="str">
        <f>"8.900"</f>
        <v>8.900</v>
      </c>
      <c r="E483" t="str">
        <f>"-5000.00"</f>
        <v>-5000.00</v>
      </c>
      <c r="F483" t="str">
        <f>"44442.15"</f>
        <v>44442.15</v>
      </c>
      <c r="G483" t="str">
        <f>"41560.61"</f>
        <v>41560.61</v>
      </c>
      <c r="H483" t="str">
        <f>"2000.00"</f>
        <v>2000.00</v>
      </c>
      <c r="I483" t="str">
        <f>"246"</f>
        <v>246</v>
      </c>
      <c r="J483" t="str">
        <f>"证券卖出(中海达)"</f>
        <v>证券卖出(中海达)</v>
      </c>
      <c r="K483" t="str">
        <f>"13.35"</f>
        <v>13.35</v>
      </c>
      <c r="L483" t="str">
        <f>"44.50"</f>
        <v>44.50</v>
      </c>
      <c r="M483" t="str">
        <f t="shared" si="158"/>
        <v>0.00</v>
      </c>
      <c r="N483" t="str">
        <f t="shared" si="158"/>
        <v>0.00</v>
      </c>
      <c r="O483" t="str">
        <f>"300177"</f>
        <v>300177</v>
      </c>
      <c r="P483" t="str">
        <f t="shared" si="159"/>
        <v>0153613480</v>
      </c>
    </row>
    <row r="484" spans="1:16" x14ac:dyDescent="0.25">
      <c r="A484" t="str">
        <f t="shared" si="148"/>
        <v>人民币</v>
      </c>
      <c r="B484" t="str">
        <f>"赛腾股份"</f>
        <v>赛腾股份</v>
      </c>
      <c r="C484" t="str">
        <f t="shared" si="160"/>
        <v>20191107</v>
      </c>
      <c r="D484" t="str">
        <f>"28.000"</f>
        <v>28.000</v>
      </c>
      <c r="E484" t="str">
        <f>"500.00"</f>
        <v>500.00</v>
      </c>
      <c r="F484" t="str">
        <f>"-14005.28"</f>
        <v>-14005.28</v>
      </c>
      <c r="G484" t="str">
        <f>"-2881.54"</f>
        <v>-2881.54</v>
      </c>
      <c r="H484" t="str">
        <f>"1500.00"</f>
        <v>1500.00</v>
      </c>
      <c r="I484" t="str">
        <f>"261"</f>
        <v>261</v>
      </c>
      <c r="J484" t="str">
        <f>"证券买入(赛腾股份)"</f>
        <v>证券买入(赛腾股份)</v>
      </c>
      <c r="K484" t="str">
        <f>"5.00"</f>
        <v>5.00</v>
      </c>
      <c r="L484" t="str">
        <f>"0.00"</f>
        <v>0.00</v>
      </c>
      <c r="M484" t="str">
        <f>"0.28"</f>
        <v>0.28</v>
      </c>
      <c r="N484" t="str">
        <f t="shared" si="158"/>
        <v>0.00</v>
      </c>
      <c r="O484" t="str">
        <f>"603283"</f>
        <v>603283</v>
      </c>
      <c r="P484" t="str">
        <f t="shared" ref="P484:P491" si="161">"A400948245"</f>
        <v>A400948245</v>
      </c>
    </row>
    <row r="485" spans="1:16" x14ac:dyDescent="0.25">
      <c r="A485" t="str">
        <f t="shared" si="148"/>
        <v>人民币</v>
      </c>
      <c r="B485" t="str">
        <f>"赛腾股份"</f>
        <v>赛腾股份</v>
      </c>
      <c r="C485" t="str">
        <f t="shared" si="160"/>
        <v>20191107</v>
      </c>
      <c r="D485" t="str">
        <f>"28.110"</f>
        <v>28.110</v>
      </c>
      <c r="E485" t="str">
        <f>"600.00"</f>
        <v>600.00</v>
      </c>
      <c r="F485" t="str">
        <f>"-16871.40"</f>
        <v>-16871.40</v>
      </c>
      <c r="G485" t="str">
        <f>"11123.74"</f>
        <v>11123.74</v>
      </c>
      <c r="H485" t="str">
        <f>"1000.00"</f>
        <v>1000.00</v>
      </c>
      <c r="I485" t="str">
        <f>"256"</f>
        <v>256</v>
      </c>
      <c r="J485" t="str">
        <f>"证券买入(赛腾股份)"</f>
        <v>证券买入(赛腾股份)</v>
      </c>
      <c r="K485" t="str">
        <f>"5.06"</f>
        <v>5.06</v>
      </c>
      <c r="L485" t="str">
        <f>"0.00"</f>
        <v>0.00</v>
      </c>
      <c r="M485" t="str">
        <f>"0.34"</f>
        <v>0.34</v>
      </c>
      <c r="N485" t="str">
        <f t="shared" si="158"/>
        <v>0.00</v>
      </c>
      <c r="O485" t="str">
        <f>"603283"</f>
        <v>603283</v>
      </c>
      <c r="P485" t="str">
        <f t="shared" si="161"/>
        <v>A400948245</v>
      </c>
    </row>
    <row r="486" spans="1:16" x14ac:dyDescent="0.25">
      <c r="A486" t="str">
        <f t="shared" si="148"/>
        <v>人民币</v>
      </c>
      <c r="B486" t="str">
        <f>"中通国脉"</f>
        <v>中通国脉</v>
      </c>
      <c r="C486" t="str">
        <f t="shared" si="160"/>
        <v>20191107</v>
      </c>
      <c r="D486" t="str">
        <f>"19.680"</f>
        <v>19.680</v>
      </c>
      <c r="E486" t="str">
        <f>"-1300.00"</f>
        <v>-1300.00</v>
      </c>
      <c r="F486" t="str">
        <f>"25550.22"</f>
        <v>25550.22</v>
      </c>
      <c r="G486" t="str">
        <f>"27995.14"</f>
        <v>27995.14</v>
      </c>
      <c r="H486" t="str">
        <f>"3000.00"</f>
        <v>3000.00</v>
      </c>
      <c r="I486" t="str">
        <f>"241"</f>
        <v>241</v>
      </c>
      <c r="J486" t="str">
        <f>"证券卖出(中通国脉)"</f>
        <v>证券卖出(中通国脉)</v>
      </c>
      <c r="K486" t="str">
        <f>"7.68"</f>
        <v>7.68</v>
      </c>
      <c r="L486" t="str">
        <f>"25.58"</f>
        <v>25.58</v>
      </c>
      <c r="M486" t="str">
        <f>"0.52"</f>
        <v>0.52</v>
      </c>
      <c r="N486" t="str">
        <f t="shared" si="158"/>
        <v>0.00</v>
      </c>
      <c r="O486" t="str">
        <f>"603559"</f>
        <v>603559</v>
      </c>
      <c r="P486" t="str">
        <f t="shared" si="161"/>
        <v>A400948245</v>
      </c>
    </row>
    <row r="487" spans="1:16" x14ac:dyDescent="0.25">
      <c r="A487" t="str">
        <f t="shared" si="148"/>
        <v>人民币</v>
      </c>
      <c r="B487" t="str">
        <f>"赛腾股份"</f>
        <v>赛腾股份</v>
      </c>
      <c r="C487" t="str">
        <f t="shared" si="160"/>
        <v>20191107</v>
      </c>
      <c r="D487" t="str">
        <f>"28.160"</f>
        <v>28.160</v>
      </c>
      <c r="E487" t="str">
        <f>"400.00"</f>
        <v>400.00</v>
      </c>
      <c r="F487" t="str">
        <f>"-11269.22"</f>
        <v>-11269.22</v>
      </c>
      <c r="G487" t="str">
        <f>"2444.92"</f>
        <v>2444.92</v>
      </c>
      <c r="H487" t="str">
        <f>"400.00"</f>
        <v>400.00</v>
      </c>
      <c r="I487" t="str">
        <f>"236"</f>
        <v>236</v>
      </c>
      <c r="J487" t="str">
        <f>"证券买入(赛腾股份)"</f>
        <v>证券买入(赛腾股份)</v>
      </c>
      <c r="K487" t="str">
        <f>"5.00"</f>
        <v>5.00</v>
      </c>
      <c r="L487" t="str">
        <f>"0.00"</f>
        <v>0.00</v>
      </c>
      <c r="M487" t="str">
        <f>"0.22"</f>
        <v>0.22</v>
      </c>
      <c r="N487" t="str">
        <f t="shared" si="158"/>
        <v>0.00</v>
      </c>
      <c r="O487" t="str">
        <f>"603283"</f>
        <v>603283</v>
      </c>
      <c r="P487" t="str">
        <f t="shared" si="161"/>
        <v>A400948245</v>
      </c>
    </row>
    <row r="488" spans="1:16" x14ac:dyDescent="0.25">
      <c r="A488" t="str">
        <f t="shared" si="148"/>
        <v>人民币</v>
      </c>
      <c r="B488" t="str">
        <f>"威派格"</f>
        <v>威派格</v>
      </c>
      <c r="C488" t="str">
        <f>"20191108"</f>
        <v>20191108</v>
      </c>
      <c r="D488" t="str">
        <f>"17.590"</f>
        <v>17.590</v>
      </c>
      <c r="E488" t="str">
        <f>"1000.00"</f>
        <v>1000.00</v>
      </c>
      <c r="F488" t="str">
        <f>"-17595.63"</f>
        <v>-17595.63</v>
      </c>
      <c r="G488" t="str">
        <f>"86091.52"</f>
        <v>86091.52</v>
      </c>
      <c r="H488" t="str">
        <f>"1000.00"</f>
        <v>1000.00</v>
      </c>
      <c r="I488" t="str">
        <f>"280"</f>
        <v>280</v>
      </c>
      <c r="J488" t="str">
        <f>"证券买入(威派格)"</f>
        <v>证券买入(威派格)</v>
      </c>
      <c r="K488" t="str">
        <f>"5.28"</f>
        <v>5.28</v>
      </c>
      <c r="L488" t="str">
        <f>"0.00"</f>
        <v>0.00</v>
      </c>
      <c r="M488" t="str">
        <f>"0.35"</f>
        <v>0.35</v>
      </c>
      <c r="N488" t="str">
        <f t="shared" si="158"/>
        <v>0.00</v>
      </c>
      <c r="O488" t="str">
        <f>"603956"</f>
        <v>603956</v>
      </c>
      <c r="P488" t="str">
        <f t="shared" si="161"/>
        <v>A400948245</v>
      </c>
    </row>
    <row r="489" spans="1:16" x14ac:dyDescent="0.25">
      <c r="A489" t="str">
        <f t="shared" si="148"/>
        <v>人民币</v>
      </c>
      <c r="B489" t="str">
        <f>"赛腾股份"</f>
        <v>赛腾股份</v>
      </c>
      <c r="C489" t="str">
        <f>"20191108"</f>
        <v>20191108</v>
      </c>
      <c r="D489" t="str">
        <f>"29.760"</f>
        <v>29.760</v>
      </c>
      <c r="E489" t="str">
        <f>"-500.00"</f>
        <v>-500.00</v>
      </c>
      <c r="F489" t="str">
        <f>"14859.82"</f>
        <v>14859.82</v>
      </c>
      <c r="G489" t="str">
        <f>"103687.15"</f>
        <v>103687.15</v>
      </c>
      <c r="H489" t="str">
        <f>"0.00"</f>
        <v>0.00</v>
      </c>
      <c r="I489" t="str">
        <f>"276"</f>
        <v>276</v>
      </c>
      <c r="J489" t="str">
        <f>"证券卖出(赛腾股份)"</f>
        <v>证券卖出(赛腾股份)</v>
      </c>
      <c r="K489" t="str">
        <f t="shared" ref="K489:K495" si="162">"5.00"</f>
        <v>5.00</v>
      </c>
      <c r="L489" t="str">
        <f>"14.88"</f>
        <v>14.88</v>
      </c>
      <c r="M489" t="str">
        <f>"0.30"</f>
        <v>0.30</v>
      </c>
      <c r="N489" t="str">
        <f t="shared" si="158"/>
        <v>0.00</v>
      </c>
      <c r="O489" t="str">
        <f>"603283"</f>
        <v>603283</v>
      </c>
      <c r="P489" t="str">
        <f t="shared" si="161"/>
        <v>A400948245</v>
      </c>
    </row>
    <row r="490" spans="1:16" x14ac:dyDescent="0.25">
      <c r="A490" t="str">
        <f t="shared" si="148"/>
        <v>人民币</v>
      </c>
      <c r="B490" t="str">
        <f>"赛腾股份"</f>
        <v>赛腾股份</v>
      </c>
      <c r="C490" t="str">
        <f>"20191108"</f>
        <v>20191108</v>
      </c>
      <c r="D490" t="str">
        <f>"29.610"</f>
        <v>29.610</v>
      </c>
      <c r="E490" t="str">
        <f>"-500.00"</f>
        <v>-500.00</v>
      </c>
      <c r="F490" t="str">
        <f>"14784.89"</f>
        <v>14784.89</v>
      </c>
      <c r="G490" t="str">
        <f>"88827.33"</f>
        <v>88827.33</v>
      </c>
      <c r="H490" t="str">
        <f>"500.00"</f>
        <v>500.00</v>
      </c>
      <c r="I490" t="str">
        <f>"273"</f>
        <v>273</v>
      </c>
      <c r="J490" t="str">
        <f>"证券卖出(赛腾股份)"</f>
        <v>证券卖出(赛腾股份)</v>
      </c>
      <c r="K490" t="str">
        <f t="shared" si="162"/>
        <v>5.00</v>
      </c>
      <c r="L490" t="str">
        <f>"14.81"</f>
        <v>14.81</v>
      </c>
      <c r="M490" t="str">
        <f>"0.30"</f>
        <v>0.30</v>
      </c>
      <c r="N490" t="str">
        <f t="shared" si="158"/>
        <v>0.00</v>
      </c>
      <c r="O490" t="str">
        <f>"603283"</f>
        <v>603283</v>
      </c>
      <c r="P490" t="str">
        <f t="shared" si="161"/>
        <v>A400948245</v>
      </c>
    </row>
    <row r="491" spans="1:16" x14ac:dyDescent="0.25">
      <c r="A491" t="str">
        <f t="shared" si="148"/>
        <v>人民币</v>
      </c>
      <c r="B491" t="str">
        <f>"赛腾股份"</f>
        <v>赛腾股份</v>
      </c>
      <c r="C491" t="str">
        <f>"20191108"</f>
        <v>20191108</v>
      </c>
      <c r="D491" t="str">
        <f>"29.370"</f>
        <v>29.370</v>
      </c>
      <c r="E491" t="str">
        <f>"-500.00"</f>
        <v>-500.00</v>
      </c>
      <c r="F491" t="str">
        <f>"14665.02"</f>
        <v>14665.02</v>
      </c>
      <c r="G491" t="str">
        <f>"74042.44"</f>
        <v>74042.44</v>
      </c>
      <c r="H491" t="str">
        <f>"1000.00"</f>
        <v>1000.00</v>
      </c>
      <c r="I491" t="str">
        <f>"270"</f>
        <v>270</v>
      </c>
      <c r="J491" t="str">
        <f>"证券卖出(赛腾股份)"</f>
        <v>证券卖出(赛腾股份)</v>
      </c>
      <c r="K491" t="str">
        <f t="shared" si="162"/>
        <v>5.00</v>
      </c>
      <c r="L491" t="str">
        <f>"14.69"</f>
        <v>14.69</v>
      </c>
      <c r="M491" t="str">
        <f>"0.29"</f>
        <v>0.29</v>
      </c>
      <c r="N491" t="str">
        <f t="shared" si="158"/>
        <v>0.00</v>
      </c>
      <c r="O491" t="str">
        <f>"603283"</f>
        <v>603283</v>
      </c>
      <c r="P491" t="str">
        <f t="shared" si="161"/>
        <v>A400948245</v>
      </c>
    </row>
    <row r="492" spans="1:16" ht="13.2" customHeight="1" x14ac:dyDescent="0.25">
      <c r="A492" t="str">
        <f t="shared" ref="A492:A555" si="163">"人民币"</f>
        <v>人民币</v>
      </c>
      <c r="B492" t="str">
        <f>"东港股份"</f>
        <v>东港股份</v>
      </c>
      <c r="C492" t="str">
        <f>"20191111"</f>
        <v>20191111</v>
      </c>
      <c r="D492" t="str">
        <f>"12.890"</f>
        <v>12.890</v>
      </c>
      <c r="E492" t="str">
        <f>"800.00"</f>
        <v>800.00</v>
      </c>
      <c r="F492" t="str">
        <f>"-10317.00"</f>
        <v>-10317.00</v>
      </c>
      <c r="G492" t="str">
        <f>"13933.29"</f>
        <v>13933.29</v>
      </c>
      <c r="H492" t="str">
        <f>"800.00"</f>
        <v>800.00</v>
      </c>
      <c r="I492" t="str">
        <f>"321"</f>
        <v>321</v>
      </c>
      <c r="J492" t="str">
        <f>"证券买入(东港股份)"</f>
        <v>证券买入(东港股份)</v>
      </c>
      <c r="K492" t="str">
        <f t="shared" si="162"/>
        <v>5.00</v>
      </c>
      <c r="L492" t="str">
        <f t="shared" ref="L492:N495" si="164">"0.00"</f>
        <v>0.00</v>
      </c>
      <c r="M492" t="str">
        <f t="shared" si="164"/>
        <v>0.00</v>
      </c>
      <c r="N492" t="str">
        <f t="shared" si="164"/>
        <v>0.00</v>
      </c>
      <c r="O492" t="str">
        <f>"002117"</f>
        <v>002117</v>
      </c>
      <c r="P492" t="str">
        <f>"0153613480"</f>
        <v>0153613480</v>
      </c>
    </row>
    <row r="493" spans="1:16" x14ac:dyDescent="0.25">
      <c r="A493" t="str">
        <f t="shared" si="163"/>
        <v>人民币</v>
      </c>
      <c r="B493" t="str">
        <f>"硕贝德"</f>
        <v>硕贝德</v>
      </c>
      <c r="C493" t="str">
        <f>"20191111"</f>
        <v>20191111</v>
      </c>
      <c r="D493" t="str">
        <f>"22.500"</f>
        <v>22.500</v>
      </c>
      <c r="E493" t="str">
        <f>"600.00"</f>
        <v>600.00</v>
      </c>
      <c r="F493" t="str">
        <f>"-13505.00"</f>
        <v>-13505.00</v>
      </c>
      <c r="G493" t="str">
        <f>"24250.29"</f>
        <v>24250.29</v>
      </c>
      <c r="H493" t="str">
        <f>"1600.00"</f>
        <v>1600.00</v>
      </c>
      <c r="I493" t="str">
        <f>"315"</f>
        <v>315</v>
      </c>
      <c r="J493" t="str">
        <f>"证券买入(硕贝德)"</f>
        <v>证券买入(硕贝德)</v>
      </c>
      <c r="K493" t="str">
        <f t="shared" si="162"/>
        <v>5.00</v>
      </c>
      <c r="L493" t="str">
        <f t="shared" si="164"/>
        <v>0.00</v>
      </c>
      <c r="M493" t="str">
        <f t="shared" si="164"/>
        <v>0.00</v>
      </c>
      <c r="N493" t="str">
        <f t="shared" si="164"/>
        <v>0.00</v>
      </c>
      <c r="O493" t="str">
        <f>"300322"</f>
        <v>300322</v>
      </c>
      <c r="P493" t="str">
        <f>"0153613480"</f>
        <v>0153613480</v>
      </c>
    </row>
    <row r="494" spans="1:16" x14ac:dyDescent="0.25">
      <c r="A494" t="str">
        <f t="shared" si="163"/>
        <v>人民币</v>
      </c>
      <c r="B494" t="str">
        <f>"硕贝德"</f>
        <v>硕贝德</v>
      </c>
      <c r="C494" t="str">
        <f>"20191111"</f>
        <v>20191111</v>
      </c>
      <c r="D494" t="str">
        <f>"22.530"</f>
        <v>22.530</v>
      </c>
      <c r="E494" t="str">
        <f>"300.00"</f>
        <v>300.00</v>
      </c>
      <c r="F494" t="str">
        <f>"-6764.00"</f>
        <v>-6764.00</v>
      </c>
      <c r="G494" t="str">
        <f>"37755.29"</f>
        <v>37755.29</v>
      </c>
      <c r="H494" t="str">
        <f>"1000.00"</f>
        <v>1000.00</v>
      </c>
      <c r="I494" t="str">
        <f>"310"</f>
        <v>310</v>
      </c>
      <c r="J494" t="str">
        <f>"证券买入(硕贝德)"</f>
        <v>证券买入(硕贝德)</v>
      </c>
      <c r="K494" t="str">
        <f t="shared" si="162"/>
        <v>5.00</v>
      </c>
      <c r="L494" t="str">
        <f t="shared" si="164"/>
        <v>0.00</v>
      </c>
      <c r="M494" t="str">
        <f t="shared" si="164"/>
        <v>0.00</v>
      </c>
      <c r="N494" t="str">
        <f t="shared" si="164"/>
        <v>0.00</v>
      </c>
      <c r="O494" t="str">
        <f>"300322"</f>
        <v>300322</v>
      </c>
      <c r="P494" t="str">
        <f>"0153613480"</f>
        <v>0153613480</v>
      </c>
    </row>
    <row r="495" spans="1:16" x14ac:dyDescent="0.25">
      <c r="A495" t="str">
        <f t="shared" si="163"/>
        <v>人民币</v>
      </c>
      <c r="B495" t="str">
        <f>"硕贝德"</f>
        <v>硕贝德</v>
      </c>
      <c r="C495" t="str">
        <f>"20191111"</f>
        <v>20191111</v>
      </c>
      <c r="D495" t="str">
        <f>"22.620"</f>
        <v>22.620</v>
      </c>
      <c r="E495" t="str">
        <f>"700.00"</f>
        <v>700.00</v>
      </c>
      <c r="F495" t="str">
        <f>"-15839.00"</f>
        <v>-15839.00</v>
      </c>
      <c r="G495" t="str">
        <f>"44519.29"</f>
        <v>44519.29</v>
      </c>
      <c r="H495" t="str">
        <f>"700.00"</f>
        <v>700.00</v>
      </c>
      <c r="I495" t="str">
        <f>"295"</f>
        <v>295</v>
      </c>
      <c r="J495" t="str">
        <f>"证券买入(硕贝德)"</f>
        <v>证券买入(硕贝德)</v>
      </c>
      <c r="K495" t="str">
        <f t="shared" si="162"/>
        <v>5.00</v>
      </c>
      <c r="L495" t="str">
        <f t="shared" si="164"/>
        <v>0.00</v>
      </c>
      <c r="M495" t="str">
        <f t="shared" si="164"/>
        <v>0.00</v>
      </c>
      <c r="N495" t="str">
        <f t="shared" si="164"/>
        <v>0.00</v>
      </c>
      <c r="O495" t="str">
        <f>"300322"</f>
        <v>300322</v>
      </c>
      <c r="P495" t="str">
        <f>"0153613480"</f>
        <v>0153613480</v>
      </c>
    </row>
    <row r="496" spans="1:16" x14ac:dyDescent="0.25">
      <c r="A496" t="str">
        <f t="shared" si="163"/>
        <v>人民币</v>
      </c>
      <c r="B496" t="str">
        <f>"威派格"</f>
        <v>威派格</v>
      </c>
      <c r="C496" t="str">
        <f>"20191111"</f>
        <v>20191111</v>
      </c>
      <c r="D496" t="str">
        <f>"17.150"</f>
        <v>17.150</v>
      </c>
      <c r="E496" t="str">
        <f>"1500.00"</f>
        <v>1500.00</v>
      </c>
      <c r="F496" t="str">
        <f>"-25733.23"</f>
        <v>-25733.23</v>
      </c>
      <c r="G496" t="str">
        <f>"60358.29"</f>
        <v>60358.29</v>
      </c>
      <c r="H496" t="str">
        <f>"2500.00"</f>
        <v>2500.00</v>
      </c>
      <c r="I496" t="str">
        <f>"305"</f>
        <v>305</v>
      </c>
      <c r="J496" t="str">
        <f>"证券买入(威派格)"</f>
        <v>证券买入(威派格)</v>
      </c>
      <c r="K496" t="str">
        <f>"7.72"</f>
        <v>7.72</v>
      </c>
      <c r="L496" t="str">
        <f>"0.00"</f>
        <v>0.00</v>
      </c>
      <c r="M496" t="str">
        <f>"0.51"</f>
        <v>0.51</v>
      </c>
      <c r="N496" t="str">
        <f t="shared" ref="N496:N502" si="165">"0.00"</f>
        <v>0.00</v>
      </c>
      <c r="O496" t="str">
        <f>"603956"</f>
        <v>603956</v>
      </c>
      <c r="P496" t="str">
        <f>"A400948245"</f>
        <v>A400948245</v>
      </c>
    </row>
    <row r="497" spans="1:16" x14ac:dyDescent="0.25">
      <c r="A497" t="str">
        <f t="shared" si="163"/>
        <v>人民币</v>
      </c>
      <c r="B497" t="str">
        <f>"电声股份"</f>
        <v>电声股份</v>
      </c>
      <c r="C497" t="str">
        <f t="shared" ref="C497:C503" si="166">"20191112"</f>
        <v>20191112</v>
      </c>
      <c r="D497" t="str">
        <f>"0.000"</f>
        <v>0.000</v>
      </c>
      <c r="E497" t="str">
        <f>"25.00"</f>
        <v>25.00</v>
      </c>
      <c r="F497" t="str">
        <f>"0.00"</f>
        <v>0.00</v>
      </c>
      <c r="G497" t="str">
        <f>"58061.47"</f>
        <v>58061.47</v>
      </c>
      <c r="H497" t="str">
        <f>"0.00"</f>
        <v>0.00</v>
      </c>
      <c r="I497" t="str">
        <f>"345"</f>
        <v>345</v>
      </c>
      <c r="J497" t="str">
        <f>"申购配号(电声股份)"</f>
        <v>申购配号(电声股份)</v>
      </c>
      <c r="K497" t="str">
        <f>"0.00"</f>
        <v>0.00</v>
      </c>
      <c r="L497" t="str">
        <f>"0.00"</f>
        <v>0.00</v>
      </c>
      <c r="M497" t="str">
        <f>"0.00"</f>
        <v>0.00</v>
      </c>
      <c r="N497" t="str">
        <f t="shared" si="165"/>
        <v>0.00</v>
      </c>
      <c r="O497" t="str">
        <f>"300805"</f>
        <v>300805</v>
      </c>
      <c r="P497" t="str">
        <f>"0153613480"</f>
        <v>0153613480</v>
      </c>
    </row>
    <row r="498" spans="1:16" x14ac:dyDescent="0.25">
      <c r="A498" t="str">
        <f t="shared" si="163"/>
        <v>人民币</v>
      </c>
      <c r="B498" t="str">
        <f>"锦鸡股份"</f>
        <v>锦鸡股份</v>
      </c>
      <c r="C498" t="str">
        <f t="shared" si="166"/>
        <v>20191112</v>
      </c>
      <c r="D498" t="str">
        <f>"0.000"</f>
        <v>0.000</v>
      </c>
      <c r="E498" t="str">
        <f>"25.00"</f>
        <v>25.00</v>
      </c>
      <c r="F498" t="str">
        <f>"0.00"</f>
        <v>0.00</v>
      </c>
      <c r="G498" t="str">
        <f>"58061.47"</f>
        <v>58061.47</v>
      </c>
      <c r="H498" t="str">
        <f>"0.00"</f>
        <v>0.00</v>
      </c>
      <c r="I498" t="str">
        <f>"347"</f>
        <v>347</v>
      </c>
      <c r="J498" t="str">
        <f>"申购配号(锦鸡股份)"</f>
        <v>申购配号(锦鸡股份)</v>
      </c>
      <c r="K498" t="str">
        <f>"0.00"</f>
        <v>0.00</v>
      </c>
      <c r="L498" t="str">
        <f>"0.00"</f>
        <v>0.00</v>
      </c>
      <c r="M498" t="str">
        <f>"0.00"</f>
        <v>0.00</v>
      </c>
      <c r="N498" t="str">
        <f t="shared" si="165"/>
        <v>0.00</v>
      </c>
      <c r="O498" t="str">
        <f>"300798"</f>
        <v>300798</v>
      </c>
      <c r="P498" t="str">
        <f>"0153613480"</f>
        <v>0153613480</v>
      </c>
    </row>
    <row r="499" spans="1:16" x14ac:dyDescent="0.25">
      <c r="A499" t="str">
        <f t="shared" si="163"/>
        <v>人民币</v>
      </c>
      <c r="B499" t="str">
        <f>"硕贝德"</f>
        <v>硕贝德</v>
      </c>
      <c r="C499" t="str">
        <f t="shared" si="166"/>
        <v>20191112</v>
      </c>
      <c r="D499" t="str">
        <f>"22.840"</f>
        <v>22.840</v>
      </c>
      <c r="E499" t="str">
        <f>"-1200.00"</f>
        <v>-1200.00</v>
      </c>
      <c r="F499" t="str">
        <f>"27372.36"</f>
        <v>27372.36</v>
      </c>
      <c r="G499" t="str">
        <f>"58061.47"</f>
        <v>58061.47</v>
      </c>
      <c r="H499" t="str">
        <f>"400.00"</f>
        <v>400.00</v>
      </c>
      <c r="I499" t="str">
        <f>"356"</f>
        <v>356</v>
      </c>
      <c r="J499" t="str">
        <f>"证券卖出(硕贝德)"</f>
        <v>证券卖出(硕贝德)</v>
      </c>
      <c r="K499" t="str">
        <f>"8.23"</f>
        <v>8.23</v>
      </c>
      <c r="L499" t="str">
        <f>"27.41"</f>
        <v>27.41</v>
      </c>
      <c r="M499" t="str">
        <f>"0.00"</f>
        <v>0.00</v>
      </c>
      <c r="N499" t="str">
        <f t="shared" si="165"/>
        <v>0.00</v>
      </c>
      <c r="O499" t="str">
        <f>"300322"</f>
        <v>300322</v>
      </c>
      <c r="P499" t="str">
        <f>"0153613480"</f>
        <v>0153613480</v>
      </c>
    </row>
    <row r="500" spans="1:16" x14ac:dyDescent="0.25">
      <c r="A500" t="str">
        <f t="shared" si="163"/>
        <v>人民币</v>
      </c>
      <c r="B500" t="str">
        <f>"硕贝德"</f>
        <v>硕贝德</v>
      </c>
      <c r="C500" t="str">
        <f t="shared" si="166"/>
        <v>20191112</v>
      </c>
      <c r="D500" t="str">
        <f>"22.820"</f>
        <v>22.820</v>
      </c>
      <c r="E500" t="str">
        <f>"-400.00"</f>
        <v>-400.00</v>
      </c>
      <c r="F500" t="str">
        <f>"9113.87"</f>
        <v>9113.87</v>
      </c>
      <c r="G500" t="str">
        <f>"30689.11"</f>
        <v>30689.11</v>
      </c>
      <c r="H500" t="str">
        <f>"1600.00"</f>
        <v>1600.00</v>
      </c>
      <c r="I500" t="str">
        <f>"353"</f>
        <v>353</v>
      </c>
      <c r="J500" t="str">
        <f>"证券卖出(硕贝德)"</f>
        <v>证券卖出(硕贝德)</v>
      </c>
      <c r="K500" t="str">
        <f>"5.00"</f>
        <v>5.00</v>
      </c>
      <c r="L500" t="str">
        <f>"9.13"</f>
        <v>9.13</v>
      </c>
      <c r="M500" t="str">
        <f>"0.00"</f>
        <v>0.00</v>
      </c>
      <c r="N500" t="str">
        <f t="shared" si="165"/>
        <v>0.00</v>
      </c>
      <c r="O500" t="str">
        <f>"300322"</f>
        <v>300322</v>
      </c>
      <c r="P500" t="str">
        <f>"0153613480"</f>
        <v>0153613480</v>
      </c>
    </row>
    <row r="501" spans="1:16" x14ac:dyDescent="0.25">
      <c r="A501" t="str">
        <f t="shared" si="163"/>
        <v>人民币</v>
      </c>
      <c r="B501" t="str">
        <f>"硕贝德"</f>
        <v>硕贝德</v>
      </c>
      <c r="C501" t="str">
        <f t="shared" si="166"/>
        <v>20191112</v>
      </c>
      <c r="D501" t="str">
        <f>"22.170"</f>
        <v>22.170</v>
      </c>
      <c r="E501" t="str">
        <f>"400.00"</f>
        <v>400.00</v>
      </c>
      <c r="F501" t="str">
        <f>"-8873.00"</f>
        <v>-8873.00</v>
      </c>
      <c r="G501" t="str">
        <f>"21575.24"</f>
        <v>21575.24</v>
      </c>
      <c r="H501" t="str">
        <f>"2000.00"</f>
        <v>2000.00</v>
      </c>
      <c r="I501" t="str">
        <f>"341"</f>
        <v>341</v>
      </c>
      <c r="J501" t="str">
        <f>"证券买入(硕贝德)"</f>
        <v>证券买入(硕贝德)</v>
      </c>
      <c r="K501" t="str">
        <f>"5.00"</f>
        <v>5.00</v>
      </c>
      <c r="L501" t="str">
        <f>"0.00"</f>
        <v>0.00</v>
      </c>
      <c r="M501" t="str">
        <f>"0.00"</f>
        <v>0.00</v>
      </c>
      <c r="N501" t="str">
        <f t="shared" si="165"/>
        <v>0.00</v>
      </c>
      <c r="O501" t="str">
        <f>"300322"</f>
        <v>300322</v>
      </c>
      <c r="P501" t="str">
        <f>"0153613480"</f>
        <v>0153613480</v>
      </c>
    </row>
    <row r="502" spans="1:16" x14ac:dyDescent="0.25">
      <c r="A502" t="str">
        <f t="shared" si="163"/>
        <v>人民币</v>
      </c>
      <c r="B502" t="str">
        <f>"威派格"</f>
        <v>威派格</v>
      </c>
      <c r="C502" t="str">
        <f t="shared" si="166"/>
        <v>20191112</v>
      </c>
      <c r="D502" t="str">
        <f>"17.700"</f>
        <v>17.700</v>
      </c>
      <c r="E502" t="str">
        <f>"-1500.00"</f>
        <v>-1500.00</v>
      </c>
      <c r="F502" t="str">
        <f>"26514.95"</f>
        <v>26514.95</v>
      </c>
      <c r="G502" t="str">
        <f>"30448.24"</f>
        <v>30448.24</v>
      </c>
      <c r="H502" t="str">
        <f>"1000.00"</f>
        <v>1000.00</v>
      </c>
      <c r="I502" t="str">
        <f>"332"</f>
        <v>332</v>
      </c>
      <c r="J502" t="str">
        <f>"证券卖出(威派格)"</f>
        <v>证券卖出(威派格)</v>
      </c>
      <c r="K502" t="str">
        <f>"7.97"</f>
        <v>7.97</v>
      </c>
      <c r="L502" t="str">
        <f>"26.55"</f>
        <v>26.55</v>
      </c>
      <c r="M502" t="str">
        <f>"0.53"</f>
        <v>0.53</v>
      </c>
      <c r="N502" t="str">
        <f t="shared" si="165"/>
        <v>0.00</v>
      </c>
      <c r="O502" t="str">
        <f>"603956"</f>
        <v>603956</v>
      </c>
      <c r="P502" t="str">
        <f>"A400948245"</f>
        <v>A400948245</v>
      </c>
    </row>
    <row r="503" spans="1:16" x14ac:dyDescent="0.25">
      <c r="A503" t="str">
        <f t="shared" si="163"/>
        <v>人民币</v>
      </c>
      <c r="B503" t="str">
        <f>""</f>
        <v/>
      </c>
      <c r="C503" t="str">
        <f t="shared" si="166"/>
        <v>20191112</v>
      </c>
      <c r="D503" t="str">
        <f>"---"</f>
        <v>---</v>
      </c>
      <c r="E503" t="str">
        <f>"---"</f>
        <v>---</v>
      </c>
      <c r="F503" t="str">
        <f>"-10000.00"</f>
        <v>-10000.00</v>
      </c>
      <c r="G503" t="str">
        <f>"3933.29"</f>
        <v>3933.29</v>
      </c>
      <c r="H503" t="str">
        <f>"---"</f>
        <v>---</v>
      </c>
      <c r="I503" t="str">
        <f>"---"</f>
        <v>---</v>
      </c>
      <c r="J503" t="str">
        <f>"银行转取"</f>
        <v>银行转取</v>
      </c>
      <c r="K503" t="str">
        <f t="shared" ref="K503:P503" si="167">"---"</f>
        <v>---</v>
      </c>
      <c r="L503" t="str">
        <f t="shared" si="167"/>
        <v>---</v>
      </c>
      <c r="M503" t="str">
        <f t="shared" si="167"/>
        <v>---</v>
      </c>
      <c r="N503" t="str">
        <f t="shared" si="167"/>
        <v>---</v>
      </c>
      <c r="O503" t="str">
        <f t="shared" si="167"/>
        <v>---</v>
      </c>
      <c r="P503" t="str">
        <f t="shared" si="167"/>
        <v>---</v>
      </c>
    </row>
    <row r="504" spans="1:16" x14ac:dyDescent="0.25">
      <c r="A504" t="str">
        <f t="shared" si="163"/>
        <v>人民币</v>
      </c>
      <c r="B504" t="str">
        <f>"斯迪克"</f>
        <v>斯迪克</v>
      </c>
      <c r="C504" t="str">
        <f t="shared" ref="C504:C511" si="168">"20191113"</f>
        <v>20191113</v>
      </c>
      <c r="D504" t="str">
        <f>"0.000"</f>
        <v>0.000</v>
      </c>
      <c r="E504" t="str">
        <f>"23.00"</f>
        <v>23.00</v>
      </c>
      <c r="F504" t="str">
        <f>"0.00"</f>
        <v>0.00</v>
      </c>
      <c r="G504" t="str">
        <f>"42903.78"</f>
        <v>42903.78</v>
      </c>
      <c r="H504" t="str">
        <f>"0.00"</f>
        <v>0.00</v>
      </c>
      <c r="I504" t="str">
        <f>"365"</f>
        <v>365</v>
      </c>
      <c r="J504" t="str">
        <f>"申购配号(斯迪克)"</f>
        <v>申购配号(斯迪克)</v>
      </c>
      <c r="K504" t="str">
        <f>"0.00"</f>
        <v>0.00</v>
      </c>
      <c r="L504" t="str">
        <f>"0.00"</f>
        <v>0.00</v>
      </c>
      <c r="M504" t="str">
        <f>"0.00"</f>
        <v>0.00</v>
      </c>
      <c r="N504" t="str">
        <f>"0.00"</f>
        <v>0.00</v>
      </c>
      <c r="O504" t="str">
        <f>"300806"</f>
        <v>300806</v>
      </c>
      <c r="P504" t="str">
        <f>"0153613480"</f>
        <v>0153613480</v>
      </c>
    </row>
    <row r="505" spans="1:16" x14ac:dyDescent="0.25">
      <c r="A505" t="str">
        <f t="shared" si="163"/>
        <v>人民币</v>
      </c>
      <c r="B505" t="str">
        <f>"东港股份"</f>
        <v>东港股份</v>
      </c>
      <c r="C505" t="str">
        <f t="shared" si="168"/>
        <v>20191113</v>
      </c>
      <c r="D505" t="str">
        <f>"12.090"</f>
        <v>12.090</v>
      </c>
      <c r="E505" t="str">
        <f>"400.00"</f>
        <v>400.00</v>
      </c>
      <c r="F505" t="str">
        <f>"-4841.00"</f>
        <v>-4841.00</v>
      </c>
      <c r="G505" t="str">
        <f>"42903.78"</f>
        <v>42903.78</v>
      </c>
      <c r="H505" t="str">
        <f>"2400.00"</f>
        <v>2400.00</v>
      </c>
      <c r="I505" t="str">
        <f>"387"</f>
        <v>387</v>
      </c>
      <c r="J505" t="str">
        <f>"证券买入(东港股份)"</f>
        <v>证券买入(东港股份)</v>
      </c>
      <c r="K505" t="str">
        <f>"5.00"</f>
        <v>5.00</v>
      </c>
      <c r="L505" t="str">
        <f t="shared" ref="L505:N507" si="169">"0.00"</f>
        <v>0.00</v>
      </c>
      <c r="M505" t="str">
        <f t="shared" si="169"/>
        <v>0.00</v>
      </c>
      <c r="N505" t="str">
        <f t="shared" si="169"/>
        <v>0.00</v>
      </c>
      <c r="O505" t="str">
        <f>"002117"</f>
        <v>002117</v>
      </c>
      <c r="P505" t="str">
        <f>"0153613480"</f>
        <v>0153613480</v>
      </c>
    </row>
    <row r="506" spans="1:16" x14ac:dyDescent="0.25">
      <c r="A506" t="str">
        <f t="shared" si="163"/>
        <v>人民币</v>
      </c>
      <c r="B506" t="str">
        <f>"东港股份"</f>
        <v>东港股份</v>
      </c>
      <c r="C506" t="str">
        <f t="shared" si="168"/>
        <v>20191113</v>
      </c>
      <c r="D506" t="str">
        <f>"12.080"</f>
        <v>12.080</v>
      </c>
      <c r="E506" t="str">
        <f>"400.00"</f>
        <v>400.00</v>
      </c>
      <c r="F506" t="str">
        <f>"-4837.00"</f>
        <v>-4837.00</v>
      </c>
      <c r="G506" t="str">
        <f>"47744.78"</f>
        <v>47744.78</v>
      </c>
      <c r="H506" t="str">
        <f>"2000.00"</f>
        <v>2000.00</v>
      </c>
      <c r="I506" t="str">
        <f>"383"</f>
        <v>383</v>
      </c>
      <c r="J506" t="str">
        <f>"证券买入(东港股份)"</f>
        <v>证券买入(东港股份)</v>
      </c>
      <c r="K506" t="str">
        <f>"5.00"</f>
        <v>5.00</v>
      </c>
      <c r="L506" t="str">
        <f t="shared" si="169"/>
        <v>0.00</v>
      </c>
      <c r="M506" t="str">
        <f t="shared" si="169"/>
        <v>0.00</v>
      </c>
      <c r="N506" t="str">
        <f t="shared" si="169"/>
        <v>0.00</v>
      </c>
      <c r="O506" t="str">
        <f>"002117"</f>
        <v>002117</v>
      </c>
      <c r="P506" t="str">
        <f>"0153613480"</f>
        <v>0153613480</v>
      </c>
    </row>
    <row r="507" spans="1:16" x14ac:dyDescent="0.25">
      <c r="A507" t="str">
        <f t="shared" si="163"/>
        <v>人民币</v>
      </c>
      <c r="B507" t="str">
        <f>"东港股份"</f>
        <v>东港股份</v>
      </c>
      <c r="C507" t="str">
        <f t="shared" si="168"/>
        <v>20191113</v>
      </c>
      <c r="D507" t="str">
        <f>"12.540"</f>
        <v>12.540</v>
      </c>
      <c r="E507" t="str">
        <f>"800.00"</f>
        <v>800.00</v>
      </c>
      <c r="F507" t="str">
        <f>"-10037.00"</f>
        <v>-10037.00</v>
      </c>
      <c r="G507" t="str">
        <f>"52581.78"</f>
        <v>52581.78</v>
      </c>
      <c r="H507" t="str">
        <f>"1600.00"</f>
        <v>1600.00</v>
      </c>
      <c r="I507" t="str">
        <f>"375"</f>
        <v>375</v>
      </c>
      <c r="J507" t="str">
        <f>"证券买入(东港股份)"</f>
        <v>证券买入(东港股份)</v>
      </c>
      <c r="K507" t="str">
        <f>"5.00"</f>
        <v>5.00</v>
      </c>
      <c r="L507" t="str">
        <f t="shared" si="169"/>
        <v>0.00</v>
      </c>
      <c r="M507" t="str">
        <f t="shared" si="169"/>
        <v>0.00</v>
      </c>
      <c r="N507" t="str">
        <f t="shared" si="169"/>
        <v>0.00</v>
      </c>
      <c r="O507" t="str">
        <f>"002117"</f>
        <v>002117</v>
      </c>
      <c r="P507" t="str">
        <f>"0153613480"</f>
        <v>0153613480</v>
      </c>
    </row>
    <row r="508" spans="1:16" x14ac:dyDescent="0.25">
      <c r="A508" t="str">
        <f t="shared" si="163"/>
        <v>人民币</v>
      </c>
      <c r="B508" t="str">
        <f>"硕贝德"</f>
        <v>硕贝德</v>
      </c>
      <c r="C508" t="str">
        <f t="shared" si="168"/>
        <v>20191113</v>
      </c>
      <c r="D508" t="str">
        <f>"23.280"</f>
        <v>23.280</v>
      </c>
      <c r="E508" t="str">
        <f>"-400.00"</f>
        <v>-400.00</v>
      </c>
      <c r="F508" t="str">
        <f>"9297.69"</f>
        <v>9297.69</v>
      </c>
      <c r="G508" t="str">
        <f>"62618.78"</f>
        <v>62618.78</v>
      </c>
      <c r="H508" t="str">
        <f>"0.00"</f>
        <v>0.00</v>
      </c>
      <c r="I508" t="str">
        <f>"372"</f>
        <v>372</v>
      </c>
      <c r="J508" t="str">
        <f>"证券卖出(硕贝德)"</f>
        <v>证券卖出(硕贝德)</v>
      </c>
      <c r="K508" t="str">
        <f>"5.00"</f>
        <v>5.00</v>
      </c>
      <c r="L508" t="str">
        <f>"9.31"</f>
        <v>9.31</v>
      </c>
      <c r="M508" t="str">
        <f>"0.00"</f>
        <v>0.00</v>
      </c>
      <c r="N508" t="str">
        <f>"0.00"</f>
        <v>0.00</v>
      </c>
      <c r="O508" t="str">
        <f>"300322"</f>
        <v>300322</v>
      </c>
      <c r="P508" t="str">
        <f>"0153613480"</f>
        <v>0153613480</v>
      </c>
    </row>
    <row r="509" spans="1:16" x14ac:dyDescent="0.25">
      <c r="A509" t="str">
        <f t="shared" si="163"/>
        <v>人民币</v>
      </c>
      <c r="B509" t="str">
        <f>"威派格"</f>
        <v>威派格</v>
      </c>
      <c r="C509" t="str">
        <f t="shared" si="168"/>
        <v>20191113</v>
      </c>
      <c r="D509" t="str">
        <f>"17.610"</f>
        <v>17.610</v>
      </c>
      <c r="E509" t="str">
        <f>"-1000.00"</f>
        <v>-1000.00</v>
      </c>
      <c r="F509" t="str">
        <f>"17586.76"</f>
        <v>17586.76</v>
      </c>
      <c r="G509" t="str">
        <f>"53321.09"</f>
        <v>53321.09</v>
      </c>
      <c r="H509" t="str">
        <f>"0.00"</f>
        <v>0.00</v>
      </c>
      <c r="I509" t="str">
        <f>"390"</f>
        <v>390</v>
      </c>
      <c r="J509" t="str">
        <f>"证券卖出(威派格)"</f>
        <v>证券卖出(威派格)</v>
      </c>
      <c r="K509" t="str">
        <f>"5.28"</f>
        <v>5.28</v>
      </c>
      <c r="L509" t="str">
        <f>"17.61"</f>
        <v>17.61</v>
      </c>
      <c r="M509" t="str">
        <f>"0.35"</f>
        <v>0.35</v>
      </c>
      <c r="N509" t="str">
        <f t="shared" ref="N509:N515" si="170">"0.00"</f>
        <v>0.00</v>
      </c>
      <c r="O509" t="str">
        <f>"603956"</f>
        <v>603956</v>
      </c>
      <c r="P509" t="str">
        <f>"A400948245"</f>
        <v>A400948245</v>
      </c>
    </row>
    <row r="510" spans="1:16" x14ac:dyDescent="0.25">
      <c r="A510" t="str">
        <f t="shared" si="163"/>
        <v>人民币</v>
      </c>
      <c r="B510" t="str">
        <f>"中信建投"</f>
        <v>中信建投</v>
      </c>
      <c r="C510" t="str">
        <f t="shared" si="168"/>
        <v>20191113</v>
      </c>
      <c r="D510" t="str">
        <f>"22.320"</f>
        <v>22.320</v>
      </c>
      <c r="E510" t="str">
        <f>"1000.00"</f>
        <v>1000.00</v>
      </c>
      <c r="F510" t="str">
        <f>"-22327.14"</f>
        <v>-22327.14</v>
      </c>
      <c r="G510" t="str">
        <f>"35734.33"</f>
        <v>35734.33</v>
      </c>
      <c r="H510" t="str">
        <f>"1000.00"</f>
        <v>1000.00</v>
      </c>
      <c r="I510" t="str">
        <f>"378"</f>
        <v>378</v>
      </c>
      <c r="J510" t="str">
        <f>"证券买入(中信建投)"</f>
        <v>证券买入(中信建投)</v>
      </c>
      <c r="K510" t="str">
        <f>"6.70"</f>
        <v>6.70</v>
      </c>
      <c r="L510" t="str">
        <f>"0.00"</f>
        <v>0.00</v>
      </c>
      <c r="M510" t="str">
        <f>"0.44"</f>
        <v>0.44</v>
      </c>
      <c r="N510" t="str">
        <f t="shared" si="170"/>
        <v>0.00</v>
      </c>
      <c r="O510" t="str">
        <f>"601066"</f>
        <v>601066</v>
      </c>
      <c r="P510" t="str">
        <f>"A400948245"</f>
        <v>A400948245</v>
      </c>
    </row>
    <row r="511" spans="1:16" x14ac:dyDescent="0.25">
      <c r="A511" t="str">
        <f t="shared" si="163"/>
        <v>人民币</v>
      </c>
      <c r="B511" t="str">
        <f>"通达配号"</f>
        <v>通达配号</v>
      </c>
      <c r="C511" t="str">
        <f t="shared" si="168"/>
        <v>20191113</v>
      </c>
      <c r="D511" t="str">
        <f>"0.000"</f>
        <v>0.000</v>
      </c>
      <c r="E511" t="str">
        <f>"9.00"</f>
        <v>9.00</v>
      </c>
      <c r="F511" t="str">
        <f>"0.00"</f>
        <v>0.00</v>
      </c>
      <c r="G511" t="str">
        <f>"58061.47"</f>
        <v>58061.47</v>
      </c>
      <c r="H511" t="str">
        <f>"0.00"</f>
        <v>0.00</v>
      </c>
      <c r="I511" t="str">
        <f>"367"</f>
        <v>367</v>
      </c>
      <c r="J511" t="str">
        <f>"申购配号(通达配号)"</f>
        <v>申购配号(通达配号)</v>
      </c>
      <c r="K511" t="str">
        <f>"0.00"</f>
        <v>0.00</v>
      </c>
      <c r="L511" t="str">
        <f>"0.00"</f>
        <v>0.00</v>
      </c>
      <c r="M511" t="str">
        <f>"0.00"</f>
        <v>0.00</v>
      </c>
      <c r="N511" t="str">
        <f t="shared" si="170"/>
        <v>0.00</v>
      </c>
      <c r="O511" t="str">
        <f>"736390"</f>
        <v>736390</v>
      </c>
      <c r="P511" t="str">
        <f>"A400948245"</f>
        <v>A400948245</v>
      </c>
    </row>
    <row r="512" spans="1:16" x14ac:dyDescent="0.25">
      <c r="A512" t="str">
        <f t="shared" si="163"/>
        <v>人民币</v>
      </c>
      <c r="B512" t="str">
        <f>"苏奥传感"</f>
        <v>苏奥传感</v>
      </c>
      <c r="C512" t="str">
        <f>"20191114"</f>
        <v>20191114</v>
      </c>
      <c r="D512" t="str">
        <f>"10.970"</f>
        <v>10.970</v>
      </c>
      <c r="E512" t="str">
        <f>"2000.00"</f>
        <v>2000.00</v>
      </c>
      <c r="F512" t="str">
        <f>"-21946.58"</f>
        <v>-21946.58</v>
      </c>
      <c r="G512" t="str">
        <f>"33527.37"</f>
        <v>33527.37</v>
      </c>
      <c r="H512" t="str">
        <f>"2000.00"</f>
        <v>2000.00</v>
      </c>
      <c r="I512" t="str">
        <f>"401"</f>
        <v>401</v>
      </c>
      <c r="J512" t="str">
        <f>"证券买入(苏奥传感)"</f>
        <v>证券买入(苏奥传感)</v>
      </c>
      <c r="K512" t="str">
        <f>"6.58"</f>
        <v>6.58</v>
      </c>
      <c r="L512" t="str">
        <f>"0.00"</f>
        <v>0.00</v>
      </c>
      <c r="M512" t="str">
        <f>"0.00"</f>
        <v>0.00</v>
      </c>
      <c r="N512" t="str">
        <f t="shared" si="170"/>
        <v>0.00</v>
      </c>
      <c r="O512" t="str">
        <f>"300507"</f>
        <v>300507</v>
      </c>
      <c r="P512" t="str">
        <f>"0153613480"</f>
        <v>0153613480</v>
      </c>
    </row>
    <row r="513" spans="1:16" x14ac:dyDescent="0.25">
      <c r="A513" t="str">
        <f t="shared" si="163"/>
        <v>人民币</v>
      </c>
      <c r="B513" t="str">
        <f>"浙银配号"</f>
        <v>浙银配号</v>
      </c>
      <c r="C513" t="str">
        <f>"20191114"</f>
        <v>20191114</v>
      </c>
      <c r="D513" t="str">
        <f>"0.000"</f>
        <v>0.000</v>
      </c>
      <c r="E513" t="str">
        <f>"0.00"</f>
        <v>0.00</v>
      </c>
      <c r="F513" t="str">
        <f>"0.00"</f>
        <v>0.00</v>
      </c>
      <c r="G513" t="str">
        <f>"55473.95"</f>
        <v>55473.95</v>
      </c>
      <c r="H513" t="str">
        <f>"0.00"</f>
        <v>0.00</v>
      </c>
      <c r="I513" t="str">
        <f>"407"</f>
        <v>407</v>
      </c>
      <c r="J513" t="str">
        <f>"申购配号(浙银配号)"</f>
        <v>申购配号(浙银配号)</v>
      </c>
      <c r="K513" t="str">
        <f>"0.00"</f>
        <v>0.00</v>
      </c>
      <c r="L513" t="str">
        <f>"0.00"</f>
        <v>0.00</v>
      </c>
      <c r="M513" t="str">
        <f>"0.00"</f>
        <v>0.00</v>
      </c>
      <c r="N513" t="str">
        <f t="shared" si="170"/>
        <v>0.00</v>
      </c>
      <c r="O513" t="str">
        <f>"791916"</f>
        <v>791916</v>
      </c>
      <c r="P513" t="str">
        <f>"A400948245"</f>
        <v>A400948245</v>
      </c>
    </row>
    <row r="514" spans="1:16" x14ac:dyDescent="0.25">
      <c r="A514" t="str">
        <f t="shared" si="163"/>
        <v>人民币</v>
      </c>
      <c r="B514" t="str">
        <f>"中信建投"</f>
        <v>中信建投</v>
      </c>
      <c r="C514" t="str">
        <f>"20191114"</f>
        <v>20191114</v>
      </c>
      <c r="D514" t="str">
        <f>"22.600"</f>
        <v>22.600</v>
      </c>
      <c r="E514" t="str">
        <f>"-1000.00"</f>
        <v>-1000.00</v>
      </c>
      <c r="F514" t="str">
        <f>"22570.17"</f>
        <v>22570.17</v>
      </c>
      <c r="G514" t="str">
        <f>"55473.95"</f>
        <v>55473.95</v>
      </c>
      <c r="H514" t="str">
        <f>"0.00"</f>
        <v>0.00</v>
      </c>
      <c r="I514" t="str">
        <f>"410"</f>
        <v>410</v>
      </c>
      <c r="J514" t="str">
        <f>"证券卖出(中信建投)"</f>
        <v>证券卖出(中信建投)</v>
      </c>
      <c r="K514" t="str">
        <f>"6.78"</f>
        <v>6.78</v>
      </c>
      <c r="L514" t="str">
        <f>"22.60"</f>
        <v>22.60</v>
      </c>
      <c r="M514" t="str">
        <f>"0.45"</f>
        <v>0.45</v>
      </c>
      <c r="N514" t="str">
        <f t="shared" si="170"/>
        <v>0.00</v>
      </c>
      <c r="O514" t="str">
        <f>"601066"</f>
        <v>601066</v>
      </c>
      <c r="P514" t="str">
        <f>"A400948245"</f>
        <v>A400948245</v>
      </c>
    </row>
    <row r="515" spans="1:16" x14ac:dyDescent="0.25">
      <c r="A515" t="str">
        <f t="shared" si="163"/>
        <v>人民币</v>
      </c>
      <c r="B515" t="str">
        <f>"浙银配号"</f>
        <v>浙银配号</v>
      </c>
      <c r="C515" t="str">
        <f>"20191114"</f>
        <v>20191114</v>
      </c>
      <c r="D515" t="str">
        <f>"0.000"</f>
        <v>0.000</v>
      </c>
      <c r="E515" t="str">
        <f>"9.00"</f>
        <v>9.00</v>
      </c>
      <c r="F515" t="str">
        <f>"0.00"</f>
        <v>0.00</v>
      </c>
      <c r="G515" t="str">
        <f>"32903.78"</f>
        <v>32903.78</v>
      </c>
      <c r="H515" t="str">
        <f>"0.00"</f>
        <v>0.00</v>
      </c>
      <c r="I515" t="str">
        <f>"405"</f>
        <v>405</v>
      </c>
      <c r="J515" t="str">
        <f>"申购配号(浙银配号)"</f>
        <v>申购配号(浙银配号)</v>
      </c>
      <c r="K515" t="str">
        <f>"0.00"</f>
        <v>0.00</v>
      </c>
      <c r="L515" t="str">
        <f>"0.00"</f>
        <v>0.00</v>
      </c>
      <c r="M515" t="str">
        <f>"0.00"</f>
        <v>0.00</v>
      </c>
      <c r="N515" t="str">
        <f t="shared" si="170"/>
        <v>0.00</v>
      </c>
      <c r="O515" t="str">
        <f>"791916"</f>
        <v>791916</v>
      </c>
      <c r="P515" t="str">
        <f>"A400948245"</f>
        <v>A400948245</v>
      </c>
    </row>
    <row r="516" spans="1:16" x14ac:dyDescent="0.25">
      <c r="A516" t="str">
        <f t="shared" si="163"/>
        <v>人民币</v>
      </c>
      <c r="B516" t="str">
        <f>""</f>
        <v/>
      </c>
      <c r="C516" t="str">
        <f>"20191114"</f>
        <v>20191114</v>
      </c>
      <c r="D516" t="str">
        <f>"---"</f>
        <v>---</v>
      </c>
      <c r="E516" t="str">
        <f>"---"</f>
        <v>---</v>
      </c>
      <c r="F516" t="str">
        <f>"-10000.00"</f>
        <v>-10000.00</v>
      </c>
      <c r="G516" t="str">
        <f>"32903.78"</f>
        <v>32903.78</v>
      </c>
      <c r="H516" t="str">
        <f>"---"</f>
        <v>---</v>
      </c>
      <c r="I516" t="str">
        <f>"---"</f>
        <v>---</v>
      </c>
      <c r="J516" t="str">
        <f>"银行转取"</f>
        <v>银行转取</v>
      </c>
      <c r="K516" t="str">
        <f t="shared" ref="K516:P517" si="171">"---"</f>
        <v>---</v>
      </c>
      <c r="L516" t="str">
        <f t="shared" si="171"/>
        <v>---</v>
      </c>
      <c r="M516" t="str">
        <f t="shared" si="171"/>
        <v>---</v>
      </c>
      <c r="N516" t="str">
        <f t="shared" si="171"/>
        <v>---</v>
      </c>
      <c r="O516" t="str">
        <f t="shared" si="171"/>
        <v>---</v>
      </c>
      <c r="P516" t="str">
        <f t="shared" si="171"/>
        <v>---</v>
      </c>
    </row>
    <row r="517" spans="1:16" x14ac:dyDescent="0.25">
      <c r="A517" t="str">
        <f t="shared" si="163"/>
        <v>人民币</v>
      </c>
      <c r="B517" t="str">
        <f>""</f>
        <v/>
      </c>
      <c r="C517" t="str">
        <f>"20191115"</f>
        <v>20191115</v>
      </c>
      <c r="D517" t="str">
        <f>"---"</f>
        <v>---</v>
      </c>
      <c r="E517" t="str">
        <f>"---"</f>
        <v>---</v>
      </c>
      <c r="F517" t="str">
        <f>"-10000.00"</f>
        <v>-10000.00</v>
      </c>
      <c r="G517" t="str">
        <f>"23527.37"</f>
        <v>23527.37</v>
      </c>
      <c r="H517" t="str">
        <f>"---"</f>
        <v>---</v>
      </c>
      <c r="I517" t="str">
        <f>"---"</f>
        <v>---</v>
      </c>
      <c r="J517" t="str">
        <f>"银行转取"</f>
        <v>银行转取</v>
      </c>
      <c r="K517" t="str">
        <f t="shared" si="171"/>
        <v>---</v>
      </c>
      <c r="L517" t="str">
        <f t="shared" si="171"/>
        <v>---</v>
      </c>
      <c r="M517" t="str">
        <f t="shared" si="171"/>
        <v>---</v>
      </c>
      <c r="N517" t="str">
        <f t="shared" si="171"/>
        <v>---</v>
      </c>
      <c r="O517" t="str">
        <f t="shared" si="171"/>
        <v>---</v>
      </c>
      <c r="P517" t="str">
        <f t="shared" si="171"/>
        <v>---</v>
      </c>
    </row>
    <row r="518" spans="1:16" x14ac:dyDescent="0.25">
      <c r="A518" t="str">
        <f t="shared" si="163"/>
        <v>人民币</v>
      </c>
      <c r="B518" t="str">
        <f>"泰和科技"</f>
        <v>泰和科技</v>
      </c>
      <c r="C518" t="str">
        <f>"20191119"</f>
        <v>20191119</v>
      </c>
      <c r="D518" t="str">
        <f>"0.000"</f>
        <v>0.000</v>
      </c>
      <c r="E518" t="str">
        <f>"24.00"</f>
        <v>24.00</v>
      </c>
      <c r="F518" t="str">
        <f>"0.00"</f>
        <v>0.00</v>
      </c>
      <c r="G518" t="str">
        <f>"46058.88"</f>
        <v>46058.88</v>
      </c>
      <c r="H518" t="str">
        <f>"0.00"</f>
        <v>0.00</v>
      </c>
      <c r="I518" t="str">
        <f>"420"</f>
        <v>420</v>
      </c>
      <c r="J518" t="str">
        <f>"申购配号(泰和科技)"</f>
        <v>申购配号(泰和科技)</v>
      </c>
      <c r="K518" t="str">
        <f t="shared" ref="K518:N520" si="172">"0.00"</f>
        <v>0.00</v>
      </c>
      <c r="L518" t="str">
        <f t="shared" si="172"/>
        <v>0.00</v>
      </c>
      <c r="M518" t="str">
        <f t="shared" si="172"/>
        <v>0.00</v>
      </c>
      <c r="N518" t="str">
        <f t="shared" si="172"/>
        <v>0.00</v>
      </c>
      <c r="O518" t="str">
        <f>"300801"</f>
        <v>300801</v>
      </c>
      <c r="P518" t="str">
        <f t="shared" ref="P518:P528" si="173">"0153613480"</f>
        <v>0153613480</v>
      </c>
    </row>
    <row r="519" spans="1:16" x14ac:dyDescent="0.25">
      <c r="A519" t="str">
        <f t="shared" si="163"/>
        <v>人民币</v>
      </c>
      <c r="B519" t="str">
        <f>"久量股份"</f>
        <v>久量股份</v>
      </c>
      <c r="C519" t="str">
        <f>"20191119"</f>
        <v>20191119</v>
      </c>
      <c r="D519" t="str">
        <f>"0.000"</f>
        <v>0.000</v>
      </c>
      <c r="E519" t="str">
        <f>"32.00"</f>
        <v>32.00</v>
      </c>
      <c r="F519" t="str">
        <f>"0.00"</f>
        <v>0.00</v>
      </c>
      <c r="G519" t="str">
        <f>"46058.88"</f>
        <v>46058.88</v>
      </c>
      <c r="H519" t="str">
        <f>"0.00"</f>
        <v>0.00</v>
      </c>
      <c r="I519" t="str">
        <f>"418"</f>
        <v>418</v>
      </c>
      <c r="J519" t="str">
        <f>"申购配号(久量股份)"</f>
        <v>申购配号(久量股份)</v>
      </c>
      <c r="K519" t="str">
        <f t="shared" si="172"/>
        <v>0.00</v>
      </c>
      <c r="L519" t="str">
        <f t="shared" si="172"/>
        <v>0.00</v>
      </c>
      <c r="M519" t="str">
        <f t="shared" si="172"/>
        <v>0.00</v>
      </c>
      <c r="N519" t="str">
        <f t="shared" si="172"/>
        <v>0.00</v>
      </c>
      <c r="O519" t="str">
        <f>"300808"</f>
        <v>300808</v>
      </c>
      <c r="P519" t="str">
        <f t="shared" si="173"/>
        <v>0153613480</v>
      </c>
    </row>
    <row r="520" spans="1:16" x14ac:dyDescent="0.25">
      <c r="A520" t="str">
        <f t="shared" si="163"/>
        <v>人民币</v>
      </c>
      <c r="B520" t="str">
        <f>"嘉美包装"</f>
        <v>嘉美包装</v>
      </c>
      <c r="C520" t="str">
        <f>"20191119"</f>
        <v>20191119</v>
      </c>
      <c r="D520" t="str">
        <f>"0.000"</f>
        <v>0.000</v>
      </c>
      <c r="E520" t="str">
        <f>"35.00"</f>
        <v>35.00</v>
      </c>
      <c r="F520" t="str">
        <f>"0.00"</f>
        <v>0.00</v>
      </c>
      <c r="G520" t="str">
        <f>"46058.88"</f>
        <v>46058.88</v>
      </c>
      <c r="H520" t="str">
        <f>"0.00"</f>
        <v>0.00</v>
      </c>
      <c r="I520" t="str">
        <f>"422"</f>
        <v>422</v>
      </c>
      <c r="J520" t="str">
        <f>"申购配号(嘉美包装)"</f>
        <v>申购配号(嘉美包装)</v>
      </c>
      <c r="K520" t="str">
        <f t="shared" si="172"/>
        <v>0.00</v>
      </c>
      <c r="L520" t="str">
        <f t="shared" si="172"/>
        <v>0.00</v>
      </c>
      <c r="M520" t="str">
        <f t="shared" si="172"/>
        <v>0.00</v>
      </c>
      <c r="N520" t="str">
        <f t="shared" si="172"/>
        <v>0.00</v>
      </c>
      <c r="O520" t="str">
        <f>"002969"</f>
        <v>002969</v>
      </c>
      <c r="P520" t="str">
        <f t="shared" si="173"/>
        <v>0153613480</v>
      </c>
    </row>
    <row r="521" spans="1:16" x14ac:dyDescent="0.25">
      <c r="A521" t="str">
        <f t="shared" si="163"/>
        <v>人民币</v>
      </c>
      <c r="B521" t="str">
        <f>"顺灏股份"</f>
        <v>顺灏股份</v>
      </c>
      <c r="C521" t="str">
        <f>"20191119"</f>
        <v>20191119</v>
      </c>
      <c r="D521" t="str">
        <f>"6.690"</f>
        <v>6.690</v>
      </c>
      <c r="E521" t="str">
        <f>"-5000.00"</f>
        <v>-5000.00</v>
      </c>
      <c r="F521" t="str">
        <f>"33406.51"</f>
        <v>33406.51</v>
      </c>
      <c r="G521" t="str">
        <f>"46058.88"</f>
        <v>46058.88</v>
      </c>
      <c r="H521" t="str">
        <f>"14900.00"</f>
        <v>14900.00</v>
      </c>
      <c r="I521" t="str">
        <f>"427"</f>
        <v>427</v>
      </c>
      <c r="J521" t="str">
        <f>"证券卖出(顺灏股份)"</f>
        <v>证券卖出(顺灏股份)</v>
      </c>
      <c r="K521" t="str">
        <f>"10.04"</f>
        <v>10.04</v>
      </c>
      <c r="L521" t="str">
        <f>"33.45"</f>
        <v>33.45</v>
      </c>
      <c r="M521" t="str">
        <f t="shared" ref="M521:N528" si="174">"0.00"</f>
        <v>0.00</v>
      </c>
      <c r="N521" t="str">
        <f t="shared" si="174"/>
        <v>0.00</v>
      </c>
      <c r="O521" t="str">
        <f>"002565"</f>
        <v>002565</v>
      </c>
      <c r="P521" t="str">
        <f t="shared" si="173"/>
        <v>0153613480</v>
      </c>
    </row>
    <row r="522" spans="1:16" x14ac:dyDescent="0.25">
      <c r="A522" t="str">
        <f t="shared" si="163"/>
        <v>人民币</v>
      </c>
      <c r="B522" t="str">
        <f>"苏奥传感"</f>
        <v>苏奥传感</v>
      </c>
      <c r="C522" t="str">
        <f>"20191119"</f>
        <v>20191119</v>
      </c>
      <c r="D522" t="str">
        <f>"10.870"</f>
        <v>10.870</v>
      </c>
      <c r="E522" t="str">
        <f>"1000.00"</f>
        <v>1000.00</v>
      </c>
      <c r="F522" t="str">
        <f>"-10875.00"</f>
        <v>-10875.00</v>
      </c>
      <c r="G522" t="str">
        <f>"12652.37"</f>
        <v>12652.37</v>
      </c>
      <c r="H522" t="str">
        <f>"3000.00"</f>
        <v>3000.00</v>
      </c>
      <c r="I522" t="str">
        <f>"424"</f>
        <v>424</v>
      </c>
      <c r="J522" t="str">
        <f>"证券买入(苏奥传感)"</f>
        <v>证券买入(苏奥传感)</v>
      </c>
      <c r="K522" t="str">
        <f>"5.00"</f>
        <v>5.00</v>
      </c>
      <c r="L522" t="str">
        <f>"0.00"</f>
        <v>0.00</v>
      </c>
      <c r="M522" t="str">
        <f t="shared" si="174"/>
        <v>0.00</v>
      </c>
      <c r="N522" t="str">
        <f t="shared" si="174"/>
        <v>0.00</v>
      </c>
      <c r="O522" t="str">
        <f>"300507"</f>
        <v>300507</v>
      </c>
      <c r="P522" t="str">
        <f t="shared" si="173"/>
        <v>0153613480</v>
      </c>
    </row>
    <row r="523" spans="1:16" x14ac:dyDescent="0.25">
      <c r="A523" t="str">
        <f t="shared" si="163"/>
        <v>人民币</v>
      </c>
      <c r="B523" t="str">
        <f>"新大正"</f>
        <v>新大正</v>
      </c>
      <c r="C523" t="str">
        <f>"20191120"</f>
        <v>20191120</v>
      </c>
      <c r="D523" t="str">
        <f>"0.000"</f>
        <v>0.000</v>
      </c>
      <c r="E523" t="str">
        <f>"35.00"</f>
        <v>35.00</v>
      </c>
      <c r="F523" t="str">
        <f>"0.00"</f>
        <v>0.00</v>
      </c>
      <c r="G523" t="str">
        <f>"46058.88"</f>
        <v>46058.88</v>
      </c>
      <c r="H523" t="str">
        <f>"0.00"</f>
        <v>0.00</v>
      </c>
      <c r="I523" t="str">
        <f>"440"</f>
        <v>440</v>
      </c>
      <c r="J523" t="str">
        <f>"申购配号(新大正)"</f>
        <v>申购配号(新大正)</v>
      </c>
      <c r="K523" t="str">
        <f>"0.00"</f>
        <v>0.00</v>
      </c>
      <c r="L523" t="str">
        <f>"0.00"</f>
        <v>0.00</v>
      </c>
      <c r="M523" t="str">
        <f t="shared" si="174"/>
        <v>0.00</v>
      </c>
      <c r="N523" t="str">
        <f t="shared" si="174"/>
        <v>0.00</v>
      </c>
      <c r="O523" t="str">
        <f>"002968"</f>
        <v>002968</v>
      </c>
      <c r="P523" t="str">
        <f t="shared" si="173"/>
        <v>0153613480</v>
      </c>
    </row>
    <row r="524" spans="1:16" x14ac:dyDescent="0.25">
      <c r="A524" t="str">
        <f t="shared" si="163"/>
        <v>人民币</v>
      </c>
      <c r="B524" t="str">
        <f>"华辰装备"</f>
        <v>华辰装备</v>
      </c>
      <c r="C524" t="str">
        <f>"20191121"</f>
        <v>20191121</v>
      </c>
      <c r="D524" t="str">
        <f>"0.000"</f>
        <v>0.000</v>
      </c>
      <c r="E524" t="str">
        <f>"31.00"</f>
        <v>31.00</v>
      </c>
      <c r="F524" t="str">
        <f>"0.00"</f>
        <v>0.00</v>
      </c>
      <c r="G524" t="str">
        <f>"46058.88"</f>
        <v>46058.88</v>
      </c>
      <c r="H524" t="str">
        <f>"0.00"</f>
        <v>0.00</v>
      </c>
      <c r="I524" t="str">
        <f>"445"</f>
        <v>445</v>
      </c>
      <c r="J524" t="str">
        <f>"申购配号(华辰装备)"</f>
        <v>申购配号(华辰装备)</v>
      </c>
      <c r="K524" t="str">
        <f>"0.00"</f>
        <v>0.00</v>
      </c>
      <c r="L524" t="str">
        <f>"0.00"</f>
        <v>0.00</v>
      </c>
      <c r="M524" t="str">
        <f t="shared" si="174"/>
        <v>0.00</v>
      </c>
      <c r="N524" t="str">
        <f t="shared" si="174"/>
        <v>0.00</v>
      </c>
      <c r="O524" t="str">
        <f>"300809"</f>
        <v>300809</v>
      </c>
      <c r="P524" t="str">
        <f t="shared" si="173"/>
        <v>0153613480</v>
      </c>
    </row>
    <row r="525" spans="1:16" x14ac:dyDescent="0.25">
      <c r="A525" t="str">
        <f t="shared" si="163"/>
        <v>人民币</v>
      </c>
      <c r="B525" t="str">
        <f>"中科海讯"</f>
        <v>中科海讯</v>
      </c>
      <c r="C525" t="str">
        <f>"20191121"</f>
        <v>20191121</v>
      </c>
      <c r="D525" t="str">
        <f>"0.000"</f>
        <v>0.000</v>
      </c>
      <c r="E525" t="str">
        <f>"35.00"</f>
        <v>35.00</v>
      </c>
      <c r="F525" t="str">
        <f>"0.00"</f>
        <v>0.00</v>
      </c>
      <c r="G525" t="str">
        <f>"46058.88"</f>
        <v>46058.88</v>
      </c>
      <c r="H525" t="str">
        <f>"0.00"</f>
        <v>0.00</v>
      </c>
      <c r="I525" t="str">
        <f>"443"</f>
        <v>443</v>
      </c>
      <c r="J525" t="str">
        <f>"申购配号(中科海讯)"</f>
        <v>申购配号(中科海讯)</v>
      </c>
      <c r="K525" t="str">
        <f>"0.00"</f>
        <v>0.00</v>
      </c>
      <c r="L525" t="str">
        <f>"0.00"</f>
        <v>0.00</v>
      </c>
      <c r="M525" t="str">
        <f t="shared" si="174"/>
        <v>0.00</v>
      </c>
      <c r="N525" t="str">
        <f t="shared" si="174"/>
        <v>0.00</v>
      </c>
      <c r="O525" t="str">
        <f>"300810"</f>
        <v>300810</v>
      </c>
      <c r="P525" t="str">
        <f t="shared" si="173"/>
        <v>0153613480</v>
      </c>
    </row>
    <row r="526" spans="1:16" x14ac:dyDescent="0.25">
      <c r="A526" t="str">
        <f t="shared" si="163"/>
        <v>人民币</v>
      </c>
      <c r="B526" t="str">
        <f>"东港股份"</f>
        <v>东港股份</v>
      </c>
      <c r="C526" t="str">
        <f>"20191122"</f>
        <v>20191122</v>
      </c>
      <c r="D526" t="str">
        <f>"11.700"</f>
        <v>11.700</v>
      </c>
      <c r="E526" t="str">
        <f>"600.00"</f>
        <v>600.00</v>
      </c>
      <c r="F526" t="str">
        <f>"-7025.00"</f>
        <v>-7025.00</v>
      </c>
      <c r="G526" t="str">
        <f>"32680.08"</f>
        <v>32680.08</v>
      </c>
      <c r="H526" t="str">
        <f>"3000.00"</f>
        <v>3000.00</v>
      </c>
      <c r="I526" t="str">
        <f>"456"</f>
        <v>456</v>
      </c>
      <c r="J526" t="str">
        <f>"证券买入(东港股份)"</f>
        <v>证券买入(东港股份)</v>
      </c>
      <c r="K526" t="str">
        <f>"5.00"</f>
        <v>5.00</v>
      </c>
      <c r="L526" t="str">
        <f>"0.00"</f>
        <v>0.00</v>
      </c>
      <c r="M526" t="str">
        <f t="shared" si="174"/>
        <v>0.00</v>
      </c>
      <c r="N526" t="str">
        <f t="shared" si="174"/>
        <v>0.00</v>
      </c>
      <c r="O526" t="str">
        <f>"002117"</f>
        <v>002117</v>
      </c>
      <c r="P526" t="str">
        <f t="shared" si="173"/>
        <v>0153613480</v>
      </c>
    </row>
    <row r="527" spans="1:16" x14ac:dyDescent="0.25">
      <c r="A527" t="str">
        <f t="shared" si="163"/>
        <v>人民币</v>
      </c>
      <c r="B527" t="str">
        <f>"苏奥传感"</f>
        <v>苏奥传感</v>
      </c>
      <c r="C527" t="str">
        <f>"20191122"</f>
        <v>20191122</v>
      </c>
      <c r="D527" t="str">
        <f>"11.100"</f>
        <v>11.100</v>
      </c>
      <c r="E527" t="str">
        <f>"-1500.00"</f>
        <v>-1500.00</v>
      </c>
      <c r="F527" t="str">
        <f>"16628.35"</f>
        <v>16628.35</v>
      </c>
      <c r="G527" t="str">
        <f>"39705.08"</f>
        <v>39705.08</v>
      </c>
      <c r="H527" t="str">
        <f>"0.00"</f>
        <v>0.00</v>
      </c>
      <c r="I527" t="str">
        <f>"459"</f>
        <v>459</v>
      </c>
      <c r="J527" t="str">
        <f>"证券卖出(苏奥传感)"</f>
        <v>证券卖出(苏奥传感)</v>
      </c>
      <c r="K527" t="str">
        <f>"5.00"</f>
        <v>5.00</v>
      </c>
      <c r="L527" t="str">
        <f>"16.65"</f>
        <v>16.65</v>
      </c>
      <c r="M527" t="str">
        <f t="shared" si="174"/>
        <v>0.00</v>
      </c>
      <c r="N527" t="str">
        <f t="shared" si="174"/>
        <v>0.00</v>
      </c>
      <c r="O527" t="str">
        <f>"300507"</f>
        <v>300507</v>
      </c>
      <c r="P527" t="str">
        <f t="shared" si="173"/>
        <v>0153613480</v>
      </c>
    </row>
    <row r="528" spans="1:16" x14ac:dyDescent="0.25">
      <c r="A528" t="str">
        <f t="shared" si="163"/>
        <v>人民币</v>
      </c>
      <c r="B528" t="str">
        <f>"苏奥传感"</f>
        <v>苏奥传感</v>
      </c>
      <c r="C528" t="str">
        <f>"20191122"</f>
        <v>20191122</v>
      </c>
      <c r="D528" t="str">
        <f>"11.360"</f>
        <v>11.360</v>
      </c>
      <c r="E528" t="str">
        <f>"-1500.00"</f>
        <v>-1500.00</v>
      </c>
      <c r="F528" t="str">
        <f>"17017.85"</f>
        <v>17017.85</v>
      </c>
      <c r="G528" t="str">
        <f>"23076.73"</f>
        <v>23076.73</v>
      </c>
      <c r="H528" t="str">
        <f>"1500.00"</f>
        <v>1500.00</v>
      </c>
      <c r="I528" t="str">
        <f>"452"</f>
        <v>452</v>
      </c>
      <c r="J528" t="str">
        <f>"证券卖出(苏奥传感)"</f>
        <v>证券卖出(苏奥传感)</v>
      </c>
      <c r="K528" t="str">
        <f>"5.11"</f>
        <v>5.11</v>
      </c>
      <c r="L528" t="str">
        <f>"17.04"</f>
        <v>17.04</v>
      </c>
      <c r="M528" t="str">
        <f t="shared" si="174"/>
        <v>0.00</v>
      </c>
      <c r="N528" t="str">
        <f t="shared" si="174"/>
        <v>0.00</v>
      </c>
      <c r="O528" t="str">
        <f>"300507"</f>
        <v>300507</v>
      </c>
      <c r="P528" t="str">
        <f t="shared" si="173"/>
        <v>0153613480</v>
      </c>
    </row>
    <row r="529" spans="1:16" x14ac:dyDescent="0.25">
      <c r="A529" t="str">
        <f t="shared" si="163"/>
        <v>人民币</v>
      </c>
      <c r="B529" t="str">
        <f>""</f>
        <v/>
      </c>
      <c r="C529" t="str">
        <f>"20191122"</f>
        <v>20191122</v>
      </c>
      <c r="D529" t="str">
        <f>"---"</f>
        <v>---</v>
      </c>
      <c r="E529" t="str">
        <f>"---"</f>
        <v>---</v>
      </c>
      <c r="F529" t="str">
        <f>"-40000.00"</f>
        <v>-40000.00</v>
      </c>
      <c r="G529" t="str">
        <f>"6058.88"</f>
        <v>6058.88</v>
      </c>
      <c r="H529" t="str">
        <f>"---"</f>
        <v>---</v>
      </c>
      <c r="I529" t="str">
        <f>"---"</f>
        <v>---</v>
      </c>
      <c r="J529" t="str">
        <f>"银行转取"</f>
        <v>银行转取</v>
      </c>
      <c r="K529" t="str">
        <f t="shared" ref="K529:P529" si="175">"---"</f>
        <v>---</v>
      </c>
      <c r="L529" t="str">
        <f t="shared" si="175"/>
        <v>---</v>
      </c>
      <c r="M529" t="str">
        <f t="shared" si="175"/>
        <v>---</v>
      </c>
      <c r="N529" t="str">
        <f t="shared" si="175"/>
        <v>---</v>
      </c>
      <c r="O529" t="str">
        <f t="shared" si="175"/>
        <v>---</v>
      </c>
      <c r="P529" t="str">
        <f t="shared" si="175"/>
        <v>---</v>
      </c>
    </row>
    <row r="530" spans="1:16" x14ac:dyDescent="0.25">
      <c r="A530" t="str">
        <f t="shared" si="163"/>
        <v>人民币</v>
      </c>
      <c r="B530" t="str">
        <f>"瀛通通讯"</f>
        <v>瀛通通讯</v>
      </c>
      <c r="C530" t="str">
        <f>"20191125"</f>
        <v>20191125</v>
      </c>
      <c r="D530" t="str">
        <f>"36.640"</f>
        <v>36.640</v>
      </c>
      <c r="E530" t="str">
        <f>"500.00"</f>
        <v>500.00</v>
      </c>
      <c r="F530" t="str">
        <f>"-18325.50"</f>
        <v>-18325.50</v>
      </c>
      <c r="G530" t="str">
        <f>"29828.66"</f>
        <v>29828.66</v>
      </c>
      <c r="H530" t="str">
        <f>"1000.00"</f>
        <v>1000.00</v>
      </c>
      <c r="I530" t="str">
        <f>"487"</f>
        <v>487</v>
      </c>
      <c r="J530" t="str">
        <f>"证券买入(瀛通通讯)"</f>
        <v>证券买入(瀛通通讯)</v>
      </c>
      <c r="K530" t="str">
        <f>"5.50"</f>
        <v>5.50</v>
      </c>
      <c r="L530" t="str">
        <f t="shared" ref="L530:N532" si="176">"0.00"</f>
        <v>0.00</v>
      </c>
      <c r="M530" t="str">
        <f t="shared" si="176"/>
        <v>0.00</v>
      </c>
      <c r="N530" t="str">
        <f t="shared" si="176"/>
        <v>0.00</v>
      </c>
      <c r="O530" t="str">
        <f>"002861"</f>
        <v>002861</v>
      </c>
      <c r="P530" t="str">
        <f t="shared" ref="P530:P536" si="177">"0153613480"</f>
        <v>0153613480</v>
      </c>
    </row>
    <row r="531" spans="1:16" x14ac:dyDescent="0.25">
      <c r="A531" t="str">
        <f t="shared" si="163"/>
        <v>人民币</v>
      </c>
      <c r="B531" t="str">
        <f>"瀛通通讯"</f>
        <v>瀛通通讯</v>
      </c>
      <c r="C531" t="str">
        <f>"20191125"</f>
        <v>20191125</v>
      </c>
      <c r="D531" t="str">
        <f>"36.600"</f>
        <v>36.600</v>
      </c>
      <c r="E531" t="str">
        <f>"200.00"</f>
        <v>200.00</v>
      </c>
      <c r="F531" t="str">
        <f>"-7325.00"</f>
        <v>-7325.00</v>
      </c>
      <c r="G531" t="str">
        <f>"48154.16"</f>
        <v>48154.16</v>
      </c>
      <c r="H531" t="str">
        <f>"500.00"</f>
        <v>500.00</v>
      </c>
      <c r="I531" t="str">
        <f>"482"</f>
        <v>482</v>
      </c>
      <c r="J531" t="str">
        <f>"证券买入(瀛通通讯)"</f>
        <v>证券买入(瀛通通讯)</v>
      </c>
      <c r="K531" t="str">
        <f>"5.00"</f>
        <v>5.00</v>
      </c>
      <c r="L531" t="str">
        <f t="shared" si="176"/>
        <v>0.00</v>
      </c>
      <c r="M531" t="str">
        <f t="shared" si="176"/>
        <v>0.00</v>
      </c>
      <c r="N531" t="str">
        <f t="shared" si="176"/>
        <v>0.00</v>
      </c>
      <c r="O531" t="str">
        <f>"002861"</f>
        <v>002861</v>
      </c>
      <c r="P531" t="str">
        <f t="shared" si="177"/>
        <v>0153613480</v>
      </c>
    </row>
    <row r="532" spans="1:16" x14ac:dyDescent="0.25">
      <c r="A532" t="str">
        <f t="shared" si="163"/>
        <v>人民币</v>
      </c>
      <c r="B532" t="str">
        <f>"瀛通通讯"</f>
        <v>瀛通通讯</v>
      </c>
      <c r="C532" t="str">
        <f>"20191125"</f>
        <v>20191125</v>
      </c>
      <c r="D532" t="str">
        <f>"36.440"</f>
        <v>36.440</v>
      </c>
      <c r="E532" t="str">
        <f>"300.00"</f>
        <v>300.00</v>
      </c>
      <c r="F532" t="str">
        <f>"-10937.00"</f>
        <v>-10937.00</v>
      </c>
      <c r="G532" t="str">
        <f>"55479.16"</f>
        <v>55479.16</v>
      </c>
      <c r="H532" t="str">
        <f>"300.00"</f>
        <v>300.00</v>
      </c>
      <c r="I532" t="str">
        <f>"468"</f>
        <v>468</v>
      </c>
      <c r="J532" t="str">
        <f>"证券买入(瀛通通讯)"</f>
        <v>证券买入(瀛通通讯)</v>
      </c>
      <c r="K532" t="str">
        <f>"5.00"</f>
        <v>5.00</v>
      </c>
      <c r="L532" t="str">
        <f t="shared" si="176"/>
        <v>0.00</v>
      </c>
      <c r="M532" t="str">
        <f t="shared" si="176"/>
        <v>0.00</v>
      </c>
      <c r="N532" t="str">
        <f t="shared" si="176"/>
        <v>0.00</v>
      </c>
      <c r="O532" t="str">
        <f>"002861"</f>
        <v>002861</v>
      </c>
      <c r="P532" t="str">
        <f t="shared" si="177"/>
        <v>0153613480</v>
      </c>
    </row>
    <row r="533" spans="1:16" x14ac:dyDescent="0.25">
      <c r="A533" t="str">
        <f t="shared" si="163"/>
        <v>人民币</v>
      </c>
      <c r="B533" t="str">
        <f>"东港股份"</f>
        <v>东港股份</v>
      </c>
      <c r="C533" t="str">
        <f>"20191125"</f>
        <v>20191125</v>
      </c>
      <c r="D533" t="str">
        <f>"11.260"</f>
        <v>11.260</v>
      </c>
      <c r="E533" t="str">
        <f>"-3000.00"</f>
        <v>-3000.00</v>
      </c>
      <c r="F533" t="str">
        <f>"33736.08"</f>
        <v>33736.08</v>
      </c>
      <c r="G533" t="str">
        <f>"66416.16"</f>
        <v>66416.16</v>
      </c>
      <c r="H533" t="str">
        <f>"0.00"</f>
        <v>0.00</v>
      </c>
      <c r="I533" t="str">
        <f>"475"</f>
        <v>475</v>
      </c>
      <c r="J533" t="str">
        <f>"证券卖出(东港股份)"</f>
        <v>证券卖出(东港股份)</v>
      </c>
      <c r="K533" t="str">
        <f>"10.14"</f>
        <v>10.14</v>
      </c>
      <c r="L533" t="str">
        <f>"33.78"</f>
        <v>33.78</v>
      </c>
      <c r="M533" t="str">
        <f t="shared" ref="M533:N536" si="178">"0.00"</f>
        <v>0.00</v>
      </c>
      <c r="N533" t="str">
        <f t="shared" si="178"/>
        <v>0.00</v>
      </c>
      <c r="O533" t="str">
        <f>"002117"</f>
        <v>002117</v>
      </c>
      <c r="P533" t="str">
        <f t="shared" si="177"/>
        <v>0153613480</v>
      </c>
    </row>
    <row r="534" spans="1:16" x14ac:dyDescent="0.25">
      <c r="A534" t="str">
        <f t="shared" si="163"/>
        <v>人民币</v>
      </c>
      <c r="B534" t="str">
        <f>"凯普生物"</f>
        <v>凯普生物</v>
      </c>
      <c r="C534" t="str">
        <f>"20191126"</f>
        <v>20191126</v>
      </c>
      <c r="D534" t="str">
        <f>"26.050"</f>
        <v>26.050</v>
      </c>
      <c r="E534" t="str">
        <f>"2000.00"</f>
        <v>2000.00</v>
      </c>
      <c r="F534" t="str">
        <f>"-52115.64"</f>
        <v>-52115.64</v>
      </c>
      <c r="G534" t="str">
        <f>"44441.20"</f>
        <v>44441.20</v>
      </c>
      <c r="H534" t="str">
        <f>"2000.00"</f>
        <v>2000.00</v>
      </c>
      <c r="I534" t="str">
        <f>"523"</f>
        <v>523</v>
      </c>
      <c r="J534" t="str">
        <f>"证券买入(凯普生物)"</f>
        <v>证券买入(凯普生物)</v>
      </c>
      <c r="K534" t="str">
        <f>"15.64"</f>
        <v>15.64</v>
      </c>
      <c r="L534" t="str">
        <f>"0.00"</f>
        <v>0.00</v>
      </c>
      <c r="M534" t="str">
        <f t="shared" si="178"/>
        <v>0.00</v>
      </c>
      <c r="N534" t="str">
        <f t="shared" si="178"/>
        <v>0.00</v>
      </c>
      <c r="O534" t="str">
        <f>"300639"</f>
        <v>300639</v>
      </c>
      <c r="P534" t="str">
        <f t="shared" si="177"/>
        <v>0153613480</v>
      </c>
    </row>
    <row r="535" spans="1:16" x14ac:dyDescent="0.25">
      <c r="A535" t="str">
        <f t="shared" si="163"/>
        <v>人民币</v>
      </c>
      <c r="B535" t="str">
        <f>"惠威科技"</f>
        <v>惠威科技</v>
      </c>
      <c r="C535" t="str">
        <f>"20191126"</f>
        <v>20191126</v>
      </c>
      <c r="D535" t="str">
        <f>"21.480"</f>
        <v>21.480</v>
      </c>
      <c r="E535" t="str">
        <f>"800.00"</f>
        <v>800.00</v>
      </c>
      <c r="F535" t="str">
        <f>"-17189.16"</f>
        <v>-17189.16</v>
      </c>
      <c r="G535" t="str">
        <f>"96556.84"</f>
        <v>96556.84</v>
      </c>
      <c r="H535" t="str">
        <f>"800.00"</f>
        <v>800.00</v>
      </c>
      <c r="I535" t="str">
        <f>"501"</f>
        <v>501</v>
      </c>
      <c r="J535" t="str">
        <f>"证券买入(惠威科技)"</f>
        <v>证券买入(惠威科技)</v>
      </c>
      <c r="K535" t="str">
        <f>"5.16"</f>
        <v>5.16</v>
      </c>
      <c r="L535" t="str">
        <f>"0.00"</f>
        <v>0.00</v>
      </c>
      <c r="M535" t="str">
        <f t="shared" si="178"/>
        <v>0.00</v>
      </c>
      <c r="N535" t="str">
        <f t="shared" si="178"/>
        <v>0.00</v>
      </c>
      <c r="O535" t="str">
        <f>"002888"</f>
        <v>002888</v>
      </c>
      <c r="P535" t="str">
        <f t="shared" si="177"/>
        <v>0153613480</v>
      </c>
    </row>
    <row r="536" spans="1:16" x14ac:dyDescent="0.25">
      <c r="A536" t="str">
        <f t="shared" si="163"/>
        <v>人民币</v>
      </c>
      <c r="B536" t="str">
        <f>"顺灏股份"</f>
        <v>顺灏股份</v>
      </c>
      <c r="C536" t="str">
        <f>"20191126"</f>
        <v>20191126</v>
      </c>
      <c r="D536" t="str">
        <f>"6.220"</f>
        <v>6.220</v>
      </c>
      <c r="E536" t="str">
        <f>"-14900.00"</f>
        <v>-14900.00</v>
      </c>
      <c r="F536" t="str">
        <f>"92557.51"</f>
        <v>92557.51</v>
      </c>
      <c r="G536" t="str">
        <f>"113746.00"</f>
        <v>113746.00</v>
      </c>
      <c r="H536" t="str">
        <f>"0.00"</f>
        <v>0.00</v>
      </c>
      <c r="I536" t="str">
        <f>"512"</f>
        <v>512</v>
      </c>
      <c r="J536" t="str">
        <f>"证券卖出(顺灏股份)"</f>
        <v>证券卖出(顺灏股份)</v>
      </c>
      <c r="K536" t="str">
        <f>"27.81"</f>
        <v>27.81</v>
      </c>
      <c r="L536" t="str">
        <f>"92.68"</f>
        <v>92.68</v>
      </c>
      <c r="M536" t="str">
        <f t="shared" si="178"/>
        <v>0.00</v>
      </c>
      <c r="N536" t="str">
        <f t="shared" si="178"/>
        <v>0.00</v>
      </c>
      <c r="O536" t="str">
        <f>"002565"</f>
        <v>002565</v>
      </c>
      <c r="P536" t="str">
        <f t="shared" si="177"/>
        <v>0153613480</v>
      </c>
    </row>
    <row r="537" spans="1:16" x14ac:dyDescent="0.25">
      <c r="A537" t="str">
        <f t="shared" si="163"/>
        <v>人民币</v>
      </c>
      <c r="B537" t="str">
        <f>"中通国脉"</f>
        <v>中通国脉</v>
      </c>
      <c r="C537" t="str">
        <f>"20191126"</f>
        <v>20191126</v>
      </c>
      <c r="D537" t="str">
        <f>"17.270"</f>
        <v>17.270</v>
      </c>
      <c r="E537" t="str">
        <f>"500.00"</f>
        <v>500.00</v>
      </c>
      <c r="F537" t="str">
        <f>"-8640.17"</f>
        <v>-8640.17</v>
      </c>
      <c r="G537" t="str">
        <f>"21188.49"</f>
        <v>21188.49</v>
      </c>
      <c r="H537" t="str">
        <f>"3500.00"</f>
        <v>3500.00</v>
      </c>
      <c r="I537" t="str">
        <f>"508"</f>
        <v>508</v>
      </c>
      <c r="J537" t="str">
        <f>"证券买入(中通国脉)"</f>
        <v>证券买入(中通国脉)</v>
      </c>
      <c r="K537" t="str">
        <f>"5.00"</f>
        <v>5.00</v>
      </c>
      <c r="L537" t="str">
        <f>"0.00"</f>
        <v>0.00</v>
      </c>
      <c r="M537" t="str">
        <f>"0.17"</f>
        <v>0.17</v>
      </c>
      <c r="N537" t="str">
        <f>"0.00"</f>
        <v>0.00</v>
      </c>
      <c r="O537" t="str">
        <f>"603559"</f>
        <v>603559</v>
      </c>
      <c r="P537" t="str">
        <f>"A400948245"</f>
        <v>A400948245</v>
      </c>
    </row>
    <row r="538" spans="1:16" x14ac:dyDescent="0.25">
      <c r="A538" t="str">
        <f t="shared" si="163"/>
        <v>人民币</v>
      </c>
      <c r="B538" t="str">
        <f>"恒铭达"</f>
        <v>恒铭达</v>
      </c>
      <c r="C538" t="str">
        <f>"20191127"</f>
        <v>20191127</v>
      </c>
      <c r="D538" t="str">
        <f>"53.820"</f>
        <v>53.820</v>
      </c>
      <c r="E538" t="str">
        <f>"400.00"</f>
        <v>400.00</v>
      </c>
      <c r="F538" t="str">
        <f>"-21534.46"</f>
        <v>-21534.46</v>
      </c>
      <c r="G538" t="str">
        <f>"78941.79"</f>
        <v>78941.79</v>
      </c>
      <c r="H538" t="str">
        <f>"400.00"</f>
        <v>400.00</v>
      </c>
      <c r="I538" t="str">
        <f>"541"</f>
        <v>541</v>
      </c>
      <c r="J538" t="str">
        <f>"证券买入(恒铭达)"</f>
        <v>证券买入(恒铭达)</v>
      </c>
      <c r="K538" t="str">
        <f>"6.46"</f>
        <v>6.46</v>
      </c>
      <c r="L538" t="str">
        <f>"0.00"</f>
        <v>0.00</v>
      </c>
      <c r="M538" t="str">
        <f t="shared" ref="M538:N553" si="179">"0.00"</f>
        <v>0.00</v>
      </c>
      <c r="N538" t="str">
        <f t="shared" si="179"/>
        <v>0.00</v>
      </c>
      <c r="O538" t="str">
        <f>"002947"</f>
        <v>002947</v>
      </c>
      <c r="P538" t="str">
        <f t="shared" ref="P538:P546" si="180">"0153613480"</f>
        <v>0153613480</v>
      </c>
    </row>
    <row r="539" spans="1:16" x14ac:dyDescent="0.25">
      <c r="A539" t="str">
        <f t="shared" si="163"/>
        <v>人民币</v>
      </c>
      <c r="B539" t="str">
        <f>"惠威科技"</f>
        <v>惠威科技</v>
      </c>
      <c r="C539" t="str">
        <f>"20191127"</f>
        <v>20191127</v>
      </c>
      <c r="D539" t="str">
        <f>"22.510"</f>
        <v>22.510</v>
      </c>
      <c r="E539" t="str">
        <f>"-800.00"</f>
        <v>-800.00</v>
      </c>
      <c r="F539" t="str">
        <f>"17984.59"</f>
        <v>17984.59</v>
      </c>
      <c r="G539" t="str">
        <f>"100476.25"</f>
        <v>100476.25</v>
      </c>
      <c r="H539" t="str">
        <f>"0.00"</f>
        <v>0.00</v>
      </c>
      <c r="I539" t="str">
        <f>"535"</f>
        <v>535</v>
      </c>
      <c r="J539" t="str">
        <f>"证券卖出(惠威科技)"</f>
        <v>证券卖出(惠威科技)</v>
      </c>
      <c r="K539" t="str">
        <f>"5.40"</f>
        <v>5.40</v>
      </c>
      <c r="L539" t="str">
        <f>"18.01"</f>
        <v>18.01</v>
      </c>
      <c r="M539" t="str">
        <f t="shared" si="179"/>
        <v>0.00</v>
      </c>
      <c r="N539" t="str">
        <f t="shared" si="179"/>
        <v>0.00</v>
      </c>
      <c r="O539" t="str">
        <f>"002888"</f>
        <v>002888</v>
      </c>
      <c r="P539" t="str">
        <f t="shared" si="180"/>
        <v>0153613480</v>
      </c>
    </row>
    <row r="540" spans="1:16" x14ac:dyDescent="0.25">
      <c r="A540" t="str">
        <f t="shared" si="163"/>
        <v>人民币</v>
      </c>
      <c r="B540" t="str">
        <f>"瀛通通讯"</f>
        <v>瀛通通讯</v>
      </c>
      <c r="C540" t="str">
        <f>"20191127"</f>
        <v>20191127</v>
      </c>
      <c r="D540" t="str">
        <f>"38.350"</f>
        <v>38.350</v>
      </c>
      <c r="E540" t="str">
        <f>"-500.00"</f>
        <v>-500.00</v>
      </c>
      <c r="F540" t="str">
        <f>"19150.07"</f>
        <v>19150.07</v>
      </c>
      <c r="G540" t="str">
        <f>"82491.66"</f>
        <v>82491.66</v>
      </c>
      <c r="H540" t="str">
        <f>"0.00"</f>
        <v>0.00</v>
      </c>
      <c r="I540" t="str">
        <f>"537"</f>
        <v>537</v>
      </c>
      <c r="J540" t="str">
        <f>"证券卖出(瀛通通讯)"</f>
        <v>证券卖出(瀛通通讯)</v>
      </c>
      <c r="K540" t="str">
        <f>"5.75"</f>
        <v>5.75</v>
      </c>
      <c r="L540" t="str">
        <f>"19.18"</f>
        <v>19.18</v>
      </c>
      <c r="M540" t="str">
        <f t="shared" si="179"/>
        <v>0.00</v>
      </c>
      <c r="N540" t="str">
        <f t="shared" si="179"/>
        <v>0.00</v>
      </c>
      <c r="O540" t="str">
        <f>"002861"</f>
        <v>002861</v>
      </c>
      <c r="P540" t="str">
        <f t="shared" si="180"/>
        <v>0153613480</v>
      </c>
    </row>
    <row r="541" spans="1:16" x14ac:dyDescent="0.25">
      <c r="A541" t="str">
        <f t="shared" si="163"/>
        <v>人民币</v>
      </c>
      <c r="B541" t="str">
        <f>"瀛通通讯"</f>
        <v>瀛通通讯</v>
      </c>
      <c r="C541" t="str">
        <f>"20191127"</f>
        <v>20191127</v>
      </c>
      <c r="D541" t="str">
        <f>"37.850"</f>
        <v>37.850</v>
      </c>
      <c r="E541" t="str">
        <f>"-500.00"</f>
        <v>-500.00</v>
      </c>
      <c r="F541" t="str">
        <f>"18900.39"</f>
        <v>18900.39</v>
      </c>
      <c r="G541" t="str">
        <f>"63341.59"</f>
        <v>63341.59</v>
      </c>
      <c r="H541" t="str">
        <f>"500.00"</f>
        <v>500.00</v>
      </c>
      <c r="I541" t="str">
        <f>"531"</f>
        <v>531</v>
      </c>
      <c r="J541" t="str">
        <f>"证券卖出(瀛通通讯)"</f>
        <v>证券卖出(瀛通通讯)</v>
      </c>
      <c r="K541" t="str">
        <f>"5.68"</f>
        <v>5.68</v>
      </c>
      <c r="L541" t="str">
        <f>"18.93"</f>
        <v>18.93</v>
      </c>
      <c r="M541" t="str">
        <f t="shared" si="179"/>
        <v>0.00</v>
      </c>
      <c r="N541" t="str">
        <f t="shared" si="179"/>
        <v>0.00</v>
      </c>
      <c r="O541" t="str">
        <f>"002861"</f>
        <v>002861</v>
      </c>
      <c r="P541" t="str">
        <f t="shared" si="180"/>
        <v>0153613480</v>
      </c>
    </row>
    <row r="542" spans="1:16" x14ac:dyDescent="0.25">
      <c r="A542" t="str">
        <f t="shared" si="163"/>
        <v>人民币</v>
      </c>
      <c r="B542" t="str">
        <f>"凯普生物"</f>
        <v>凯普生物</v>
      </c>
      <c r="C542" t="str">
        <f t="shared" ref="C542:C547" si="181">"20191128"</f>
        <v>20191128</v>
      </c>
      <c r="D542" t="str">
        <f>"26.850"</f>
        <v>26.850</v>
      </c>
      <c r="E542" t="str">
        <f>"-2000.00"</f>
        <v>-2000.00</v>
      </c>
      <c r="F542" t="str">
        <f>"53630.18"</f>
        <v>53630.18</v>
      </c>
      <c r="G542" t="str">
        <f>"67415.80"</f>
        <v>67415.80</v>
      </c>
      <c r="H542" t="str">
        <f>"0.00"</f>
        <v>0.00</v>
      </c>
      <c r="I542" t="str">
        <f>"562"</f>
        <v>562</v>
      </c>
      <c r="J542" t="str">
        <f>"证券卖出(凯普生物)"</f>
        <v>证券卖出(凯普生物)</v>
      </c>
      <c r="K542" t="str">
        <f>"16.12"</f>
        <v>16.12</v>
      </c>
      <c r="L542" t="str">
        <f>"53.70"</f>
        <v>53.70</v>
      </c>
      <c r="M542" t="str">
        <f t="shared" si="179"/>
        <v>0.00</v>
      </c>
      <c r="N542" t="str">
        <f t="shared" si="179"/>
        <v>0.00</v>
      </c>
      <c r="O542" t="str">
        <f>"300639"</f>
        <v>300639</v>
      </c>
      <c r="P542" t="str">
        <f t="shared" si="180"/>
        <v>0153613480</v>
      </c>
    </row>
    <row r="543" spans="1:16" x14ac:dyDescent="0.25">
      <c r="A543" t="str">
        <f t="shared" si="163"/>
        <v>人民币</v>
      </c>
      <c r="B543" t="str">
        <f>"我武生物"</f>
        <v>我武生物</v>
      </c>
      <c r="C543" t="str">
        <f t="shared" si="181"/>
        <v>20191128</v>
      </c>
      <c r="D543" t="str">
        <f>"47.230"</f>
        <v>47.230</v>
      </c>
      <c r="E543" t="str">
        <f>"600.00"</f>
        <v>600.00</v>
      </c>
      <c r="F543" t="str">
        <f>"-28346.50"</f>
        <v>-28346.50</v>
      </c>
      <c r="G543" t="str">
        <f>"13785.62"</f>
        <v>13785.62</v>
      </c>
      <c r="H543" t="str">
        <f>"1000.00"</f>
        <v>1000.00</v>
      </c>
      <c r="I543" t="str">
        <f>"572"</f>
        <v>572</v>
      </c>
      <c r="J543" t="str">
        <f>"证券买入(我武生物)"</f>
        <v>证券买入(我武生物)</v>
      </c>
      <c r="K543" t="str">
        <f>"8.50"</f>
        <v>8.50</v>
      </c>
      <c r="L543" t="str">
        <f t="shared" ref="L543:L549" si="182">"0.00"</f>
        <v>0.00</v>
      </c>
      <c r="M543" t="str">
        <f t="shared" si="179"/>
        <v>0.00</v>
      </c>
      <c r="N543" t="str">
        <f t="shared" si="179"/>
        <v>0.00</v>
      </c>
      <c r="O543" t="str">
        <f>"300357"</f>
        <v>300357</v>
      </c>
      <c r="P543" t="str">
        <f t="shared" si="180"/>
        <v>0153613480</v>
      </c>
    </row>
    <row r="544" spans="1:16" x14ac:dyDescent="0.25">
      <c r="A544" t="str">
        <f t="shared" si="163"/>
        <v>人民币</v>
      </c>
      <c r="B544" t="str">
        <f>"我武生物"</f>
        <v>我武生物</v>
      </c>
      <c r="C544" t="str">
        <f t="shared" si="181"/>
        <v>20191128</v>
      </c>
      <c r="D544" t="str">
        <f>"47.220"</f>
        <v>47.220</v>
      </c>
      <c r="E544" t="str">
        <f>"400.00"</f>
        <v>400.00</v>
      </c>
      <c r="F544" t="str">
        <f>"-18893.67"</f>
        <v>-18893.67</v>
      </c>
      <c r="G544" t="str">
        <f>"42132.12"</f>
        <v>42132.12</v>
      </c>
      <c r="H544" t="str">
        <f>"400.00"</f>
        <v>400.00</v>
      </c>
      <c r="I544" t="str">
        <f>"565"</f>
        <v>565</v>
      </c>
      <c r="J544" t="str">
        <f>"证券买入(我武生物)"</f>
        <v>证券买入(我武生物)</v>
      </c>
      <c r="K544" t="str">
        <f>"5.67"</f>
        <v>5.67</v>
      </c>
      <c r="L544" t="str">
        <f t="shared" si="182"/>
        <v>0.00</v>
      </c>
      <c r="M544" t="str">
        <f t="shared" si="179"/>
        <v>0.00</v>
      </c>
      <c r="N544" t="str">
        <f t="shared" si="179"/>
        <v>0.00</v>
      </c>
      <c r="O544" t="str">
        <f>"300357"</f>
        <v>300357</v>
      </c>
      <c r="P544" t="str">
        <f t="shared" si="180"/>
        <v>0153613480</v>
      </c>
    </row>
    <row r="545" spans="1:16" x14ac:dyDescent="0.25">
      <c r="A545" t="str">
        <f t="shared" si="163"/>
        <v>人民币</v>
      </c>
      <c r="B545" t="str">
        <f>"四方精创"</f>
        <v>四方精创</v>
      </c>
      <c r="C545" t="str">
        <f t="shared" si="181"/>
        <v>20191128</v>
      </c>
      <c r="D545" t="str">
        <f>"29.487"</f>
        <v>29.487</v>
      </c>
      <c r="E545" t="str">
        <f>"300.00"</f>
        <v>300.00</v>
      </c>
      <c r="F545" t="str">
        <f>"-8851.00"</f>
        <v>-8851.00</v>
      </c>
      <c r="G545" t="str">
        <f>"61025.79"</f>
        <v>61025.79</v>
      </c>
      <c r="H545" t="str">
        <f>"600.00"</f>
        <v>600.00</v>
      </c>
      <c r="I545" t="str">
        <f>"557"</f>
        <v>557</v>
      </c>
      <c r="J545" t="str">
        <f>"证券买入(四方精创)"</f>
        <v>证券买入(四方精创)</v>
      </c>
      <c r="K545" t="str">
        <f>"5.00"</f>
        <v>5.00</v>
      </c>
      <c r="L545" t="str">
        <f t="shared" si="182"/>
        <v>0.00</v>
      </c>
      <c r="M545" t="str">
        <f t="shared" si="179"/>
        <v>0.00</v>
      </c>
      <c r="N545" t="str">
        <f t="shared" si="179"/>
        <v>0.00</v>
      </c>
      <c r="O545" t="str">
        <f>"300468"</f>
        <v>300468</v>
      </c>
      <c r="P545" t="str">
        <f t="shared" si="180"/>
        <v>0153613480</v>
      </c>
    </row>
    <row r="546" spans="1:16" x14ac:dyDescent="0.25">
      <c r="A546" t="str">
        <f t="shared" si="163"/>
        <v>人民币</v>
      </c>
      <c r="B546" t="str">
        <f>"四方精创"</f>
        <v>四方精创</v>
      </c>
      <c r="C546" t="str">
        <f t="shared" si="181"/>
        <v>20191128</v>
      </c>
      <c r="D546" t="str">
        <f>"30.200"</f>
        <v>30.200</v>
      </c>
      <c r="E546" t="str">
        <f>"300.00"</f>
        <v>300.00</v>
      </c>
      <c r="F546" t="str">
        <f>"-9065.00"</f>
        <v>-9065.00</v>
      </c>
      <c r="G546" t="str">
        <f>"69876.79"</f>
        <v>69876.79</v>
      </c>
      <c r="H546" t="str">
        <f>"300.00"</f>
        <v>300.00</v>
      </c>
      <c r="I546" t="str">
        <f>"550"</f>
        <v>550</v>
      </c>
      <c r="J546" t="str">
        <f>"证券买入(四方精创)"</f>
        <v>证券买入(四方精创)</v>
      </c>
      <c r="K546" t="str">
        <f>"5.00"</f>
        <v>5.00</v>
      </c>
      <c r="L546" t="str">
        <f t="shared" si="182"/>
        <v>0.00</v>
      </c>
      <c r="M546" t="str">
        <f t="shared" si="179"/>
        <v>0.00</v>
      </c>
      <c r="N546" t="str">
        <f t="shared" si="179"/>
        <v>0.00</v>
      </c>
      <c r="O546" t="str">
        <f>"300468"</f>
        <v>300468</v>
      </c>
      <c r="P546" t="str">
        <f t="shared" si="180"/>
        <v>0153613480</v>
      </c>
    </row>
    <row r="547" spans="1:16" x14ac:dyDescent="0.25">
      <c r="A547" t="str">
        <f t="shared" si="163"/>
        <v>人民币</v>
      </c>
      <c r="B547" t="str">
        <f>"邮储配号"</f>
        <v>邮储配号</v>
      </c>
      <c r="C547" t="str">
        <f t="shared" si="181"/>
        <v>20191128</v>
      </c>
      <c r="D547" t="str">
        <f>"0.000"</f>
        <v>0.000</v>
      </c>
      <c r="E547" t="str">
        <f>"7.00"</f>
        <v>7.00</v>
      </c>
      <c r="F547" t="str">
        <f>"0.00"</f>
        <v>0.00</v>
      </c>
      <c r="G547" t="str">
        <f>"78941.79"</f>
        <v>78941.79</v>
      </c>
      <c r="H547" t="str">
        <f>"0.00"</f>
        <v>0.00</v>
      </c>
      <c r="I547" t="str">
        <f>"548"</f>
        <v>548</v>
      </c>
      <c r="J547" t="str">
        <f>"申购配号(邮储配号)"</f>
        <v>申购配号(邮储配号)</v>
      </c>
      <c r="K547" t="str">
        <f>"0.00"</f>
        <v>0.00</v>
      </c>
      <c r="L547" t="str">
        <f t="shared" si="182"/>
        <v>0.00</v>
      </c>
      <c r="M547" t="str">
        <f t="shared" si="179"/>
        <v>0.00</v>
      </c>
      <c r="N547" t="str">
        <f t="shared" si="179"/>
        <v>0.00</v>
      </c>
      <c r="O547" t="str">
        <f>"791658"</f>
        <v>791658</v>
      </c>
      <c r="P547" t="str">
        <f>"A400948245"</f>
        <v>A400948245</v>
      </c>
    </row>
    <row r="548" spans="1:16" x14ac:dyDescent="0.25">
      <c r="A548" t="str">
        <f t="shared" si="163"/>
        <v>人民币</v>
      </c>
      <c r="B548" t="str">
        <f>"精测电子"</f>
        <v>精测电子</v>
      </c>
      <c r="C548" t="str">
        <f>"20191129"</f>
        <v>20191129</v>
      </c>
      <c r="D548" t="str">
        <f>"39.710"</f>
        <v>39.710</v>
      </c>
      <c r="E548" t="str">
        <f>"500.00"</f>
        <v>500.00</v>
      </c>
      <c r="F548" t="str">
        <f>"-19860.96"</f>
        <v>-19860.96</v>
      </c>
      <c r="G548" t="str">
        <f>"86026.73"</f>
        <v>86026.73</v>
      </c>
      <c r="H548" t="str">
        <f>"1000.00"</f>
        <v>1000.00</v>
      </c>
      <c r="I548" t="str">
        <f>"603"</f>
        <v>603</v>
      </c>
      <c r="J548" t="str">
        <f>"证券买入(精测电子)"</f>
        <v>证券买入(精测电子)</v>
      </c>
      <c r="K548" t="str">
        <f>"5.96"</f>
        <v>5.96</v>
      </c>
      <c r="L548" t="str">
        <f t="shared" si="182"/>
        <v>0.00</v>
      </c>
      <c r="M548" t="str">
        <f t="shared" si="179"/>
        <v>0.00</v>
      </c>
      <c r="N548" t="str">
        <f t="shared" si="179"/>
        <v>0.00</v>
      </c>
      <c r="O548" t="str">
        <f>"300567"</f>
        <v>300567</v>
      </c>
      <c r="P548" t="str">
        <f>"0153613480"</f>
        <v>0153613480</v>
      </c>
    </row>
    <row r="549" spans="1:16" x14ac:dyDescent="0.25">
      <c r="A549" t="str">
        <f t="shared" si="163"/>
        <v>人民币</v>
      </c>
      <c r="B549" t="str">
        <f>"精测电子"</f>
        <v>精测电子</v>
      </c>
      <c r="C549" t="str">
        <f>"20191129"</f>
        <v>20191129</v>
      </c>
      <c r="D549" t="str">
        <f>"39.790"</f>
        <v>39.790</v>
      </c>
      <c r="E549" t="str">
        <f>"500.00"</f>
        <v>500.00</v>
      </c>
      <c r="F549" t="str">
        <f>"-19900.97"</f>
        <v>-19900.97</v>
      </c>
      <c r="G549" t="str">
        <f>"105887.69"</f>
        <v>105887.69</v>
      </c>
      <c r="H549" t="str">
        <f>"500.00"</f>
        <v>500.00</v>
      </c>
      <c r="I549" t="str">
        <f>"590"</f>
        <v>590</v>
      </c>
      <c r="J549" t="str">
        <f>"证券买入(精测电子)"</f>
        <v>证券买入(精测电子)</v>
      </c>
      <c r="K549" t="str">
        <f>"5.97"</f>
        <v>5.97</v>
      </c>
      <c r="L549" t="str">
        <f t="shared" si="182"/>
        <v>0.00</v>
      </c>
      <c r="M549" t="str">
        <f t="shared" si="179"/>
        <v>0.00</v>
      </c>
      <c r="N549" t="str">
        <f t="shared" si="179"/>
        <v>0.00</v>
      </c>
      <c r="O549" t="str">
        <f>"300567"</f>
        <v>300567</v>
      </c>
      <c r="P549" t="str">
        <f>"0153613480"</f>
        <v>0153613480</v>
      </c>
    </row>
    <row r="550" spans="1:16" x14ac:dyDescent="0.25">
      <c r="A550" t="str">
        <f t="shared" si="163"/>
        <v>人民币</v>
      </c>
      <c r="B550" t="str">
        <f>"中通国脉"</f>
        <v>中通国脉</v>
      </c>
      <c r="C550" t="str">
        <f>"20191129"</f>
        <v>20191129</v>
      </c>
      <c r="D550" t="str">
        <f>"16.700"</f>
        <v>16.700</v>
      </c>
      <c r="E550" t="str">
        <f>"-3500.00"</f>
        <v>-3500.00</v>
      </c>
      <c r="F550" t="str">
        <f>"58372.86"</f>
        <v>58372.86</v>
      </c>
      <c r="G550" t="str">
        <f>"125788.66"</f>
        <v>125788.66</v>
      </c>
      <c r="H550" t="str">
        <f>"0.00"</f>
        <v>0.00</v>
      </c>
      <c r="I550" t="str">
        <f>"586"</f>
        <v>586</v>
      </c>
      <c r="J550" t="str">
        <f>"证券卖出(中通国脉)"</f>
        <v>证券卖出(中通国脉)</v>
      </c>
      <c r="K550" t="str">
        <f>"17.54"</f>
        <v>17.54</v>
      </c>
      <c r="L550" t="str">
        <f>"58.45"</f>
        <v>58.45</v>
      </c>
      <c r="M550" t="str">
        <f>"1.15"</f>
        <v>1.15</v>
      </c>
      <c r="N550" t="str">
        <f t="shared" si="179"/>
        <v>0.00</v>
      </c>
      <c r="O550" t="str">
        <f>"603559"</f>
        <v>603559</v>
      </c>
      <c r="P550" t="str">
        <f>"A400948245"</f>
        <v>A400948245</v>
      </c>
    </row>
    <row r="551" spans="1:16" x14ac:dyDescent="0.25">
      <c r="A551" t="str">
        <f t="shared" si="163"/>
        <v>人民币</v>
      </c>
      <c r="B551" t="str">
        <f>"恒铭达"</f>
        <v>恒铭达</v>
      </c>
      <c r="C551" t="str">
        <f>"20191202"</f>
        <v>20191202</v>
      </c>
      <c r="D551" t="str">
        <f>"53.830"</f>
        <v>53.830</v>
      </c>
      <c r="E551" t="str">
        <f>"600.00"</f>
        <v>600.00</v>
      </c>
      <c r="F551" t="str">
        <f>"-32307.69"</f>
        <v>-32307.69</v>
      </c>
      <c r="G551" t="str">
        <f>"60234.94"</f>
        <v>60234.94</v>
      </c>
      <c r="H551" t="str">
        <f>"1000.00"</f>
        <v>1000.00</v>
      </c>
      <c r="I551" t="str">
        <f>"615"</f>
        <v>615</v>
      </c>
      <c r="J551" t="str">
        <f>"证券买入(恒铭达)"</f>
        <v>证券买入(恒铭达)</v>
      </c>
      <c r="K551" t="str">
        <f>"9.69"</f>
        <v>9.69</v>
      </c>
      <c r="L551" t="str">
        <f t="shared" ref="L551:N563" si="183">"0.00"</f>
        <v>0.00</v>
      </c>
      <c r="M551" t="str">
        <f t="shared" si="183"/>
        <v>0.00</v>
      </c>
      <c r="N551" t="str">
        <f t="shared" si="179"/>
        <v>0.00</v>
      </c>
      <c r="O551" t="str">
        <f>"002947"</f>
        <v>002947</v>
      </c>
      <c r="P551" t="str">
        <f t="shared" ref="P551:P556" si="184">"0153613480"</f>
        <v>0153613480</v>
      </c>
    </row>
    <row r="552" spans="1:16" x14ac:dyDescent="0.25">
      <c r="A552" t="str">
        <f t="shared" si="163"/>
        <v>人民币</v>
      </c>
      <c r="B552" t="str">
        <f>"四方精创"</f>
        <v>四方精创</v>
      </c>
      <c r="C552" t="str">
        <f>"20191202"</f>
        <v>20191202</v>
      </c>
      <c r="D552" t="str">
        <f>"29.410"</f>
        <v>29.410</v>
      </c>
      <c r="E552" t="str">
        <f>"400.00"</f>
        <v>400.00</v>
      </c>
      <c r="F552" t="str">
        <f>"-11769.00"</f>
        <v>-11769.00</v>
      </c>
      <c r="G552" t="str">
        <f>"92542.63"</f>
        <v>92542.63</v>
      </c>
      <c r="H552" t="str">
        <f>"1000.00"</f>
        <v>1000.00</v>
      </c>
      <c r="I552" t="str">
        <f>"622"</f>
        <v>622</v>
      </c>
      <c r="J552" t="str">
        <f>"证券买入(四方精创)"</f>
        <v>证券买入(四方精创)</v>
      </c>
      <c r="K552" t="str">
        <f>"5.00"</f>
        <v>5.00</v>
      </c>
      <c r="L552" t="str">
        <f t="shared" si="183"/>
        <v>0.00</v>
      </c>
      <c r="M552" t="str">
        <f t="shared" si="183"/>
        <v>0.00</v>
      </c>
      <c r="N552" t="str">
        <f t="shared" si="179"/>
        <v>0.00</v>
      </c>
      <c r="O552" t="str">
        <f>"300468"</f>
        <v>300468</v>
      </c>
      <c r="P552" t="str">
        <f t="shared" si="184"/>
        <v>0153613480</v>
      </c>
    </row>
    <row r="553" spans="1:16" x14ac:dyDescent="0.25">
      <c r="A553" t="str">
        <f t="shared" si="163"/>
        <v>人民币</v>
      </c>
      <c r="B553" t="str">
        <f>"我武生物"</f>
        <v>我武生物</v>
      </c>
      <c r="C553" t="str">
        <f>"20191202"</f>
        <v>20191202</v>
      </c>
      <c r="D553" t="str">
        <f>"45.310"</f>
        <v>45.310</v>
      </c>
      <c r="E553" t="str">
        <f>"500.00"</f>
        <v>500.00</v>
      </c>
      <c r="F553" t="str">
        <f>"-22661.80"</f>
        <v>-22661.80</v>
      </c>
      <c r="G553" t="str">
        <f>"104311.63"</f>
        <v>104311.63</v>
      </c>
      <c r="H553" t="str">
        <f>"1500.00"</f>
        <v>1500.00</v>
      </c>
      <c r="I553" t="str">
        <f>"609"</f>
        <v>609</v>
      </c>
      <c r="J553" t="str">
        <f>"证券买入(我武生物)"</f>
        <v>证券买入(我武生物)</v>
      </c>
      <c r="K553" t="str">
        <f>"6.80"</f>
        <v>6.80</v>
      </c>
      <c r="L553" t="str">
        <f t="shared" si="183"/>
        <v>0.00</v>
      </c>
      <c r="M553" t="str">
        <f t="shared" si="183"/>
        <v>0.00</v>
      </c>
      <c r="N553" t="str">
        <f t="shared" si="179"/>
        <v>0.00</v>
      </c>
      <c r="O553" t="str">
        <f>"300357"</f>
        <v>300357</v>
      </c>
      <c r="P553" t="str">
        <f t="shared" si="184"/>
        <v>0153613480</v>
      </c>
    </row>
    <row r="554" spans="1:16" x14ac:dyDescent="0.25">
      <c r="A554" t="str">
        <f t="shared" si="163"/>
        <v>人民币</v>
      </c>
      <c r="B554" t="str">
        <f>"精测电子"</f>
        <v>精测电子</v>
      </c>
      <c r="C554" t="str">
        <f>"20191202"</f>
        <v>20191202</v>
      </c>
      <c r="D554" t="str">
        <f>"41.000"</f>
        <v>41.000</v>
      </c>
      <c r="E554" t="str">
        <f>"-1000.00"</f>
        <v>-1000.00</v>
      </c>
      <c r="F554" t="str">
        <f>"40946.70"</f>
        <v>40946.70</v>
      </c>
      <c r="G554" t="str">
        <f>"126973.43"</f>
        <v>126973.43</v>
      </c>
      <c r="H554" t="str">
        <f>"0.00"</f>
        <v>0.00</v>
      </c>
      <c r="I554" t="str">
        <f>"612"</f>
        <v>612</v>
      </c>
      <c r="J554" t="str">
        <f>"证券卖出(精测电子)"</f>
        <v>证券卖出(精测电子)</v>
      </c>
      <c r="K554" t="str">
        <f>"12.30"</f>
        <v>12.30</v>
      </c>
      <c r="L554" t="str">
        <f>"41.00"</f>
        <v>41.00</v>
      </c>
      <c r="M554" t="str">
        <f t="shared" si="183"/>
        <v>0.00</v>
      </c>
      <c r="N554" t="str">
        <f t="shared" si="183"/>
        <v>0.00</v>
      </c>
      <c r="O554" t="str">
        <f>"300567"</f>
        <v>300567</v>
      </c>
      <c r="P554" t="str">
        <f t="shared" si="184"/>
        <v>0153613480</v>
      </c>
    </row>
    <row r="555" spans="1:16" x14ac:dyDescent="0.25">
      <c r="A555" t="str">
        <f t="shared" si="163"/>
        <v>人民币</v>
      </c>
      <c r="B555" t="str">
        <f>"我武生物"</f>
        <v>我武生物</v>
      </c>
      <c r="C555" t="str">
        <f>"20191203"</f>
        <v>20191203</v>
      </c>
      <c r="D555" t="str">
        <f>"44.000"</f>
        <v>44.000</v>
      </c>
      <c r="E555" t="str">
        <f>"500.00"</f>
        <v>500.00</v>
      </c>
      <c r="F555" t="str">
        <f>"-22006.60"</f>
        <v>-22006.60</v>
      </c>
      <c r="G555" t="str">
        <f>"21143.21"</f>
        <v>21143.21</v>
      </c>
      <c r="H555" t="str">
        <f>"2000.00"</f>
        <v>2000.00</v>
      </c>
      <c r="I555" t="str">
        <f>"5"</f>
        <v>5</v>
      </c>
      <c r="J555" t="str">
        <f>"证券买入(我武生物)"</f>
        <v>证券买入(我武生物)</v>
      </c>
      <c r="K555" t="str">
        <f>"6.60"</f>
        <v>6.60</v>
      </c>
      <c r="L555" t="str">
        <f>"0.00"</f>
        <v>0.00</v>
      </c>
      <c r="M555" t="str">
        <f t="shared" si="183"/>
        <v>0.00</v>
      </c>
      <c r="N555" t="str">
        <f t="shared" si="183"/>
        <v>0.00</v>
      </c>
      <c r="O555" t="str">
        <f>"300357"</f>
        <v>300357</v>
      </c>
      <c r="P555" t="str">
        <f t="shared" si="184"/>
        <v>0153613480</v>
      </c>
    </row>
    <row r="556" spans="1:16" x14ac:dyDescent="0.25">
      <c r="A556" t="str">
        <f t="shared" ref="A556:A588" si="185">"人民币"</f>
        <v>人民币</v>
      </c>
      <c r="B556" t="str">
        <f>"奥飞娱乐"</f>
        <v>奥飞娱乐</v>
      </c>
      <c r="C556" t="str">
        <f>"20191203"</f>
        <v>20191203</v>
      </c>
      <c r="D556" t="str">
        <f>"8.540"</f>
        <v>8.540</v>
      </c>
      <c r="E556" t="str">
        <f>"2000.00"</f>
        <v>2000.00</v>
      </c>
      <c r="F556" t="str">
        <f>"-17085.13"</f>
        <v>-17085.13</v>
      </c>
      <c r="G556" t="str">
        <f>"43149.81"</f>
        <v>43149.81</v>
      </c>
      <c r="H556" t="str">
        <f>"2000.00"</f>
        <v>2000.00</v>
      </c>
      <c r="I556" t="str">
        <f>"1"</f>
        <v>1</v>
      </c>
      <c r="J556" t="str">
        <f>"证券买入(奥飞娱乐)"</f>
        <v>证券买入(奥飞娱乐)</v>
      </c>
      <c r="K556" t="str">
        <f>"5.13"</f>
        <v>5.13</v>
      </c>
      <c r="L556" t="str">
        <f>"0.00"</f>
        <v>0.00</v>
      </c>
      <c r="M556" t="str">
        <f t="shared" si="183"/>
        <v>0.00</v>
      </c>
      <c r="N556" t="str">
        <f t="shared" si="183"/>
        <v>0.00</v>
      </c>
      <c r="O556" t="str">
        <f>"002292"</f>
        <v>002292</v>
      </c>
      <c r="P556" t="str">
        <f t="shared" si="184"/>
        <v>0153613480</v>
      </c>
    </row>
    <row r="557" spans="1:16" x14ac:dyDescent="0.25">
      <c r="A557" t="str">
        <f t="shared" si="185"/>
        <v>人民币</v>
      </c>
      <c r="B557" t="str">
        <f>"成燃配号"</f>
        <v>成燃配号</v>
      </c>
      <c r="C557" t="str">
        <f>"20191203"</f>
        <v>20191203</v>
      </c>
      <c r="D557" t="str">
        <f>"0.000"</f>
        <v>0.000</v>
      </c>
      <c r="E557" t="str">
        <f>"6.00"</f>
        <v>6.00</v>
      </c>
      <c r="F557" t="str">
        <f>"0.00"</f>
        <v>0.00</v>
      </c>
      <c r="G557" t="str">
        <f>"60234.94"</f>
        <v>60234.94</v>
      </c>
      <c r="H557" t="str">
        <f>"0.00"</f>
        <v>0.00</v>
      </c>
      <c r="I557" t="str">
        <f>"8"</f>
        <v>8</v>
      </c>
      <c r="J557" t="str">
        <f>"申购配号(成燃配号)"</f>
        <v>申购配号(成燃配号)</v>
      </c>
      <c r="K557" t="str">
        <f>"0.00"</f>
        <v>0.00</v>
      </c>
      <c r="L557" t="str">
        <f>"0.00"</f>
        <v>0.00</v>
      </c>
      <c r="M557" t="str">
        <f t="shared" si="183"/>
        <v>0.00</v>
      </c>
      <c r="N557" t="str">
        <f t="shared" si="183"/>
        <v>0.00</v>
      </c>
      <c r="O557" t="str">
        <f>"736053"</f>
        <v>736053</v>
      </c>
      <c r="P557" t="str">
        <f>"A400948245"</f>
        <v>A400948245</v>
      </c>
    </row>
    <row r="558" spans="1:16" x14ac:dyDescent="0.25">
      <c r="A558" t="str">
        <f t="shared" si="185"/>
        <v>人民币</v>
      </c>
      <c r="B558" t="str">
        <f>"锐明技术"</f>
        <v>锐明技术</v>
      </c>
      <c r="C558" t="str">
        <f t="shared" ref="C558:C564" si="186">"20191204"</f>
        <v>20191204</v>
      </c>
      <c r="D558" t="str">
        <f>"0.000"</f>
        <v>0.000</v>
      </c>
      <c r="E558" t="str">
        <f>"17.00"</f>
        <v>17.00</v>
      </c>
      <c r="F558" t="str">
        <f>"0.00"</f>
        <v>0.00</v>
      </c>
      <c r="G558" t="str">
        <f>"44820.78"</f>
        <v>44820.78</v>
      </c>
      <c r="H558" t="str">
        <f>"0.00"</f>
        <v>0.00</v>
      </c>
      <c r="I558" t="str">
        <f>"13"</f>
        <v>13</v>
      </c>
      <c r="J558" t="str">
        <f>"申购配号(锐明技术)"</f>
        <v>申购配号(锐明技术)</v>
      </c>
      <c r="K558" t="str">
        <f>"0.00"</f>
        <v>0.00</v>
      </c>
      <c r="L558" t="str">
        <f>"0.00"</f>
        <v>0.00</v>
      </c>
      <c r="M558" t="str">
        <f t="shared" si="183"/>
        <v>0.00</v>
      </c>
      <c r="N558" t="str">
        <f t="shared" si="183"/>
        <v>0.00</v>
      </c>
      <c r="O558" t="str">
        <f>"002970"</f>
        <v>002970</v>
      </c>
      <c r="P558" t="str">
        <f t="shared" ref="P558:P563" si="187">"0153613480"</f>
        <v>0153613480</v>
      </c>
    </row>
    <row r="559" spans="1:16" x14ac:dyDescent="0.25">
      <c r="A559" t="str">
        <f t="shared" si="185"/>
        <v>人民币</v>
      </c>
      <c r="B559" t="str">
        <f>"奥飞娱乐"</f>
        <v>奥飞娱乐</v>
      </c>
      <c r="C559" t="str">
        <f t="shared" si="186"/>
        <v>20191204</v>
      </c>
      <c r="D559" t="str">
        <f>"8.910"</f>
        <v>8.910</v>
      </c>
      <c r="E559" t="str">
        <f>"-2000.00"</f>
        <v>-2000.00</v>
      </c>
      <c r="F559" t="str">
        <f>"17796.83"</f>
        <v>17796.83</v>
      </c>
      <c r="G559" t="str">
        <f>"44820.78"</f>
        <v>44820.78</v>
      </c>
      <c r="H559" t="str">
        <f>"0.00"</f>
        <v>0.00</v>
      </c>
      <c r="I559" t="str">
        <f>"32"</f>
        <v>32</v>
      </c>
      <c r="J559" t="str">
        <f>"证券卖出(奥飞娱乐)"</f>
        <v>证券卖出(奥飞娱乐)</v>
      </c>
      <c r="K559" t="str">
        <f>"5.35"</f>
        <v>5.35</v>
      </c>
      <c r="L559" t="str">
        <f>"17.82"</f>
        <v>17.82</v>
      </c>
      <c r="M559" t="str">
        <f t="shared" si="183"/>
        <v>0.00</v>
      </c>
      <c r="N559" t="str">
        <f t="shared" si="183"/>
        <v>0.00</v>
      </c>
      <c r="O559" t="str">
        <f>"002292"</f>
        <v>002292</v>
      </c>
      <c r="P559" t="str">
        <f t="shared" si="187"/>
        <v>0153613480</v>
      </c>
    </row>
    <row r="560" spans="1:16" x14ac:dyDescent="0.25">
      <c r="A560" t="str">
        <f t="shared" si="185"/>
        <v>人民币</v>
      </c>
      <c r="B560" t="str">
        <f>"光弘科技"</f>
        <v>光弘科技</v>
      </c>
      <c r="C560" t="str">
        <f t="shared" si="186"/>
        <v>20191204</v>
      </c>
      <c r="D560" t="str">
        <f>"27.220"</f>
        <v>27.220</v>
      </c>
      <c r="E560" t="str">
        <f>"300.00"</f>
        <v>300.00</v>
      </c>
      <c r="F560" t="str">
        <f>"-8171.00"</f>
        <v>-8171.00</v>
      </c>
      <c r="G560" t="str">
        <f>"27023.95"</f>
        <v>27023.95</v>
      </c>
      <c r="H560" t="str">
        <f>"1000.00"</f>
        <v>1000.00</v>
      </c>
      <c r="I560" t="str">
        <f>"25"</f>
        <v>25</v>
      </c>
      <c r="J560" t="str">
        <f>"证券买入(光弘科技)"</f>
        <v>证券买入(光弘科技)</v>
      </c>
      <c r="K560" t="str">
        <f>"5.00"</f>
        <v>5.00</v>
      </c>
      <c r="L560" t="str">
        <f>"0.00"</f>
        <v>0.00</v>
      </c>
      <c r="M560" t="str">
        <f t="shared" si="183"/>
        <v>0.00</v>
      </c>
      <c r="N560" t="str">
        <f t="shared" si="183"/>
        <v>0.00</v>
      </c>
      <c r="O560" t="str">
        <f>"300735"</f>
        <v>300735</v>
      </c>
      <c r="P560" t="str">
        <f t="shared" si="187"/>
        <v>0153613480</v>
      </c>
    </row>
    <row r="561" spans="1:16" x14ac:dyDescent="0.25">
      <c r="A561" t="str">
        <f t="shared" si="185"/>
        <v>人民币</v>
      </c>
      <c r="B561" t="str">
        <f>"光弘科技"</f>
        <v>光弘科技</v>
      </c>
      <c r="C561" t="str">
        <f t="shared" si="186"/>
        <v>20191204</v>
      </c>
      <c r="D561" t="str">
        <f>"27.390"</f>
        <v>27.390</v>
      </c>
      <c r="E561" t="str">
        <f>"700.00"</f>
        <v>700.00</v>
      </c>
      <c r="F561" t="str">
        <f>"-19178.75"</f>
        <v>-19178.75</v>
      </c>
      <c r="G561" t="str">
        <f>"35194.95"</f>
        <v>35194.95</v>
      </c>
      <c r="H561" t="str">
        <f>"700.00"</f>
        <v>700.00</v>
      </c>
      <c r="I561" t="str">
        <f>"15"</f>
        <v>15</v>
      </c>
      <c r="J561" t="str">
        <f>"证券买入(光弘科技)"</f>
        <v>证券买入(光弘科技)</v>
      </c>
      <c r="K561" t="str">
        <f>"5.75"</f>
        <v>5.75</v>
      </c>
      <c r="L561" t="str">
        <f>"0.00"</f>
        <v>0.00</v>
      </c>
      <c r="M561" t="str">
        <f t="shared" si="183"/>
        <v>0.00</v>
      </c>
      <c r="N561" t="str">
        <f t="shared" si="183"/>
        <v>0.00</v>
      </c>
      <c r="O561" t="str">
        <f>"300735"</f>
        <v>300735</v>
      </c>
      <c r="P561" t="str">
        <f t="shared" si="187"/>
        <v>0153613480</v>
      </c>
    </row>
    <row r="562" spans="1:16" x14ac:dyDescent="0.25">
      <c r="A562" t="str">
        <f t="shared" si="185"/>
        <v>人民币</v>
      </c>
      <c r="B562" t="str">
        <f>"神州数码"</f>
        <v>神州数码</v>
      </c>
      <c r="C562" t="str">
        <f t="shared" si="186"/>
        <v>20191204</v>
      </c>
      <c r="D562" t="str">
        <f>"18.870"</f>
        <v>18.870</v>
      </c>
      <c r="E562" t="str">
        <f>"500.00"</f>
        <v>500.00</v>
      </c>
      <c r="F562" t="str">
        <f>"-9440.00"</f>
        <v>-9440.00</v>
      </c>
      <c r="G562" t="str">
        <f>"54373.70"</f>
        <v>54373.70</v>
      </c>
      <c r="H562" t="str">
        <f>"500.00"</f>
        <v>500.00</v>
      </c>
      <c r="I562" t="str">
        <f>"38"</f>
        <v>38</v>
      </c>
      <c r="J562" t="str">
        <f>"证券买入(神州数码)"</f>
        <v>证券买入(神州数码)</v>
      </c>
      <c r="K562" t="str">
        <f>"5.00"</f>
        <v>5.00</v>
      </c>
      <c r="L562" t="str">
        <f>"0.00"</f>
        <v>0.00</v>
      </c>
      <c r="M562" t="str">
        <f t="shared" si="183"/>
        <v>0.00</v>
      </c>
      <c r="N562" t="str">
        <f t="shared" si="183"/>
        <v>0.00</v>
      </c>
      <c r="O562" t="str">
        <f>"000034"</f>
        <v>000034</v>
      </c>
      <c r="P562" t="str">
        <f t="shared" si="187"/>
        <v>0153613480</v>
      </c>
    </row>
    <row r="563" spans="1:16" x14ac:dyDescent="0.25">
      <c r="A563" t="str">
        <f t="shared" si="185"/>
        <v>人民币</v>
      </c>
      <c r="B563" t="str">
        <f>"我武生物"</f>
        <v>我武生物</v>
      </c>
      <c r="C563" t="str">
        <f t="shared" si="186"/>
        <v>20191204</v>
      </c>
      <c r="D563" t="str">
        <f>"45.400"</f>
        <v>45.400</v>
      </c>
      <c r="E563" t="str">
        <f>"-500.00"</f>
        <v>-500.00</v>
      </c>
      <c r="F563" t="str">
        <f>"22670.49"</f>
        <v>22670.49</v>
      </c>
      <c r="G563" t="str">
        <f>"63813.70"</f>
        <v>63813.70</v>
      </c>
      <c r="H563" t="str">
        <f>"1500.00"</f>
        <v>1500.00</v>
      </c>
      <c r="I563" t="str">
        <f>"35"</f>
        <v>35</v>
      </c>
      <c r="J563" t="str">
        <f>"证券卖出(我武生物)"</f>
        <v>证券卖出(我武生物)</v>
      </c>
      <c r="K563" t="str">
        <f>"6.81"</f>
        <v>6.81</v>
      </c>
      <c r="L563" t="str">
        <f>"22.70"</f>
        <v>22.70</v>
      </c>
      <c r="M563" t="str">
        <f t="shared" si="183"/>
        <v>0.00</v>
      </c>
      <c r="N563" t="str">
        <f t="shared" si="183"/>
        <v>0.00</v>
      </c>
      <c r="O563" t="str">
        <f>"300357"</f>
        <v>300357</v>
      </c>
      <c r="P563" t="str">
        <f t="shared" si="187"/>
        <v>0153613480</v>
      </c>
    </row>
    <row r="564" spans="1:16" x14ac:dyDescent="0.25">
      <c r="A564" t="str">
        <f t="shared" si="185"/>
        <v>人民币</v>
      </c>
      <c r="B564" t="str">
        <f>""</f>
        <v/>
      </c>
      <c r="C564" t="str">
        <f t="shared" si="186"/>
        <v>20191204</v>
      </c>
      <c r="D564" t="str">
        <f>"---"</f>
        <v>---</v>
      </c>
      <c r="E564" t="str">
        <f>"---"</f>
        <v>---</v>
      </c>
      <c r="F564" t="str">
        <f>"20000.00"</f>
        <v>20000.00</v>
      </c>
      <c r="G564" t="str">
        <f>"41143.21"</f>
        <v>41143.21</v>
      </c>
      <c r="H564" t="str">
        <f>"---"</f>
        <v>---</v>
      </c>
      <c r="I564" t="str">
        <f>"---"</f>
        <v>---</v>
      </c>
      <c r="J564" t="str">
        <f>"银行转存"</f>
        <v>银行转存</v>
      </c>
      <c r="K564" t="str">
        <f t="shared" ref="K564:P564" si="188">"---"</f>
        <v>---</v>
      </c>
      <c r="L564" t="str">
        <f t="shared" si="188"/>
        <v>---</v>
      </c>
      <c r="M564" t="str">
        <f t="shared" si="188"/>
        <v>---</v>
      </c>
      <c r="N564" t="str">
        <f t="shared" si="188"/>
        <v>---</v>
      </c>
      <c r="O564" t="str">
        <f t="shared" si="188"/>
        <v>---</v>
      </c>
      <c r="P564" t="str">
        <f t="shared" si="188"/>
        <v>---</v>
      </c>
    </row>
    <row r="565" spans="1:16" x14ac:dyDescent="0.25">
      <c r="A565" t="str">
        <f t="shared" si="185"/>
        <v>人民币</v>
      </c>
      <c r="B565" t="str">
        <f>"天迈科技"</f>
        <v>天迈科技</v>
      </c>
      <c r="C565" t="str">
        <f t="shared" ref="C565:C571" si="189">"20191205"</f>
        <v>20191205</v>
      </c>
      <c r="D565" t="str">
        <f>"0.000"</f>
        <v>0.000</v>
      </c>
      <c r="E565" t="str">
        <f>"29.00"</f>
        <v>29.00</v>
      </c>
      <c r="F565" t="str">
        <f>"0.00"</f>
        <v>0.00</v>
      </c>
      <c r="G565" t="str">
        <f>"98100.68"</f>
        <v>98100.68</v>
      </c>
      <c r="H565" t="str">
        <f>"0.00"</f>
        <v>0.00</v>
      </c>
      <c r="I565" t="str">
        <f>"51"</f>
        <v>51</v>
      </c>
      <c r="J565" t="str">
        <f>"申购配号(天迈科技)"</f>
        <v>申购配号(天迈科技)</v>
      </c>
      <c r="K565" t="str">
        <f>"0.00"</f>
        <v>0.00</v>
      </c>
      <c r="L565" t="str">
        <f>"0.00"</f>
        <v>0.00</v>
      </c>
      <c r="M565" t="str">
        <f>"0.00"</f>
        <v>0.00</v>
      </c>
      <c r="N565" t="str">
        <f>"0.00"</f>
        <v>0.00</v>
      </c>
      <c r="O565" t="str">
        <f>"300807"</f>
        <v>300807</v>
      </c>
      <c r="P565" t="str">
        <f t="shared" ref="P565:P578" si="190">"0153613480"</f>
        <v>0153613480</v>
      </c>
    </row>
    <row r="566" spans="1:16" x14ac:dyDescent="0.25">
      <c r="A566" t="str">
        <f t="shared" si="185"/>
        <v>人民币</v>
      </c>
      <c r="B566" t="str">
        <f>"四方精创"</f>
        <v>四方精创</v>
      </c>
      <c r="C566" t="str">
        <f t="shared" si="189"/>
        <v>20191205</v>
      </c>
      <c r="D566" t="str">
        <f>"31.250"</f>
        <v>31.250</v>
      </c>
      <c r="E566" t="str">
        <f>"-1000.00"</f>
        <v>-1000.00</v>
      </c>
      <c r="F566" t="str">
        <f>"31209.36"</f>
        <v>31209.36</v>
      </c>
      <c r="G566" t="str">
        <f>"98100.68"</f>
        <v>98100.68</v>
      </c>
      <c r="H566" t="str">
        <f>"0.00"</f>
        <v>0.00</v>
      </c>
      <c r="I566" t="str">
        <f>"72"</f>
        <v>72</v>
      </c>
      <c r="J566" t="str">
        <f>"证券卖出(四方精创)"</f>
        <v>证券卖出(四方精创)</v>
      </c>
      <c r="K566" t="str">
        <f>"9.38"</f>
        <v>9.38</v>
      </c>
      <c r="L566" t="str">
        <f>"31.26"</f>
        <v>31.26</v>
      </c>
      <c r="M566" t="str">
        <f t="shared" ref="M566:N578" si="191">"0.00"</f>
        <v>0.00</v>
      </c>
      <c r="N566" t="str">
        <f t="shared" si="191"/>
        <v>0.00</v>
      </c>
      <c r="O566" t="str">
        <f>"300468"</f>
        <v>300468</v>
      </c>
      <c r="P566" t="str">
        <f t="shared" si="190"/>
        <v>0153613480</v>
      </c>
    </row>
    <row r="567" spans="1:16" x14ac:dyDescent="0.25">
      <c r="A567" t="str">
        <f t="shared" si="185"/>
        <v>人民币</v>
      </c>
      <c r="B567" t="str">
        <f>"科瑞技术"</f>
        <v>科瑞技术</v>
      </c>
      <c r="C567" t="str">
        <f t="shared" si="189"/>
        <v>20191205</v>
      </c>
      <c r="D567" t="str">
        <f>"32.080"</f>
        <v>32.080</v>
      </c>
      <c r="E567" t="str">
        <f>"600.00"</f>
        <v>600.00</v>
      </c>
      <c r="F567" t="str">
        <f>"-19253.78"</f>
        <v>-19253.78</v>
      </c>
      <c r="G567" t="str">
        <f>"66891.32"</f>
        <v>66891.32</v>
      </c>
      <c r="H567" t="str">
        <f>"1200.00"</f>
        <v>1200.00</v>
      </c>
      <c r="I567" t="str">
        <f>"75"</f>
        <v>75</v>
      </c>
      <c r="J567" t="str">
        <f>"证券买入(科瑞技术)"</f>
        <v>证券买入(科瑞技术)</v>
      </c>
      <c r="K567" t="str">
        <f>"5.78"</f>
        <v>5.78</v>
      </c>
      <c r="L567" t="str">
        <f>"0.00"</f>
        <v>0.00</v>
      </c>
      <c r="M567" t="str">
        <f t="shared" si="191"/>
        <v>0.00</v>
      </c>
      <c r="N567" t="str">
        <f t="shared" si="191"/>
        <v>0.00</v>
      </c>
      <c r="O567" t="str">
        <f>"002957"</f>
        <v>002957</v>
      </c>
      <c r="P567" t="str">
        <f t="shared" si="190"/>
        <v>0153613480</v>
      </c>
    </row>
    <row r="568" spans="1:16" x14ac:dyDescent="0.25">
      <c r="A568" t="str">
        <f t="shared" si="185"/>
        <v>人民币</v>
      </c>
      <c r="B568" t="str">
        <f>"科瑞技术"</f>
        <v>科瑞技术</v>
      </c>
      <c r="C568" t="str">
        <f t="shared" si="189"/>
        <v>20191205</v>
      </c>
      <c r="D568" t="str">
        <f>"31.990"</f>
        <v>31.990</v>
      </c>
      <c r="E568" t="str">
        <f>"600.00"</f>
        <v>600.00</v>
      </c>
      <c r="F568" t="str">
        <f>"-19199.76"</f>
        <v>-19199.76</v>
      </c>
      <c r="G568" t="str">
        <f>"86145.10"</f>
        <v>86145.10</v>
      </c>
      <c r="H568" t="str">
        <f>"600.00"</f>
        <v>600.00</v>
      </c>
      <c r="I568" t="str">
        <f>"69"</f>
        <v>69</v>
      </c>
      <c r="J568" t="str">
        <f>"证券买入(科瑞技术)"</f>
        <v>证券买入(科瑞技术)</v>
      </c>
      <c r="K568" t="str">
        <f>"5.76"</f>
        <v>5.76</v>
      </c>
      <c r="L568" t="str">
        <f>"0.00"</f>
        <v>0.00</v>
      </c>
      <c r="M568" t="str">
        <f t="shared" si="191"/>
        <v>0.00</v>
      </c>
      <c r="N568" t="str">
        <f t="shared" si="191"/>
        <v>0.00</v>
      </c>
      <c r="O568" t="str">
        <f>"002957"</f>
        <v>002957</v>
      </c>
      <c r="P568" t="str">
        <f t="shared" si="190"/>
        <v>0153613480</v>
      </c>
    </row>
    <row r="569" spans="1:16" x14ac:dyDescent="0.25">
      <c r="A569" t="str">
        <f t="shared" si="185"/>
        <v>人民币</v>
      </c>
      <c r="B569" t="str">
        <f>"光弘科技"</f>
        <v>光弘科技</v>
      </c>
      <c r="C569" t="str">
        <f t="shared" si="189"/>
        <v>20191205</v>
      </c>
      <c r="D569" t="str">
        <f>"27.840"</f>
        <v>27.840</v>
      </c>
      <c r="E569" t="str">
        <f>"-1000.00"</f>
        <v>-1000.00</v>
      </c>
      <c r="F569" t="str">
        <f>"27803.81"</f>
        <v>27803.81</v>
      </c>
      <c r="G569" t="str">
        <f>"105344.86"</f>
        <v>105344.86</v>
      </c>
      <c r="H569" t="str">
        <f>"0.00"</f>
        <v>0.00</v>
      </c>
      <c r="I569" t="str">
        <f>"56"</f>
        <v>56</v>
      </c>
      <c r="J569" t="str">
        <f>"证券卖出(光弘科技)"</f>
        <v>证券卖出(光弘科技)</v>
      </c>
      <c r="K569" t="str">
        <f>"8.35"</f>
        <v>8.35</v>
      </c>
      <c r="L569" t="str">
        <f>"27.84"</f>
        <v>27.84</v>
      </c>
      <c r="M569" t="str">
        <f t="shared" si="191"/>
        <v>0.00</v>
      </c>
      <c r="N569" t="str">
        <f t="shared" si="191"/>
        <v>0.00</v>
      </c>
      <c r="O569" t="str">
        <f>"300735"</f>
        <v>300735</v>
      </c>
      <c r="P569" t="str">
        <f t="shared" si="190"/>
        <v>0153613480</v>
      </c>
    </row>
    <row r="570" spans="1:16" x14ac:dyDescent="0.25">
      <c r="A570" t="str">
        <f t="shared" si="185"/>
        <v>人民币</v>
      </c>
      <c r="B570" t="str">
        <f>"我武生物"</f>
        <v>我武生物</v>
      </c>
      <c r="C570" t="str">
        <f t="shared" si="189"/>
        <v>20191205</v>
      </c>
      <c r="D570" t="str">
        <f>"46.410"</f>
        <v>46.410</v>
      </c>
      <c r="E570" t="str">
        <f>"-500.00"</f>
        <v>-500.00</v>
      </c>
      <c r="F570" t="str">
        <f>"23174.83"</f>
        <v>23174.83</v>
      </c>
      <c r="G570" t="str">
        <f>"77541.05"</f>
        <v>77541.05</v>
      </c>
      <c r="H570" t="str">
        <f>"1000.00"</f>
        <v>1000.00</v>
      </c>
      <c r="I570" t="str">
        <f>"53"</f>
        <v>53</v>
      </c>
      <c r="J570" t="str">
        <f>"证券卖出(我武生物)"</f>
        <v>证券卖出(我武生物)</v>
      </c>
      <c r="K570" t="str">
        <f>"6.96"</f>
        <v>6.96</v>
      </c>
      <c r="L570" t="str">
        <f>"23.21"</f>
        <v>23.21</v>
      </c>
      <c r="M570" t="str">
        <f t="shared" si="191"/>
        <v>0.00</v>
      </c>
      <c r="N570" t="str">
        <f t="shared" si="191"/>
        <v>0.00</v>
      </c>
      <c r="O570" t="str">
        <f>"300357"</f>
        <v>300357</v>
      </c>
      <c r="P570" t="str">
        <f t="shared" si="190"/>
        <v>0153613480</v>
      </c>
    </row>
    <row r="571" spans="1:16" x14ac:dyDescent="0.25">
      <c r="A571" t="str">
        <f t="shared" si="185"/>
        <v>人民币</v>
      </c>
      <c r="B571" t="str">
        <f>"神州数码"</f>
        <v>神州数码</v>
      </c>
      <c r="C571" t="str">
        <f t="shared" si="189"/>
        <v>20191205</v>
      </c>
      <c r="D571" t="str">
        <f>"19.120"</f>
        <v>19.120</v>
      </c>
      <c r="E571" t="str">
        <f>"-500.00"</f>
        <v>-500.00</v>
      </c>
      <c r="F571" t="str">
        <f>"9545.44"</f>
        <v>9545.44</v>
      </c>
      <c r="G571" t="str">
        <f>"54366.22"</f>
        <v>54366.22</v>
      </c>
      <c r="H571" t="str">
        <f>"0.00"</f>
        <v>0.00</v>
      </c>
      <c r="I571" t="str">
        <f>"62"</f>
        <v>62</v>
      </c>
      <c r="J571" t="str">
        <f>"证券卖出(神州数码)"</f>
        <v>证券卖出(神州数码)</v>
      </c>
      <c r="K571" t="str">
        <f>"5.00"</f>
        <v>5.00</v>
      </c>
      <c r="L571" t="str">
        <f>"9.56"</f>
        <v>9.56</v>
      </c>
      <c r="M571" t="str">
        <f t="shared" si="191"/>
        <v>0.00</v>
      </c>
      <c r="N571" t="str">
        <f t="shared" si="191"/>
        <v>0.00</v>
      </c>
      <c r="O571" t="str">
        <f>"000034"</f>
        <v>000034</v>
      </c>
      <c r="P571" t="str">
        <f t="shared" si="190"/>
        <v>0153613480</v>
      </c>
    </row>
    <row r="572" spans="1:16" x14ac:dyDescent="0.25">
      <c r="A572" t="str">
        <f t="shared" si="185"/>
        <v>人民币</v>
      </c>
      <c r="B572" t="str">
        <f>"我武生物"</f>
        <v>我武生物</v>
      </c>
      <c r="C572" t="str">
        <f t="shared" ref="C572:C579" si="192">"20191206"</f>
        <v>20191206</v>
      </c>
      <c r="D572" t="str">
        <f>"47.048"</f>
        <v>47.048</v>
      </c>
      <c r="E572" t="str">
        <f>"600.00"</f>
        <v>600.00</v>
      </c>
      <c r="F572" t="str">
        <f>"-28237.47"</f>
        <v>-28237.47</v>
      </c>
      <c r="G572" t="str">
        <f>"54018.69"</f>
        <v>54018.69</v>
      </c>
      <c r="H572" t="str">
        <f>"1000.00"</f>
        <v>1000.00</v>
      </c>
      <c r="I572" t="str">
        <f>"106"</f>
        <v>106</v>
      </c>
      <c r="J572" t="str">
        <f>"证券买入(我武生物)"</f>
        <v>证券买入(我武生物)</v>
      </c>
      <c r="K572" t="str">
        <f>"8.47"</f>
        <v>8.47</v>
      </c>
      <c r="L572" t="str">
        <f>"0.00"</f>
        <v>0.00</v>
      </c>
      <c r="M572" t="str">
        <f t="shared" si="191"/>
        <v>0.00</v>
      </c>
      <c r="N572" t="str">
        <f t="shared" si="191"/>
        <v>0.00</v>
      </c>
      <c r="O572" t="str">
        <f>"300357"</f>
        <v>300357</v>
      </c>
      <c r="P572" t="str">
        <f t="shared" si="190"/>
        <v>0153613480</v>
      </c>
    </row>
    <row r="573" spans="1:16" x14ac:dyDescent="0.25">
      <c r="A573" t="str">
        <f t="shared" si="185"/>
        <v>人民币</v>
      </c>
      <c r="B573" t="str">
        <f>"我武生物"</f>
        <v>我武生物</v>
      </c>
      <c r="C573" t="str">
        <f t="shared" si="192"/>
        <v>20191206</v>
      </c>
      <c r="D573" t="str">
        <f>"48.080"</f>
        <v>48.080</v>
      </c>
      <c r="E573" t="str">
        <f>"-600.00"</f>
        <v>-600.00</v>
      </c>
      <c r="F573" t="str">
        <f>"28810.49"</f>
        <v>28810.49</v>
      </c>
      <c r="G573" t="str">
        <f>"82256.16"</f>
        <v>82256.16</v>
      </c>
      <c r="H573" t="str">
        <f>"400.00"</f>
        <v>400.00</v>
      </c>
      <c r="I573" t="str">
        <f>"85"</f>
        <v>85</v>
      </c>
      <c r="J573" t="str">
        <f>"证券卖出(我武生物)"</f>
        <v>证券卖出(我武生物)</v>
      </c>
      <c r="K573" t="str">
        <f>"8.66"</f>
        <v>8.66</v>
      </c>
      <c r="L573" t="str">
        <f>"28.85"</f>
        <v>28.85</v>
      </c>
      <c r="M573" t="str">
        <f t="shared" si="191"/>
        <v>0.00</v>
      </c>
      <c r="N573" t="str">
        <f t="shared" si="191"/>
        <v>0.00</v>
      </c>
      <c r="O573" t="str">
        <f>"300357"</f>
        <v>300357</v>
      </c>
      <c r="P573" t="str">
        <f t="shared" si="190"/>
        <v>0153613480</v>
      </c>
    </row>
    <row r="574" spans="1:16" x14ac:dyDescent="0.25">
      <c r="A574" t="str">
        <f t="shared" si="185"/>
        <v>人民币</v>
      </c>
      <c r="B574" t="str">
        <f>"恒铭达"</f>
        <v>恒铭达</v>
      </c>
      <c r="C574" t="str">
        <f t="shared" si="192"/>
        <v>20191206</v>
      </c>
      <c r="D574" t="str">
        <f>"55.230"</f>
        <v>55.230</v>
      </c>
      <c r="E574" t="str">
        <f>"-1000.00"</f>
        <v>-1000.00</v>
      </c>
      <c r="F574" t="str">
        <f>"55158.20"</f>
        <v>55158.20</v>
      </c>
      <c r="G574" t="str">
        <f>"53445.67"</f>
        <v>53445.67</v>
      </c>
      <c r="H574" t="str">
        <f>"0.00"</f>
        <v>0.00</v>
      </c>
      <c r="I574" t="str">
        <f>"110"</f>
        <v>110</v>
      </c>
      <c r="J574" t="str">
        <f>"证券卖出(恒铭达)"</f>
        <v>证券卖出(恒铭达)</v>
      </c>
      <c r="K574" t="str">
        <f>"16.57"</f>
        <v>16.57</v>
      </c>
      <c r="L574" t="str">
        <f>"55.23"</f>
        <v>55.23</v>
      </c>
      <c r="M574" t="str">
        <f t="shared" si="191"/>
        <v>0.00</v>
      </c>
      <c r="N574" t="str">
        <f t="shared" si="191"/>
        <v>0.00</v>
      </c>
      <c r="O574" t="str">
        <f>"002947"</f>
        <v>002947</v>
      </c>
      <c r="P574" t="str">
        <f t="shared" si="190"/>
        <v>0153613480</v>
      </c>
    </row>
    <row r="575" spans="1:16" x14ac:dyDescent="0.25">
      <c r="A575" t="str">
        <f t="shared" si="185"/>
        <v>人民币</v>
      </c>
      <c r="B575" t="str">
        <f>"香山股份"</f>
        <v>香山股份</v>
      </c>
      <c r="C575" t="str">
        <f t="shared" si="192"/>
        <v>20191206</v>
      </c>
      <c r="D575" t="str">
        <f>"23.650"</f>
        <v>23.650</v>
      </c>
      <c r="E575" t="str">
        <f>"500.00"</f>
        <v>500.00</v>
      </c>
      <c r="F575" t="str">
        <f>"-11830.00"</f>
        <v>-11830.00</v>
      </c>
      <c r="G575" t="str">
        <f>"-1712.53"</f>
        <v>-1712.53</v>
      </c>
      <c r="H575" t="str">
        <f>"2500.00"</f>
        <v>2500.00</v>
      </c>
      <c r="I575" t="str">
        <f>"99"</f>
        <v>99</v>
      </c>
      <c r="J575" t="str">
        <f>"证券买入(香山股份)"</f>
        <v>证券买入(香山股份)</v>
      </c>
      <c r="K575" t="str">
        <f>"5.00"</f>
        <v>5.00</v>
      </c>
      <c r="L575" t="str">
        <f>"0.00"</f>
        <v>0.00</v>
      </c>
      <c r="M575" t="str">
        <f t="shared" si="191"/>
        <v>0.00</v>
      </c>
      <c r="N575" t="str">
        <f t="shared" si="191"/>
        <v>0.00</v>
      </c>
      <c r="O575" t="str">
        <f>"002870"</f>
        <v>002870</v>
      </c>
      <c r="P575" t="str">
        <f t="shared" si="190"/>
        <v>0153613480</v>
      </c>
    </row>
    <row r="576" spans="1:16" x14ac:dyDescent="0.25">
      <c r="A576" t="str">
        <f t="shared" si="185"/>
        <v>人民币</v>
      </c>
      <c r="B576" t="str">
        <f>"香山股份"</f>
        <v>香山股份</v>
      </c>
      <c r="C576" t="str">
        <f t="shared" si="192"/>
        <v>20191206</v>
      </c>
      <c r="D576" t="str">
        <f>"23.900"</f>
        <v>23.900</v>
      </c>
      <c r="E576" t="str">
        <f>"400.00"</f>
        <v>400.00</v>
      </c>
      <c r="F576" t="str">
        <f>"-9565.00"</f>
        <v>-9565.00</v>
      </c>
      <c r="G576" t="str">
        <f>"10117.47"</f>
        <v>10117.47</v>
      </c>
      <c r="H576" t="str">
        <f>"2000.00"</f>
        <v>2000.00</v>
      </c>
      <c r="I576" t="str">
        <f>"96"</f>
        <v>96</v>
      </c>
      <c r="J576" t="str">
        <f>"证券买入(香山股份)"</f>
        <v>证券买入(香山股份)</v>
      </c>
      <c r="K576" t="str">
        <f>"5.00"</f>
        <v>5.00</v>
      </c>
      <c r="L576" t="str">
        <f>"0.00"</f>
        <v>0.00</v>
      </c>
      <c r="M576" t="str">
        <f t="shared" si="191"/>
        <v>0.00</v>
      </c>
      <c r="N576" t="str">
        <f t="shared" si="191"/>
        <v>0.00</v>
      </c>
      <c r="O576" t="str">
        <f>"002870"</f>
        <v>002870</v>
      </c>
      <c r="P576" t="str">
        <f t="shared" si="190"/>
        <v>0153613480</v>
      </c>
    </row>
    <row r="577" spans="1:16" x14ac:dyDescent="0.25">
      <c r="A577" t="str">
        <f t="shared" si="185"/>
        <v>人民币</v>
      </c>
      <c r="B577" t="str">
        <f>"香山股份"</f>
        <v>香山股份</v>
      </c>
      <c r="C577" t="str">
        <f t="shared" si="192"/>
        <v>20191206</v>
      </c>
      <c r="D577" t="str">
        <f>"23.960"</f>
        <v>23.960</v>
      </c>
      <c r="E577" t="str">
        <f>"600.00"</f>
        <v>600.00</v>
      </c>
      <c r="F577" t="str">
        <f>"-14381.00"</f>
        <v>-14381.00</v>
      </c>
      <c r="G577" t="str">
        <f>"19682.47"</f>
        <v>19682.47</v>
      </c>
      <c r="H577" t="str">
        <f>"1600.00"</f>
        <v>1600.00</v>
      </c>
      <c r="I577" t="str">
        <f>"92"</f>
        <v>92</v>
      </c>
      <c r="J577" t="str">
        <f>"证券买入(香山股份)"</f>
        <v>证券买入(香山股份)</v>
      </c>
      <c r="K577" t="str">
        <f>"5.00"</f>
        <v>5.00</v>
      </c>
      <c r="L577" t="str">
        <f>"0.00"</f>
        <v>0.00</v>
      </c>
      <c r="M577" t="str">
        <f t="shared" si="191"/>
        <v>0.00</v>
      </c>
      <c r="N577" t="str">
        <f t="shared" si="191"/>
        <v>0.00</v>
      </c>
      <c r="O577" t="str">
        <f>"002870"</f>
        <v>002870</v>
      </c>
      <c r="P577" t="str">
        <f t="shared" si="190"/>
        <v>0153613480</v>
      </c>
    </row>
    <row r="578" spans="1:16" x14ac:dyDescent="0.25">
      <c r="A578" t="str">
        <f t="shared" si="185"/>
        <v>人民币</v>
      </c>
      <c r="B578" t="str">
        <f>"香山股份"</f>
        <v>香山股份</v>
      </c>
      <c r="C578" t="str">
        <f t="shared" si="192"/>
        <v>20191206</v>
      </c>
      <c r="D578" t="str">
        <f>"24.030"</f>
        <v>24.030</v>
      </c>
      <c r="E578" t="str">
        <f>"1000.00"</f>
        <v>1000.00</v>
      </c>
      <c r="F578" t="str">
        <f>"-24037.21"</f>
        <v>-24037.21</v>
      </c>
      <c r="G578" t="str">
        <f>"34063.47"</f>
        <v>34063.47</v>
      </c>
      <c r="H578" t="str">
        <f>"1000.00"</f>
        <v>1000.00</v>
      </c>
      <c r="I578" t="str">
        <f>"89"</f>
        <v>89</v>
      </c>
      <c r="J578" t="str">
        <f>"证券买入(香山股份)"</f>
        <v>证券买入(香山股份)</v>
      </c>
      <c r="K578" t="str">
        <f>"7.21"</f>
        <v>7.21</v>
      </c>
      <c r="L578" t="str">
        <f>"0.00"</f>
        <v>0.00</v>
      </c>
      <c r="M578" t="str">
        <f t="shared" si="191"/>
        <v>0.00</v>
      </c>
      <c r="N578" t="str">
        <f t="shared" si="191"/>
        <v>0.00</v>
      </c>
      <c r="O578" t="str">
        <f>"002870"</f>
        <v>002870</v>
      </c>
      <c r="P578" t="str">
        <f t="shared" si="190"/>
        <v>0153613480</v>
      </c>
    </row>
    <row r="579" spans="1:16" x14ac:dyDescent="0.25">
      <c r="A579" t="str">
        <f t="shared" si="185"/>
        <v>人民币</v>
      </c>
      <c r="B579" t="str">
        <f>""</f>
        <v/>
      </c>
      <c r="C579" t="str">
        <f t="shared" si="192"/>
        <v>20191206</v>
      </c>
      <c r="D579" t="str">
        <f>"---"</f>
        <v>---</v>
      </c>
      <c r="E579" t="str">
        <f>"---"</f>
        <v>---</v>
      </c>
      <c r="F579" t="str">
        <f>"-40000.00"</f>
        <v>-40000.00</v>
      </c>
      <c r="G579" t="str">
        <f>"58100.68"</f>
        <v>58100.68</v>
      </c>
      <c r="H579" t="str">
        <f>"---"</f>
        <v>---</v>
      </c>
      <c r="I579" t="str">
        <f>"---"</f>
        <v>---</v>
      </c>
      <c r="J579" t="str">
        <f>"银行转取"</f>
        <v>银行转取</v>
      </c>
      <c r="K579" t="str">
        <f t="shared" ref="K579:P579" si="193">"---"</f>
        <v>---</v>
      </c>
      <c r="L579" t="str">
        <f t="shared" si="193"/>
        <v>---</v>
      </c>
      <c r="M579" t="str">
        <f t="shared" si="193"/>
        <v>---</v>
      </c>
      <c r="N579" t="str">
        <f t="shared" si="193"/>
        <v>---</v>
      </c>
      <c r="O579" t="str">
        <f t="shared" si="193"/>
        <v>---</v>
      </c>
      <c r="P579" t="str">
        <f t="shared" si="193"/>
        <v>---</v>
      </c>
    </row>
    <row r="580" spans="1:16" x14ac:dyDescent="0.25">
      <c r="A580" t="str">
        <f t="shared" si="185"/>
        <v>人民币</v>
      </c>
      <c r="B580" t="str">
        <f>"我武生物"</f>
        <v>我武生物</v>
      </c>
      <c r="C580" t="str">
        <f>"20191209"</f>
        <v>20191209</v>
      </c>
      <c r="D580" t="str">
        <f>"45.690"</f>
        <v>45.690</v>
      </c>
      <c r="E580" t="str">
        <f>"500.00"</f>
        <v>500.00</v>
      </c>
      <c r="F580" t="str">
        <f>"-22851.86"</f>
        <v>-22851.86</v>
      </c>
      <c r="G580" t="str">
        <f>"42351.39"</f>
        <v>42351.39</v>
      </c>
      <c r="H580" t="str">
        <f>"2100.00"</f>
        <v>2100.00</v>
      </c>
      <c r="I580" t="str">
        <f>"127"</f>
        <v>127</v>
      </c>
      <c r="J580" t="str">
        <f>"证券买入(我武生物)"</f>
        <v>证券买入(我武生物)</v>
      </c>
      <c r="K580" t="str">
        <f>"6.86"</f>
        <v>6.86</v>
      </c>
      <c r="L580" t="str">
        <f t="shared" ref="L580:N587" si="194">"0.00"</f>
        <v>0.00</v>
      </c>
      <c r="M580" t="str">
        <f t="shared" si="194"/>
        <v>0.00</v>
      </c>
      <c r="N580" t="str">
        <f t="shared" si="194"/>
        <v>0.00</v>
      </c>
      <c r="O580" t="str">
        <f>"300357"</f>
        <v>300357</v>
      </c>
      <c r="P580" t="str">
        <f t="shared" ref="P580:P585" si="195">"0153613480"</f>
        <v>0153613480</v>
      </c>
    </row>
    <row r="581" spans="1:16" x14ac:dyDescent="0.25">
      <c r="A581" t="str">
        <f t="shared" si="185"/>
        <v>人民币</v>
      </c>
      <c r="B581" t="str">
        <f>"我武生物"</f>
        <v>我武生物</v>
      </c>
      <c r="C581" t="str">
        <f>"20191209"</f>
        <v>20191209</v>
      </c>
      <c r="D581" t="str">
        <f>"46.680"</f>
        <v>46.680</v>
      </c>
      <c r="E581" t="str">
        <f>"600.00"</f>
        <v>600.00</v>
      </c>
      <c r="F581" t="str">
        <f>"-28016.41"</f>
        <v>-28016.41</v>
      </c>
      <c r="G581" t="str">
        <f>"65203.25"</f>
        <v>65203.25</v>
      </c>
      <c r="H581" t="str">
        <f>"1600.00"</f>
        <v>1600.00</v>
      </c>
      <c r="I581" t="str">
        <f>"122"</f>
        <v>122</v>
      </c>
      <c r="J581" t="str">
        <f>"证券买入(我武生物)"</f>
        <v>证券买入(我武生物)</v>
      </c>
      <c r="K581" t="str">
        <f>"8.41"</f>
        <v>8.41</v>
      </c>
      <c r="L581" t="str">
        <f t="shared" si="194"/>
        <v>0.00</v>
      </c>
      <c r="M581" t="str">
        <f t="shared" si="194"/>
        <v>0.00</v>
      </c>
      <c r="N581" t="str">
        <f t="shared" si="194"/>
        <v>0.00</v>
      </c>
      <c r="O581" t="str">
        <f>"300357"</f>
        <v>300357</v>
      </c>
      <c r="P581" t="str">
        <f t="shared" si="195"/>
        <v>0153613480</v>
      </c>
    </row>
    <row r="582" spans="1:16" x14ac:dyDescent="0.25">
      <c r="A582" t="str">
        <f t="shared" si="185"/>
        <v>人民币</v>
      </c>
      <c r="B582" t="str">
        <f>"科瑞技术"</f>
        <v>科瑞技术</v>
      </c>
      <c r="C582" t="str">
        <f>"20191209"</f>
        <v>20191209</v>
      </c>
      <c r="D582" t="str">
        <f>"32.710"</f>
        <v>32.710</v>
      </c>
      <c r="E582" t="str">
        <f>"-1200.00"</f>
        <v>-1200.00</v>
      </c>
      <c r="F582" t="str">
        <f>"39200.97"</f>
        <v>39200.97</v>
      </c>
      <c r="G582" t="str">
        <f>"93219.66"</f>
        <v>93219.66</v>
      </c>
      <c r="H582" t="str">
        <f>"0.00"</f>
        <v>0.00</v>
      </c>
      <c r="I582" t="str">
        <f>"133"</f>
        <v>133</v>
      </c>
      <c r="J582" t="str">
        <f>"证券卖出(科瑞技术)"</f>
        <v>证券卖出(科瑞技术)</v>
      </c>
      <c r="K582" t="str">
        <f>"11.78"</f>
        <v>11.78</v>
      </c>
      <c r="L582" t="str">
        <f>"39.25"</f>
        <v>39.25</v>
      </c>
      <c r="M582" t="str">
        <f t="shared" si="194"/>
        <v>0.00</v>
      </c>
      <c r="N582" t="str">
        <f t="shared" si="194"/>
        <v>0.00</v>
      </c>
      <c r="O582" t="str">
        <f>"002957"</f>
        <v>002957</v>
      </c>
      <c r="P582" t="str">
        <f t="shared" si="195"/>
        <v>0153613480</v>
      </c>
    </row>
    <row r="583" spans="1:16" x14ac:dyDescent="0.25">
      <c r="A583" t="str">
        <f t="shared" si="185"/>
        <v>人民币</v>
      </c>
      <c r="B583" t="str">
        <f>"麦克奥迪"</f>
        <v>麦克奥迪</v>
      </c>
      <c r="C583" t="str">
        <f>"20191210"</f>
        <v>20191210</v>
      </c>
      <c r="D583" t="str">
        <f>"18.250"</f>
        <v>18.250</v>
      </c>
      <c r="E583" t="str">
        <f>"800.00"</f>
        <v>800.00</v>
      </c>
      <c r="F583" t="str">
        <f>"-14605.00"</f>
        <v>-14605.00</v>
      </c>
      <c r="G583" t="str">
        <f>"18616.39"</f>
        <v>18616.39</v>
      </c>
      <c r="H583" t="str">
        <f>"1300.00"</f>
        <v>1300.00</v>
      </c>
      <c r="I583" t="str">
        <f>"143"</f>
        <v>143</v>
      </c>
      <c r="J583" t="str">
        <f>"证券买入(麦克奥迪)"</f>
        <v>证券买入(麦克奥迪)</v>
      </c>
      <c r="K583" t="str">
        <f>"5.00"</f>
        <v>5.00</v>
      </c>
      <c r="L583" t="str">
        <f>"0.00"</f>
        <v>0.00</v>
      </c>
      <c r="M583" t="str">
        <f t="shared" si="194"/>
        <v>0.00</v>
      </c>
      <c r="N583" t="str">
        <f t="shared" si="194"/>
        <v>0.00</v>
      </c>
      <c r="O583" t="str">
        <f>"300341"</f>
        <v>300341</v>
      </c>
      <c r="P583" t="str">
        <f t="shared" si="195"/>
        <v>0153613480</v>
      </c>
    </row>
    <row r="584" spans="1:16" x14ac:dyDescent="0.25">
      <c r="A584" t="str">
        <f t="shared" si="185"/>
        <v>人民币</v>
      </c>
      <c r="B584" t="str">
        <f>"麦克奥迪"</f>
        <v>麦克奥迪</v>
      </c>
      <c r="C584" t="str">
        <f>"20191210"</f>
        <v>20191210</v>
      </c>
      <c r="D584" t="str">
        <f>"18.250"</f>
        <v>18.250</v>
      </c>
      <c r="E584" t="str">
        <f>"500.00"</f>
        <v>500.00</v>
      </c>
      <c r="F584" t="str">
        <f>"-9130.00"</f>
        <v>-9130.00</v>
      </c>
      <c r="G584" t="str">
        <f>"33221.39"</f>
        <v>33221.39</v>
      </c>
      <c r="H584" t="str">
        <f>"500.00"</f>
        <v>500.00</v>
      </c>
      <c r="I584" t="str">
        <f>"139"</f>
        <v>139</v>
      </c>
      <c r="J584" t="str">
        <f>"证券买入(麦克奥迪)"</f>
        <v>证券买入(麦克奥迪)</v>
      </c>
      <c r="K584" t="str">
        <f>"5.00"</f>
        <v>5.00</v>
      </c>
      <c r="L584" t="str">
        <f>"0.00"</f>
        <v>0.00</v>
      </c>
      <c r="M584" t="str">
        <f t="shared" si="194"/>
        <v>0.00</v>
      </c>
      <c r="N584" t="str">
        <f t="shared" si="194"/>
        <v>0.00</v>
      </c>
      <c r="O584" t="str">
        <f>"300341"</f>
        <v>300341</v>
      </c>
      <c r="P584" t="str">
        <f t="shared" si="195"/>
        <v>0153613480</v>
      </c>
    </row>
    <row r="585" spans="1:16" x14ac:dyDescent="0.25">
      <c r="A585" t="str">
        <f t="shared" si="185"/>
        <v>人民币</v>
      </c>
      <c r="B585" t="str">
        <f>"麦克奥迪"</f>
        <v>麦克奥迪</v>
      </c>
      <c r="C585" t="str">
        <f>"20191211"</f>
        <v>20191211</v>
      </c>
      <c r="D585" t="str">
        <f>"19.055"</f>
        <v>19.055</v>
      </c>
      <c r="E585" t="str">
        <f>"800.00"</f>
        <v>800.00</v>
      </c>
      <c r="F585" t="str">
        <f>"-15249.00"</f>
        <v>-15249.00</v>
      </c>
      <c r="G585" t="str">
        <f>"23367.39"</f>
        <v>23367.39</v>
      </c>
      <c r="H585" t="str">
        <f>"2100.00"</f>
        <v>2100.00</v>
      </c>
      <c r="I585" t="str">
        <f>"156"</f>
        <v>156</v>
      </c>
      <c r="J585" t="str">
        <f>"证券买入(麦克奥迪)"</f>
        <v>证券买入(麦克奥迪)</v>
      </c>
      <c r="K585" t="str">
        <f>"5.00"</f>
        <v>5.00</v>
      </c>
      <c r="L585" t="str">
        <f>"0.00"</f>
        <v>0.00</v>
      </c>
      <c r="M585" t="str">
        <f t="shared" si="194"/>
        <v>0.00</v>
      </c>
      <c r="N585" t="str">
        <f t="shared" si="194"/>
        <v>0.00</v>
      </c>
      <c r="O585" t="str">
        <f>"300341"</f>
        <v>300341</v>
      </c>
      <c r="P585" t="str">
        <f t="shared" si="195"/>
        <v>0153613480</v>
      </c>
    </row>
    <row r="586" spans="1:16" x14ac:dyDescent="0.25">
      <c r="A586" t="str">
        <f t="shared" si="185"/>
        <v>人民币</v>
      </c>
      <c r="B586" t="str">
        <f>"中新配号"</f>
        <v>中新配号</v>
      </c>
      <c r="C586" t="str">
        <f>"20191211"</f>
        <v>20191211</v>
      </c>
      <c r="D586" t="str">
        <f>"0.000"</f>
        <v>0.000</v>
      </c>
      <c r="E586" t="str">
        <f>"3.00"</f>
        <v>3.00</v>
      </c>
      <c r="F586" t="str">
        <f>"0.00"</f>
        <v>0.00</v>
      </c>
      <c r="G586" t="str">
        <f>"38616.39"</f>
        <v>38616.39</v>
      </c>
      <c r="H586" t="str">
        <f>"0.00"</f>
        <v>0.00</v>
      </c>
      <c r="I586" t="str">
        <f>"152"</f>
        <v>152</v>
      </c>
      <c r="J586" t="str">
        <f>"申购配号(中新配号)"</f>
        <v>申购配号(中新配号)</v>
      </c>
      <c r="K586" t="str">
        <f>"0.00"</f>
        <v>0.00</v>
      </c>
      <c r="L586" t="str">
        <f>"0.00"</f>
        <v>0.00</v>
      </c>
      <c r="M586" t="str">
        <f t="shared" si="194"/>
        <v>0.00</v>
      </c>
      <c r="N586" t="str">
        <f t="shared" si="194"/>
        <v>0.00</v>
      </c>
      <c r="O586" t="str">
        <f>"791512"</f>
        <v>791512</v>
      </c>
      <c r="P586" t="str">
        <f>"A400948245"</f>
        <v>A400948245</v>
      </c>
    </row>
    <row r="587" spans="1:16" x14ac:dyDescent="0.25">
      <c r="A587" t="str">
        <f t="shared" si="185"/>
        <v>人民币</v>
      </c>
      <c r="B587" t="str">
        <f>"甬金配号"</f>
        <v>甬金配号</v>
      </c>
      <c r="C587" t="str">
        <f>"20191211"</f>
        <v>20191211</v>
      </c>
      <c r="D587" t="str">
        <f>"0.000"</f>
        <v>0.000</v>
      </c>
      <c r="E587" t="str">
        <f>"3.00"</f>
        <v>3.00</v>
      </c>
      <c r="F587" t="str">
        <f>"0.00"</f>
        <v>0.00</v>
      </c>
      <c r="G587" t="str">
        <f>"38616.39"</f>
        <v>38616.39</v>
      </c>
      <c r="H587" t="str">
        <f>"0.00"</f>
        <v>0.00</v>
      </c>
      <c r="I587" t="str">
        <f>"154"</f>
        <v>154</v>
      </c>
      <c r="J587" t="str">
        <f>"申购配号(甬金配号)"</f>
        <v>申购配号(甬金配号)</v>
      </c>
      <c r="K587" t="str">
        <f>"0.00"</f>
        <v>0.00</v>
      </c>
      <c r="L587" t="str">
        <f>"0.00"</f>
        <v>0.00</v>
      </c>
      <c r="M587" t="str">
        <f t="shared" si="194"/>
        <v>0.00</v>
      </c>
      <c r="N587" t="str">
        <f t="shared" si="194"/>
        <v>0.00</v>
      </c>
      <c r="O587" t="str">
        <f>"736995"</f>
        <v>736995</v>
      </c>
      <c r="P587" t="str">
        <f>"A400948245"</f>
        <v>A400948245</v>
      </c>
    </row>
    <row r="588" spans="1:16" x14ac:dyDescent="0.25">
      <c r="A588" t="str">
        <f t="shared" si="185"/>
        <v>人民币</v>
      </c>
      <c r="B588" t="str">
        <f>""</f>
        <v/>
      </c>
      <c r="C588" t="str">
        <f>"20191211"</f>
        <v>20191211</v>
      </c>
      <c r="D588" t="str">
        <f>"---"</f>
        <v>---</v>
      </c>
      <c r="E588" t="str">
        <f>"---"</f>
        <v>---</v>
      </c>
      <c r="F588" t="str">
        <f>"20000.00"</f>
        <v>20000.00</v>
      </c>
      <c r="G588" t="str">
        <f>"38616.39"</f>
        <v>38616.39</v>
      </c>
      <c r="H588" t="str">
        <f>"---"</f>
        <v>---</v>
      </c>
      <c r="I588" t="str">
        <f>"---"</f>
        <v>---</v>
      </c>
      <c r="J588" t="str">
        <f>"银行转存"</f>
        <v>银行转存</v>
      </c>
      <c r="K588" t="str">
        <f t="shared" ref="K588:P588" si="196">"---"</f>
        <v>---</v>
      </c>
      <c r="L588" t="str">
        <f t="shared" si="196"/>
        <v>---</v>
      </c>
      <c r="M588" t="str">
        <f t="shared" si="196"/>
        <v>---</v>
      </c>
      <c r="N588" t="str">
        <f t="shared" si="196"/>
        <v>---</v>
      </c>
      <c r="O588" t="str">
        <f t="shared" si="196"/>
        <v>---</v>
      </c>
      <c r="P588" t="str">
        <f t="shared" si="196"/>
        <v>---</v>
      </c>
    </row>
    <row r="589" spans="1:16" x14ac:dyDescent="0.25">
      <c r="A589" t="s">
        <v>18</v>
      </c>
      <c r="B589" t="s">
        <v>19</v>
      </c>
      <c r="C589">
        <v>20191212</v>
      </c>
      <c r="D589">
        <v>46.48</v>
      </c>
      <c r="E589">
        <v>-500</v>
      </c>
      <c r="F589">
        <v>23209.79</v>
      </c>
      <c r="G589">
        <v>77202.899999999994</v>
      </c>
      <c r="H589">
        <v>1600</v>
      </c>
      <c r="I589">
        <v>194</v>
      </c>
      <c r="J589" t="s">
        <v>20</v>
      </c>
      <c r="K589">
        <v>6.97</v>
      </c>
      <c r="L589">
        <v>23.24</v>
      </c>
      <c r="M589">
        <v>0</v>
      </c>
      <c r="N589">
        <v>0</v>
      </c>
      <c r="O589">
        <v>300357</v>
      </c>
      <c r="P589">
        <v>153613480</v>
      </c>
    </row>
    <row r="590" spans="1:16" x14ac:dyDescent="0.25">
      <c r="A590" t="s">
        <v>18</v>
      </c>
      <c r="B590" t="s">
        <v>21</v>
      </c>
      <c r="C590">
        <v>20191212</v>
      </c>
      <c r="D590">
        <v>19.54</v>
      </c>
      <c r="E590">
        <v>-1300</v>
      </c>
      <c r="F590">
        <v>25368.98</v>
      </c>
      <c r="G590">
        <v>53993.11</v>
      </c>
      <c r="H590">
        <v>800</v>
      </c>
      <c r="I590">
        <v>180</v>
      </c>
      <c r="J590" t="s">
        <v>22</v>
      </c>
      <c r="K590">
        <v>7.62</v>
      </c>
      <c r="L590">
        <v>25.4</v>
      </c>
      <c r="M590">
        <v>0</v>
      </c>
      <c r="N590">
        <v>0</v>
      </c>
      <c r="O590">
        <v>300341</v>
      </c>
      <c r="P590">
        <v>153613480</v>
      </c>
    </row>
    <row r="591" spans="1:16" x14ac:dyDescent="0.25">
      <c r="A591" t="s">
        <v>18</v>
      </c>
      <c r="B591" t="s">
        <v>23</v>
      </c>
      <c r="C591">
        <v>20191212</v>
      </c>
      <c r="D591">
        <v>25.81</v>
      </c>
      <c r="E591">
        <v>-1000</v>
      </c>
      <c r="F591">
        <v>25776.44</v>
      </c>
      <c r="G591">
        <v>28624.13</v>
      </c>
      <c r="H591">
        <v>0</v>
      </c>
      <c r="I591">
        <v>176</v>
      </c>
      <c r="J591" t="s">
        <v>24</v>
      </c>
      <c r="K591">
        <v>7.75</v>
      </c>
      <c r="L591">
        <v>25.81</v>
      </c>
      <c r="M591">
        <v>0</v>
      </c>
      <c r="N591">
        <v>0</v>
      </c>
      <c r="O591">
        <v>2870</v>
      </c>
      <c r="P591">
        <v>153613480</v>
      </c>
    </row>
    <row r="592" spans="1:16" x14ac:dyDescent="0.25">
      <c r="A592" t="s">
        <v>18</v>
      </c>
      <c r="B592" t="s">
        <v>25</v>
      </c>
      <c r="C592">
        <v>20191212</v>
      </c>
      <c r="D592">
        <v>19.940000000000001</v>
      </c>
      <c r="E592">
        <v>1000</v>
      </c>
      <c r="F592">
        <v>-19945.98</v>
      </c>
      <c r="G592">
        <v>2847.69</v>
      </c>
      <c r="H592">
        <v>1000</v>
      </c>
      <c r="I592">
        <v>172</v>
      </c>
      <c r="J592" t="s">
        <v>26</v>
      </c>
      <c r="K592">
        <v>5.98</v>
      </c>
      <c r="L592">
        <v>0</v>
      </c>
      <c r="M592">
        <v>0</v>
      </c>
      <c r="N592">
        <v>0</v>
      </c>
      <c r="O592">
        <v>34</v>
      </c>
      <c r="P592">
        <v>153613480</v>
      </c>
    </row>
    <row r="593" spans="1:16" x14ac:dyDescent="0.25">
      <c r="A593" t="s">
        <v>18</v>
      </c>
      <c r="B593" t="s">
        <v>23</v>
      </c>
      <c r="C593">
        <v>20191212</v>
      </c>
      <c r="D593">
        <v>24.6</v>
      </c>
      <c r="E593">
        <v>-1500</v>
      </c>
      <c r="F593">
        <v>36852.03</v>
      </c>
      <c r="G593">
        <v>22793.67</v>
      </c>
      <c r="H593">
        <v>1000</v>
      </c>
      <c r="I593">
        <v>166</v>
      </c>
      <c r="J593" t="s">
        <v>24</v>
      </c>
      <c r="K593">
        <v>11.07</v>
      </c>
      <c r="L593">
        <v>36.9</v>
      </c>
      <c r="M593">
        <v>0</v>
      </c>
      <c r="N593">
        <v>0</v>
      </c>
      <c r="O593">
        <v>2870</v>
      </c>
      <c r="P593">
        <v>153613480</v>
      </c>
    </row>
    <row r="594" spans="1:16" x14ac:dyDescent="0.25">
      <c r="A594" t="s">
        <v>18</v>
      </c>
      <c r="B594" t="s">
        <v>27</v>
      </c>
      <c r="C594">
        <v>20191212</v>
      </c>
      <c r="D594">
        <v>26.25</v>
      </c>
      <c r="E594">
        <v>600</v>
      </c>
      <c r="F594">
        <v>-15755.32</v>
      </c>
      <c r="G594">
        <v>-14058.36</v>
      </c>
      <c r="H594">
        <v>600</v>
      </c>
      <c r="I594">
        <v>191</v>
      </c>
      <c r="J594" t="s">
        <v>28</v>
      </c>
      <c r="K594">
        <v>5</v>
      </c>
      <c r="L594">
        <v>0</v>
      </c>
      <c r="M594">
        <v>0.32</v>
      </c>
      <c r="N594">
        <v>0</v>
      </c>
      <c r="O594">
        <v>603121</v>
      </c>
      <c r="P594" t="s">
        <v>29</v>
      </c>
    </row>
    <row r="595" spans="1:16" x14ac:dyDescent="0.25">
      <c r="A595" t="s">
        <v>18</v>
      </c>
      <c r="B595" t="s">
        <v>30</v>
      </c>
      <c r="C595">
        <v>20191212</v>
      </c>
      <c r="D595">
        <v>7.29</v>
      </c>
      <c r="E595">
        <v>1500</v>
      </c>
      <c r="F595">
        <v>-10940.22</v>
      </c>
      <c r="G595">
        <v>1696.96</v>
      </c>
      <c r="H595">
        <v>3000</v>
      </c>
      <c r="I595">
        <v>188</v>
      </c>
      <c r="J595" t="s">
        <v>31</v>
      </c>
      <c r="K595">
        <v>5</v>
      </c>
      <c r="L595">
        <v>0</v>
      </c>
      <c r="M595">
        <v>0.22</v>
      </c>
      <c r="N595">
        <v>0</v>
      </c>
      <c r="O595">
        <v>600678</v>
      </c>
      <c r="P595" t="s">
        <v>29</v>
      </c>
    </row>
    <row r="596" spans="1:16" x14ac:dyDescent="0.25">
      <c r="A596" t="s">
        <v>18</v>
      </c>
      <c r="B596" t="s">
        <v>30</v>
      </c>
      <c r="C596">
        <v>20191212</v>
      </c>
      <c r="D596">
        <v>7.15</v>
      </c>
      <c r="E596">
        <v>1500</v>
      </c>
      <c r="F596">
        <v>-10730.21</v>
      </c>
      <c r="G596">
        <v>12637.18</v>
      </c>
      <c r="H596">
        <v>1500</v>
      </c>
      <c r="I596">
        <v>184</v>
      </c>
      <c r="J596" t="s">
        <v>31</v>
      </c>
      <c r="K596">
        <v>5</v>
      </c>
      <c r="L596">
        <v>0</v>
      </c>
      <c r="M596">
        <v>0.21</v>
      </c>
      <c r="N596">
        <v>0</v>
      </c>
      <c r="O596">
        <v>600678</v>
      </c>
      <c r="P596" t="s">
        <v>29</v>
      </c>
    </row>
    <row r="597" spans="1:16" x14ac:dyDescent="0.25">
      <c r="A597" t="s">
        <v>18</v>
      </c>
      <c r="B597" t="s">
        <v>25</v>
      </c>
      <c r="C597">
        <v>20191213</v>
      </c>
      <c r="D597">
        <v>20.81</v>
      </c>
      <c r="E597">
        <v>-1000</v>
      </c>
      <c r="F597">
        <v>20782.939999999999</v>
      </c>
      <c r="G597">
        <v>34683.839999999997</v>
      </c>
      <c r="H597">
        <v>0</v>
      </c>
      <c r="I597">
        <v>214</v>
      </c>
      <c r="J597" t="s">
        <v>32</v>
      </c>
      <c r="K597">
        <v>6.25</v>
      </c>
      <c r="L597">
        <v>20.81</v>
      </c>
      <c r="M597">
        <v>0</v>
      </c>
      <c r="N597">
        <v>0</v>
      </c>
      <c r="O597">
        <v>34</v>
      </c>
      <c r="P597">
        <v>153613480</v>
      </c>
    </row>
    <row r="598" spans="1:16" x14ac:dyDescent="0.25">
      <c r="A598" t="s">
        <v>18</v>
      </c>
      <c r="B598" t="s">
        <v>33</v>
      </c>
      <c r="C598">
        <v>20191213</v>
      </c>
      <c r="D598">
        <v>14.68</v>
      </c>
      <c r="E598">
        <v>1000</v>
      </c>
      <c r="F598">
        <v>-14685</v>
      </c>
      <c r="G598">
        <v>13900.9</v>
      </c>
      <c r="H598">
        <v>1000</v>
      </c>
      <c r="I598">
        <v>205</v>
      </c>
      <c r="J598" t="s">
        <v>34</v>
      </c>
      <c r="K598">
        <v>5</v>
      </c>
      <c r="L598">
        <v>0</v>
      </c>
      <c r="M598">
        <v>0</v>
      </c>
      <c r="N598">
        <v>0</v>
      </c>
      <c r="O598">
        <v>300507</v>
      </c>
      <c r="P598">
        <v>153613480</v>
      </c>
    </row>
    <row r="599" spans="1:16" x14ac:dyDescent="0.25">
      <c r="A599" t="s">
        <v>18</v>
      </c>
      <c r="B599" t="s">
        <v>21</v>
      </c>
      <c r="C599">
        <v>20191213</v>
      </c>
      <c r="D599">
        <v>17.760000000000002</v>
      </c>
      <c r="E599">
        <v>800</v>
      </c>
      <c r="F599">
        <v>-14213</v>
      </c>
      <c r="G599">
        <v>28585.9</v>
      </c>
      <c r="H599">
        <v>2400</v>
      </c>
      <c r="I599">
        <v>219</v>
      </c>
      <c r="J599" t="s">
        <v>35</v>
      </c>
      <c r="K599">
        <v>5</v>
      </c>
      <c r="L599">
        <v>0</v>
      </c>
      <c r="M599">
        <v>0</v>
      </c>
      <c r="N599">
        <v>0</v>
      </c>
      <c r="O599">
        <v>300341</v>
      </c>
      <c r="P599">
        <v>153613480</v>
      </c>
    </row>
    <row r="600" spans="1:16" x14ac:dyDescent="0.25">
      <c r="A600" t="s">
        <v>18</v>
      </c>
      <c r="B600" t="s">
        <v>21</v>
      </c>
      <c r="C600">
        <v>20191213</v>
      </c>
      <c r="D600">
        <v>17.998999999999999</v>
      </c>
      <c r="E600">
        <v>800</v>
      </c>
      <c r="F600">
        <v>-14404</v>
      </c>
      <c r="G600">
        <v>42798.9</v>
      </c>
      <c r="H600">
        <v>1600</v>
      </c>
      <c r="I600">
        <v>209</v>
      </c>
      <c r="J600" t="s">
        <v>35</v>
      </c>
      <c r="K600">
        <v>5</v>
      </c>
      <c r="L600">
        <v>0</v>
      </c>
      <c r="M600">
        <v>0</v>
      </c>
      <c r="N600">
        <v>0</v>
      </c>
      <c r="O600">
        <v>300341</v>
      </c>
      <c r="P600">
        <v>153613480</v>
      </c>
    </row>
    <row r="601" spans="1:16" x14ac:dyDescent="0.25">
      <c r="A601" t="s">
        <v>18</v>
      </c>
      <c r="C601">
        <v>20191213</v>
      </c>
      <c r="D601" t="s">
        <v>36</v>
      </c>
      <c r="E601" t="s">
        <v>36</v>
      </c>
      <c r="F601">
        <v>-20000</v>
      </c>
      <c r="G601">
        <v>57202.9</v>
      </c>
      <c r="H601" t="s">
        <v>36</v>
      </c>
      <c r="I601" t="s">
        <v>36</v>
      </c>
      <c r="J601" t="s">
        <v>37</v>
      </c>
      <c r="K601" t="s">
        <v>36</v>
      </c>
      <c r="L601" t="s">
        <v>36</v>
      </c>
      <c r="M601" t="s">
        <v>36</v>
      </c>
      <c r="N601" t="s">
        <v>36</v>
      </c>
      <c r="O601" t="s">
        <v>36</v>
      </c>
      <c r="P601" t="s">
        <v>36</v>
      </c>
    </row>
    <row r="602" spans="1:16" x14ac:dyDescent="0.25">
      <c r="A602" t="s">
        <v>18</v>
      </c>
      <c r="B602" t="s">
        <v>21</v>
      </c>
      <c r="C602">
        <v>20191216</v>
      </c>
      <c r="D602">
        <v>18.440000000000001</v>
      </c>
      <c r="E602">
        <v>-800</v>
      </c>
      <c r="F602">
        <v>14732.25</v>
      </c>
      <c r="G602">
        <v>58960.06</v>
      </c>
      <c r="H602">
        <v>800</v>
      </c>
      <c r="I602">
        <v>242</v>
      </c>
      <c r="J602" t="s">
        <v>22</v>
      </c>
      <c r="K602">
        <v>5</v>
      </c>
      <c r="L602">
        <v>14.75</v>
      </c>
      <c r="M602">
        <v>0</v>
      </c>
      <c r="N602">
        <v>0</v>
      </c>
      <c r="O602">
        <v>300341</v>
      </c>
      <c r="P602">
        <v>153613480</v>
      </c>
    </row>
    <row r="603" spans="1:16" x14ac:dyDescent="0.25">
      <c r="A603" t="s">
        <v>18</v>
      </c>
      <c r="B603" t="s">
        <v>21</v>
      </c>
      <c r="C603">
        <v>20191216</v>
      </c>
      <c r="D603">
        <v>18.45</v>
      </c>
      <c r="E603">
        <v>-800</v>
      </c>
      <c r="F603">
        <v>14740.24</v>
      </c>
      <c r="G603">
        <v>44227.81</v>
      </c>
      <c r="H603">
        <v>1600</v>
      </c>
      <c r="I603">
        <v>239</v>
      </c>
      <c r="J603" t="s">
        <v>22</v>
      </c>
      <c r="K603">
        <v>5</v>
      </c>
      <c r="L603">
        <v>14.76</v>
      </c>
      <c r="M603">
        <v>0</v>
      </c>
      <c r="N603">
        <v>0</v>
      </c>
      <c r="O603">
        <v>300341</v>
      </c>
      <c r="P603">
        <v>153613480</v>
      </c>
    </row>
    <row r="604" spans="1:16" x14ac:dyDescent="0.25">
      <c r="A604" t="s">
        <v>18</v>
      </c>
      <c r="B604" t="s">
        <v>33</v>
      </c>
      <c r="C604">
        <v>20191216</v>
      </c>
      <c r="D604">
        <v>15.55</v>
      </c>
      <c r="E604">
        <v>-1000</v>
      </c>
      <c r="F604">
        <v>15529.45</v>
      </c>
      <c r="G604">
        <v>29487.57</v>
      </c>
      <c r="H604">
        <v>0</v>
      </c>
      <c r="I604">
        <v>226</v>
      </c>
      <c r="J604" t="s">
        <v>38</v>
      </c>
      <c r="K604">
        <v>5</v>
      </c>
      <c r="L604">
        <v>15.55</v>
      </c>
      <c r="M604">
        <v>0</v>
      </c>
      <c r="N604">
        <v>0</v>
      </c>
      <c r="O604">
        <v>300507</v>
      </c>
      <c r="P604">
        <v>153613480</v>
      </c>
    </row>
    <row r="605" spans="1:16" x14ac:dyDescent="0.25">
      <c r="A605" t="s">
        <v>18</v>
      </c>
      <c r="B605" t="s">
        <v>39</v>
      </c>
      <c r="C605">
        <v>20191216</v>
      </c>
      <c r="D605">
        <v>25.899000000000001</v>
      </c>
      <c r="E605">
        <v>800</v>
      </c>
      <c r="F605">
        <v>-20725.72</v>
      </c>
      <c r="G605">
        <v>13958.12</v>
      </c>
      <c r="H605">
        <v>800</v>
      </c>
      <c r="I605">
        <v>232</v>
      </c>
      <c r="J605" t="s">
        <v>40</v>
      </c>
      <c r="K605">
        <v>6.22</v>
      </c>
      <c r="L605">
        <v>0</v>
      </c>
      <c r="M605">
        <v>0</v>
      </c>
      <c r="N605">
        <v>0</v>
      </c>
      <c r="O605">
        <v>300236</v>
      </c>
      <c r="P605">
        <v>153613480</v>
      </c>
    </row>
    <row r="606" spans="1:16" x14ac:dyDescent="0.25">
      <c r="A606" t="s">
        <v>18</v>
      </c>
      <c r="B606" t="s">
        <v>21</v>
      </c>
      <c r="C606">
        <v>20191217</v>
      </c>
      <c r="D606">
        <v>18.899999999999999</v>
      </c>
      <c r="E606">
        <v>-800</v>
      </c>
      <c r="F606">
        <v>15099.88</v>
      </c>
      <c r="G606">
        <v>89783.95</v>
      </c>
      <c r="H606">
        <v>0</v>
      </c>
      <c r="I606">
        <v>254</v>
      </c>
      <c r="J606" t="s">
        <v>22</v>
      </c>
      <c r="K606">
        <v>5</v>
      </c>
      <c r="L606">
        <v>15.12</v>
      </c>
      <c r="M606">
        <v>0</v>
      </c>
      <c r="N606">
        <v>0</v>
      </c>
      <c r="O606">
        <v>300341</v>
      </c>
      <c r="P606">
        <v>153613480</v>
      </c>
    </row>
    <row r="607" spans="1:16" x14ac:dyDescent="0.25">
      <c r="A607" t="s">
        <v>18</v>
      </c>
      <c r="B607" t="s">
        <v>41</v>
      </c>
      <c r="C607">
        <v>20191217</v>
      </c>
      <c r="D607">
        <v>28.78</v>
      </c>
      <c r="E607">
        <v>600</v>
      </c>
      <c r="F607">
        <v>-17273.18</v>
      </c>
      <c r="G607">
        <v>74684.070000000007</v>
      </c>
      <c r="H607">
        <v>1200</v>
      </c>
      <c r="I607">
        <v>269</v>
      </c>
      <c r="J607" t="s">
        <v>42</v>
      </c>
      <c r="K607">
        <v>5.18</v>
      </c>
      <c r="L607">
        <v>0</v>
      </c>
      <c r="M607">
        <v>0</v>
      </c>
      <c r="N607">
        <v>0</v>
      </c>
      <c r="O607">
        <v>300663</v>
      </c>
      <c r="P607">
        <v>153613480</v>
      </c>
    </row>
    <row r="608" spans="1:16" x14ac:dyDescent="0.25">
      <c r="A608" t="s">
        <v>18</v>
      </c>
      <c r="B608" t="s">
        <v>41</v>
      </c>
      <c r="C608">
        <v>20191217</v>
      </c>
      <c r="D608">
        <v>29.01</v>
      </c>
      <c r="E608">
        <v>600</v>
      </c>
      <c r="F608">
        <v>-17411.22</v>
      </c>
      <c r="G608">
        <v>91957.25</v>
      </c>
      <c r="H608">
        <v>600</v>
      </c>
      <c r="I608">
        <v>263</v>
      </c>
      <c r="J608" t="s">
        <v>42</v>
      </c>
      <c r="K608">
        <v>5.22</v>
      </c>
      <c r="L608">
        <v>0</v>
      </c>
      <c r="M608">
        <v>0</v>
      </c>
      <c r="N608">
        <v>0</v>
      </c>
      <c r="O608">
        <v>300663</v>
      </c>
      <c r="P608">
        <v>153613480</v>
      </c>
    </row>
    <row r="609" spans="1:16" x14ac:dyDescent="0.25">
      <c r="A609" t="s">
        <v>18</v>
      </c>
      <c r="B609" t="s">
        <v>19</v>
      </c>
      <c r="C609">
        <v>20191217</v>
      </c>
      <c r="D609">
        <v>47.1</v>
      </c>
      <c r="E609">
        <v>-400</v>
      </c>
      <c r="F609">
        <v>18815.509999999998</v>
      </c>
      <c r="G609">
        <v>109368.47</v>
      </c>
      <c r="H609">
        <v>0</v>
      </c>
      <c r="I609">
        <v>292</v>
      </c>
      <c r="J609" t="s">
        <v>20</v>
      </c>
      <c r="K609">
        <v>5.65</v>
      </c>
      <c r="L609">
        <v>18.84</v>
      </c>
      <c r="M609">
        <v>0</v>
      </c>
      <c r="N609">
        <v>0</v>
      </c>
      <c r="O609">
        <v>300357</v>
      </c>
      <c r="P609">
        <v>153613480</v>
      </c>
    </row>
    <row r="610" spans="1:16" x14ac:dyDescent="0.25">
      <c r="A610" t="s">
        <v>18</v>
      </c>
      <c r="B610" t="s">
        <v>19</v>
      </c>
      <c r="C610">
        <v>20191217</v>
      </c>
      <c r="D610">
        <v>47.1</v>
      </c>
      <c r="E610">
        <v>-1200</v>
      </c>
      <c r="F610">
        <v>56446.52</v>
      </c>
      <c r="G610">
        <v>90552.960000000006</v>
      </c>
      <c r="H610">
        <v>400</v>
      </c>
      <c r="I610">
        <v>285</v>
      </c>
      <c r="J610" t="s">
        <v>20</v>
      </c>
      <c r="K610">
        <v>16.96</v>
      </c>
      <c r="L610">
        <v>56.52</v>
      </c>
      <c r="M610">
        <v>0</v>
      </c>
      <c r="N610">
        <v>0</v>
      </c>
      <c r="O610">
        <v>300357</v>
      </c>
      <c r="P610">
        <v>153613480</v>
      </c>
    </row>
    <row r="611" spans="1:16" x14ac:dyDescent="0.25">
      <c r="A611" t="s">
        <v>18</v>
      </c>
      <c r="B611" t="s">
        <v>43</v>
      </c>
      <c r="C611">
        <v>20191217</v>
      </c>
      <c r="D611">
        <v>26</v>
      </c>
      <c r="E611">
        <v>1000</v>
      </c>
      <c r="F611">
        <v>-26007.8</v>
      </c>
      <c r="G611">
        <v>34106.44</v>
      </c>
      <c r="H611">
        <v>1000</v>
      </c>
      <c r="I611">
        <v>250</v>
      </c>
      <c r="J611" t="s">
        <v>44</v>
      </c>
      <c r="K611">
        <v>7.8</v>
      </c>
      <c r="L611">
        <v>0</v>
      </c>
      <c r="M611">
        <v>0</v>
      </c>
      <c r="N611">
        <v>0</v>
      </c>
      <c r="O611">
        <v>2751</v>
      </c>
      <c r="P611">
        <v>153613480</v>
      </c>
    </row>
    <row r="612" spans="1:16" x14ac:dyDescent="0.25">
      <c r="A612" t="s">
        <v>18</v>
      </c>
      <c r="B612" t="s">
        <v>30</v>
      </c>
      <c r="C612">
        <v>20191217</v>
      </c>
      <c r="D612">
        <v>7.03</v>
      </c>
      <c r="E612">
        <v>2000</v>
      </c>
      <c r="F612">
        <v>-14065.28</v>
      </c>
      <c r="G612">
        <v>60114.239999999998</v>
      </c>
      <c r="H612">
        <v>5000</v>
      </c>
      <c r="I612">
        <v>301</v>
      </c>
      <c r="J612" t="s">
        <v>31</v>
      </c>
      <c r="K612">
        <v>5</v>
      </c>
      <c r="L612">
        <v>0</v>
      </c>
      <c r="M612">
        <v>0.28000000000000003</v>
      </c>
      <c r="N612">
        <v>0</v>
      </c>
      <c r="O612">
        <v>600678</v>
      </c>
      <c r="P612" t="s">
        <v>29</v>
      </c>
    </row>
    <row r="613" spans="1:16" x14ac:dyDescent="0.25">
      <c r="A613" t="s">
        <v>18</v>
      </c>
      <c r="B613" t="s">
        <v>27</v>
      </c>
      <c r="C613">
        <v>20191217</v>
      </c>
      <c r="D613">
        <v>25.4</v>
      </c>
      <c r="E613">
        <v>-600</v>
      </c>
      <c r="F613">
        <v>15219.46</v>
      </c>
      <c r="G613">
        <v>74179.520000000004</v>
      </c>
      <c r="H613">
        <v>0</v>
      </c>
      <c r="I613">
        <v>266</v>
      </c>
      <c r="J613" t="s">
        <v>45</v>
      </c>
      <c r="K613">
        <v>5</v>
      </c>
      <c r="L613">
        <v>15.24</v>
      </c>
      <c r="M613">
        <v>0.3</v>
      </c>
      <c r="N613">
        <v>0</v>
      </c>
      <c r="O613">
        <v>603121</v>
      </c>
      <c r="P613" t="s">
        <v>29</v>
      </c>
    </row>
    <row r="614" spans="1:16" x14ac:dyDescent="0.25">
      <c r="A614" t="s">
        <v>18</v>
      </c>
      <c r="B614" t="s">
        <v>46</v>
      </c>
      <c r="C614">
        <v>20191218</v>
      </c>
      <c r="D614">
        <v>0</v>
      </c>
      <c r="E614">
        <v>26</v>
      </c>
      <c r="F614">
        <v>0</v>
      </c>
      <c r="G614">
        <v>76580.210000000006</v>
      </c>
      <c r="H614">
        <v>0</v>
      </c>
      <c r="I614">
        <v>322</v>
      </c>
      <c r="J614" t="s">
        <v>47</v>
      </c>
      <c r="K614">
        <v>0</v>
      </c>
      <c r="L614">
        <v>0</v>
      </c>
      <c r="M614">
        <v>0</v>
      </c>
      <c r="N614">
        <v>0</v>
      </c>
      <c r="O614">
        <v>2972</v>
      </c>
      <c r="P614">
        <v>153613480</v>
      </c>
    </row>
    <row r="615" spans="1:16" x14ac:dyDescent="0.25">
      <c r="A615" t="s">
        <v>18</v>
      </c>
      <c r="B615" t="s">
        <v>43</v>
      </c>
      <c r="C615">
        <v>20191218</v>
      </c>
      <c r="D615">
        <v>28.88</v>
      </c>
      <c r="E615">
        <v>-300</v>
      </c>
      <c r="F615">
        <v>8650.34</v>
      </c>
      <c r="G615">
        <v>76580.210000000006</v>
      </c>
      <c r="H615">
        <v>0</v>
      </c>
      <c r="I615">
        <v>329</v>
      </c>
      <c r="J615" t="s">
        <v>48</v>
      </c>
      <c r="K615">
        <v>5</v>
      </c>
      <c r="L615">
        <v>8.66</v>
      </c>
      <c r="M615">
        <v>0</v>
      </c>
      <c r="N615">
        <v>0</v>
      </c>
      <c r="O615">
        <v>2751</v>
      </c>
      <c r="P615">
        <v>153613480</v>
      </c>
    </row>
    <row r="616" spans="1:16" x14ac:dyDescent="0.25">
      <c r="A616" t="s">
        <v>18</v>
      </c>
      <c r="B616" t="s">
        <v>43</v>
      </c>
      <c r="C616">
        <v>20191218</v>
      </c>
      <c r="D616">
        <v>29.48</v>
      </c>
      <c r="E616">
        <v>-700</v>
      </c>
      <c r="F616">
        <v>20609.169999999998</v>
      </c>
      <c r="G616">
        <v>67929.87</v>
      </c>
      <c r="H616">
        <v>300</v>
      </c>
      <c r="I616">
        <v>326</v>
      </c>
      <c r="J616" t="s">
        <v>48</v>
      </c>
      <c r="K616">
        <v>6.19</v>
      </c>
      <c r="L616">
        <v>20.64</v>
      </c>
      <c r="M616">
        <v>0</v>
      </c>
      <c r="N616">
        <v>0</v>
      </c>
      <c r="O616">
        <v>2751</v>
      </c>
      <c r="P616">
        <v>153613480</v>
      </c>
    </row>
    <row r="617" spans="1:16" x14ac:dyDescent="0.25">
      <c r="A617" t="s">
        <v>18</v>
      </c>
      <c r="B617" t="s">
        <v>41</v>
      </c>
      <c r="C617">
        <v>20191218</v>
      </c>
      <c r="D617">
        <v>28.2</v>
      </c>
      <c r="E617">
        <v>600</v>
      </c>
      <c r="F617">
        <v>-16925.080000000002</v>
      </c>
      <c r="G617">
        <v>47320.7</v>
      </c>
      <c r="H617">
        <v>1800</v>
      </c>
      <c r="I617">
        <v>318</v>
      </c>
      <c r="J617" t="s">
        <v>42</v>
      </c>
      <c r="K617">
        <v>5.08</v>
      </c>
      <c r="L617">
        <v>0</v>
      </c>
      <c r="M617">
        <v>0</v>
      </c>
      <c r="N617">
        <v>0</v>
      </c>
      <c r="O617">
        <v>300663</v>
      </c>
      <c r="P617">
        <v>153613480</v>
      </c>
    </row>
    <row r="618" spans="1:16" x14ac:dyDescent="0.25">
      <c r="A618" t="s">
        <v>18</v>
      </c>
      <c r="B618" t="s">
        <v>49</v>
      </c>
      <c r="C618">
        <v>20191218</v>
      </c>
      <c r="D618">
        <v>25.53</v>
      </c>
      <c r="E618">
        <v>1000</v>
      </c>
      <c r="F618">
        <v>-25538.17</v>
      </c>
      <c r="G618">
        <v>64245.78</v>
      </c>
      <c r="H618">
        <v>1000</v>
      </c>
      <c r="I618">
        <v>332</v>
      </c>
      <c r="J618" t="s">
        <v>50</v>
      </c>
      <c r="K618">
        <v>7.66</v>
      </c>
      <c r="L618">
        <v>0</v>
      </c>
      <c r="M618">
        <v>0.51</v>
      </c>
      <c r="N618">
        <v>0</v>
      </c>
      <c r="O618">
        <v>601012</v>
      </c>
      <c r="P618" t="s">
        <v>29</v>
      </c>
    </row>
    <row r="619" spans="1:16" x14ac:dyDescent="0.25">
      <c r="A619" t="s">
        <v>18</v>
      </c>
      <c r="B619" t="s">
        <v>51</v>
      </c>
      <c r="C619">
        <v>20191218</v>
      </c>
      <c r="D619">
        <v>0</v>
      </c>
      <c r="E619">
        <v>2</v>
      </c>
      <c r="F619">
        <v>0</v>
      </c>
      <c r="G619">
        <v>89783.95</v>
      </c>
      <c r="H619">
        <v>0</v>
      </c>
      <c r="I619">
        <v>324</v>
      </c>
      <c r="J619" t="s">
        <v>52</v>
      </c>
      <c r="K619">
        <v>0</v>
      </c>
      <c r="L619">
        <v>0</v>
      </c>
      <c r="M619">
        <v>0</v>
      </c>
      <c r="N619">
        <v>0</v>
      </c>
      <c r="O619">
        <v>736109</v>
      </c>
      <c r="P619" t="s">
        <v>29</v>
      </c>
    </row>
    <row r="620" spans="1:16" x14ac:dyDescent="0.25">
      <c r="A620" t="s">
        <v>18</v>
      </c>
      <c r="B620" t="s">
        <v>53</v>
      </c>
      <c r="C620">
        <v>20191219</v>
      </c>
      <c r="D620">
        <v>0</v>
      </c>
      <c r="E620">
        <v>27</v>
      </c>
      <c r="F620">
        <v>0</v>
      </c>
      <c r="G620">
        <v>37032.51</v>
      </c>
      <c r="H620">
        <v>0</v>
      </c>
      <c r="I620">
        <v>341</v>
      </c>
      <c r="J620" t="s">
        <v>54</v>
      </c>
      <c r="K620">
        <v>0</v>
      </c>
      <c r="L620">
        <v>0</v>
      </c>
      <c r="M620">
        <v>0</v>
      </c>
      <c r="N620">
        <v>0</v>
      </c>
      <c r="O620">
        <v>300811</v>
      </c>
      <c r="P620">
        <v>153613480</v>
      </c>
    </row>
    <row r="621" spans="1:16" x14ac:dyDescent="0.25">
      <c r="A621" t="s">
        <v>18</v>
      </c>
      <c r="B621" t="s">
        <v>39</v>
      </c>
      <c r="C621">
        <v>20191219</v>
      </c>
      <c r="D621">
        <v>25.65</v>
      </c>
      <c r="E621">
        <v>1000</v>
      </c>
      <c r="F621">
        <v>-25657.7</v>
      </c>
      <c r="G621">
        <v>37032.51</v>
      </c>
      <c r="H621">
        <v>1800</v>
      </c>
      <c r="I621">
        <v>343</v>
      </c>
      <c r="J621" t="s">
        <v>40</v>
      </c>
      <c r="K621">
        <v>7.7</v>
      </c>
      <c r="L621">
        <v>0</v>
      </c>
      <c r="M621">
        <v>0</v>
      </c>
      <c r="N621">
        <v>0</v>
      </c>
      <c r="O621">
        <v>300236</v>
      </c>
      <c r="P621">
        <v>153613480</v>
      </c>
    </row>
    <row r="622" spans="1:16" x14ac:dyDescent="0.25">
      <c r="A622" t="s">
        <v>18</v>
      </c>
      <c r="B622" t="s">
        <v>41</v>
      </c>
      <c r="C622">
        <v>20191219</v>
      </c>
      <c r="D622">
        <v>27.77</v>
      </c>
      <c r="E622">
        <v>500</v>
      </c>
      <c r="F622">
        <v>-13890</v>
      </c>
      <c r="G622">
        <v>62690.21</v>
      </c>
      <c r="H622">
        <v>2300</v>
      </c>
      <c r="I622">
        <v>347</v>
      </c>
      <c r="J622" t="s">
        <v>42</v>
      </c>
      <c r="K622">
        <v>5</v>
      </c>
      <c r="L622">
        <v>0</v>
      </c>
      <c r="M622">
        <v>0</v>
      </c>
      <c r="N622">
        <v>0</v>
      </c>
      <c r="O622">
        <v>300663</v>
      </c>
      <c r="P622">
        <v>153613480</v>
      </c>
    </row>
    <row r="623" spans="1:16" x14ac:dyDescent="0.25">
      <c r="A623" t="s">
        <v>18</v>
      </c>
      <c r="B623" t="s">
        <v>39</v>
      </c>
      <c r="C623">
        <v>20191220</v>
      </c>
      <c r="D623">
        <v>25.09</v>
      </c>
      <c r="E623">
        <v>900</v>
      </c>
      <c r="F623">
        <v>-22587.78</v>
      </c>
      <c r="G623">
        <v>1926.61</v>
      </c>
      <c r="H623">
        <v>3200</v>
      </c>
      <c r="I623">
        <v>357</v>
      </c>
      <c r="J623" t="s">
        <v>40</v>
      </c>
      <c r="K623">
        <v>6.78</v>
      </c>
      <c r="L623">
        <v>0</v>
      </c>
      <c r="M623">
        <v>0</v>
      </c>
      <c r="N623">
        <v>0</v>
      </c>
      <c r="O623">
        <v>300236</v>
      </c>
      <c r="P623">
        <v>153613480</v>
      </c>
    </row>
    <row r="624" spans="1:16" x14ac:dyDescent="0.25">
      <c r="A624" t="s">
        <v>18</v>
      </c>
      <c r="B624" t="s">
        <v>39</v>
      </c>
      <c r="C624">
        <v>20191220</v>
      </c>
      <c r="D624">
        <v>25.09</v>
      </c>
      <c r="E624">
        <v>500</v>
      </c>
      <c r="F624">
        <v>-12550</v>
      </c>
      <c r="G624">
        <v>24514.39</v>
      </c>
      <c r="H624">
        <v>2300</v>
      </c>
      <c r="I624">
        <v>353</v>
      </c>
      <c r="J624" t="s">
        <v>40</v>
      </c>
      <c r="K624">
        <v>5</v>
      </c>
      <c r="L624">
        <v>0</v>
      </c>
      <c r="M624">
        <v>0</v>
      </c>
      <c r="N624">
        <v>0</v>
      </c>
      <c r="O624">
        <v>300236</v>
      </c>
      <c r="P624">
        <v>153613480</v>
      </c>
    </row>
  </sheetData>
  <autoFilter ref="A1:P491"/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year2017</vt:lpstr>
      <vt:lpstr>year2018</vt:lpstr>
      <vt:lpstr>year2019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Wang, Renzhong</cp:lastModifiedBy>
  <dcterms:created xsi:type="dcterms:W3CDTF">2019-02-26T11:53:08Z</dcterms:created>
  <dcterms:modified xsi:type="dcterms:W3CDTF">2019-12-21T08:30:49Z</dcterms:modified>
</cp:coreProperties>
</file>